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6.25" sheetId="1" r:id="rId4"/>
    <sheet state="visible" name="2020.06.26" sheetId="2" r:id="rId5"/>
    <sheet state="visible" name="2020.06.24" sheetId="3" r:id="rId6"/>
    <sheet state="visible" name="2020.06.23" sheetId="4" r:id="rId7"/>
    <sheet state="visible" name="2020.06.22" sheetId="5" r:id="rId8"/>
    <sheet state="visible" name="2020.06.21" sheetId="6" r:id="rId9"/>
    <sheet state="visible" name="2020.06.20" sheetId="7" r:id="rId10"/>
    <sheet state="visible" name="2020.06.19 " sheetId="8" r:id="rId11"/>
    <sheet state="visible" name="2020.06.18" sheetId="9" r:id="rId12"/>
    <sheet state="visible" name="2020.06.17" sheetId="10" r:id="rId13"/>
    <sheet state="visible" name="2020.06.16" sheetId="11" r:id="rId14"/>
    <sheet state="visible" name="2020.06.15" sheetId="12" r:id="rId15"/>
    <sheet state="visible" name="2020.06.14" sheetId="13" r:id="rId16"/>
    <sheet state="visible" name="2020.06.13" sheetId="14" r:id="rId17"/>
    <sheet state="visible" name="2020.06.12" sheetId="15" r:id="rId18"/>
    <sheet state="visible" name="2020.06.11" sheetId="16" r:id="rId19"/>
    <sheet state="visible" name="2020.06.10" sheetId="17" r:id="rId20"/>
    <sheet state="visible" name="2020.06.09" sheetId="18" r:id="rId21"/>
    <sheet state="visible" name="2020.06.08" sheetId="19" r:id="rId22"/>
    <sheet state="visible" name="2020.06.07" sheetId="20" r:id="rId23"/>
    <sheet state="visible" name="2020.06.06" sheetId="21" r:id="rId24"/>
    <sheet state="visible" name="2020.06.05" sheetId="22" r:id="rId25"/>
    <sheet state="visible" name="2020.06.04" sheetId="23" r:id="rId26"/>
    <sheet state="visible" name="2020.06.03" sheetId="24" r:id="rId27"/>
    <sheet state="visible" name="2020.06.02" sheetId="25" r:id="rId28"/>
    <sheet state="visible" name="2020.06.01" sheetId="26" r:id="rId29"/>
    <sheet state="visible" name="2020.05.31" sheetId="27" r:id="rId30"/>
    <sheet state="visible" name="2020.05.30" sheetId="28" r:id="rId31"/>
    <sheet state="visible" name="2020.05.29" sheetId="29" r:id="rId32"/>
    <sheet state="visible" name="2020.05.28" sheetId="30" r:id="rId33"/>
    <sheet state="visible" name="2020.05.27" sheetId="31" r:id="rId34"/>
    <sheet state="visible" name="2020.05.26" sheetId="32" r:id="rId35"/>
    <sheet state="visible" name="2020.05.25" sheetId="33" r:id="rId36"/>
    <sheet state="visible" name="2020.05.24" sheetId="34" r:id="rId37"/>
    <sheet state="visible" name="2020.05.23" sheetId="35" r:id="rId38"/>
    <sheet state="visible" name="2020.05.22" sheetId="36" r:id="rId39"/>
    <sheet state="visible" name="2020.05.21" sheetId="37" r:id="rId40"/>
    <sheet state="visible" name="2020.05.20" sheetId="38" r:id="rId41"/>
    <sheet state="visible" name="2020.05.19" sheetId="39" r:id="rId42"/>
    <sheet state="visible" name="2020.05.18" sheetId="40" r:id="rId43"/>
    <sheet state="visible" name="2020.05.17" sheetId="41" r:id="rId44"/>
    <sheet state="visible" name="2020.05.16" sheetId="42" r:id="rId45"/>
    <sheet state="visible" name="2020.05.15" sheetId="43" r:id="rId46"/>
    <sheet state="visible" name="2020.05.14" sheetId="44" r:id="rId47"/>
    <sheet state="visible" name="2020.05.13" sheetId="45" r:id="rId48"/>
    <sheet state="visible" name="2020.05.12" sheetId="46" r:id="rId49"/>
    <sheet state="visible" name="2020.05.11" sheetId="47" r:id="rId50"/>
    <sheet state="visible" name="2020.05.10" sheetId="48" r:id="rId51"/>
    <sheet state="visible" name="2020.05.09" sheetId="49" r:id="rId52"/>
    <sheet state="visible" name="2020.05.08" sheetId="50" r:id="rId53"/>
    <sheet state="visible" name="2020.05.07" sheetId="51" r:id="rId54"/>
    <sheet state="visible" name="2020.05.06" sheetId="52" r:id="rId55"/>
    <sheet state="visible" name="2020.05.05" sheetId="53" r:id="rId56"/>
    <sheet state="visible" name="2020.05.04" sheetId="54" r:id="rId57"/>
    <sheet state="visible" name="2020.05.03" sheetId="55" r:id="rId58"/>
    <sheet state="visible" name="2020.05.02" sheetId="56" r:id="rId59"/>
    <sheet state="visible" name="2020.05.01" sheetId="57" r:id="rId60"/>
    <sheet state="visible" name="2020.04.30" sheetId="58" r:id="rId61"/>
    <sheet state="visible" name="2020.04.29" sheetId="59" r:id="rId62"/>
    <sheet state="visible" name="2020.04.28" sheetId="60" r:id="rId63"/>
    <sheet state="visible" name="2020.04.27" sheetId="61" r:id="rId64"/>
    <sheet state="visible" name="2020.04.26" sheetId="62" r:id="rId65"/>
    <sheet state="visible" name="2020.04.25" sheetId="63" r:id="rId66"/>
    <sheet state="visible" name="2020.04.24" sheetId="64" r:id="rId67"/>
    <sheet state="visible" name="2020.04.23" sheetId="65" r:id="rId68"/>
    <sheet state="visible" name="2020.04.22" sheetId="66" r:id="rId69"/>
    <sheet state="visible" name="2020.04.21" sheetId="67" r:id="rId70"/>
    <sheet state="visible" name="2020.04.20" sheetId="68" r:id="rId71"/>
    <sheet state="visible" name="2020.04.19" sheetId="69" r:id="rId72"/>
    <sheet state="visible" name="2020.04.18" sheetId="70" r:id="rId73"/>
    <sheet state="visible" name="2020.04.17" sheetId="71" r:id="rId74"/>
    <sheet state="visible" name="2020.04.16" sheetId="72" r:id="rId75"/>
    <sheet state="visible" name="2020.04.15" sheetId="73" r:id="rId76"/>
    <sheet state="visible" name="2020.04.14" sheetId="74" r:id="rId77"/>
    <sheet state="visible" name="2020.04.13" sheetId="75" r:id="rId78"/>
    <sheet state="visible" name="2020.04.12 " sheetId="76" r:id="rId79"/>
    <sheet state="visible" name="2020.04.11 " sheetId="77" r:id="rId80"/>
    <sheet state="visible" name="2020.04.10" sheetId="78" r:id="rId81"/>
    <sheet state="visible" name="2020.04.09" sheetId="79" r:id="rId82"/>
    <sheet state="visible" name="2020.04.08" sheetId="80" r:id="rId83"/>
    <sheet state="visible" name="2020.04.07" sheetId="81" r:id="rId84"/>
    <sheet state="visible" name="2020.04.06" sheetId="82" r:id="rId85"/>
    <sheet state="visible" name="2020.04.05" sheetId="83" r:id="rId86"/>
    <sheet state="visible" name="2020.04.04" sheetId="84" r:id="rId87"/>
    <sheet state="visible" name="2020.04.03" sheetId="85" r:id="rId88"/>
    <sheet state="visible" name="2020.04.02" sheetId="86" r:id="rId89"/>
    <sheet state="visible" name="2020.04.01" sheetId="87" r:id="rId90"/>
    <sheet state="visible" name="2020.03.31" sheetId="88" r:id="rId91"/>
    <sheet state="visible" name="2020.03.30" sheetId="89" r:id="rId92"/>
    <sheet state="visible" name="2020.03.29" sheetId="90" r:id="rId93"/>
    <sheet state="visible" name="2020.03.28" sheetId="91" r:id="rId94"/>
    <sheet state="visible" name="2020.03.27" sheetId="92" r:id="rId95"/>
    <sheet state="visible" name="2020.03.26" sheetId="93" r:id="rId96"/>
    <sheet state="visible" name="2020.03.25" sheetId="94" r:id="rId97"/>
    <sheet state="visible" name="2020.03.24" sheetId="95" r:id="rId98"/>
    <sheet state="visible" name="2020.03.23" sheetId="96" r:id="rId99"/>
    <sheet state="visible" name="2020.03.22" sheetId="97" r:id="rId100"/>
    <sheet state="visible" name="2020.03.21" sheetId="98" r:id="rId101"/>
    <sheet state="visible" name="2020.03.20" sheetId="99" r:id="rId102"/>
    <sheet state="visible" name="2020.03.19" sheetId="100" r:id="rId103"/>
    <sheet state="visible" name="2020.03.18" sheetId="101" r:id="rId104"/>
    <sheet state="visible" name="2020.03.17" sheetId="102" r:id="rId105"/>
    <sheet state="visible" name="2020.03.16" sheetId="103" r:id="rId106"/>
    <sheet state="visible" name="2020.03.15" sheetId="104" r:id="rId107"/>
    <sheet state="visible" name="2020.03.14" sheetId="105" r:id="rId108"/>
    <sheet state="visible" name="2020.03.13" sheetId="106" r:id="rId109"/>
    <sheet state="visible" name="2020.03.12" sheetId="107" r:id="rId110"/>
    <sheet state="visible" name="2020.03.11" sheetId="108" r:id="rId111"/>
    <sheet state="visible" name="2020.03.10" sheetId="109" r:id="rId112"/>
    <sheet state="visible" name="2020.03.09" sheetId="110" r:id="rId113"/>
    <sheet state="visible" name="2020.03.08" sheetId="111" r:id="rId114"/>
    <sheet state="visible" name="2020.03.07" sheetId="112" r:id="rId115"/>
    <sheet state="visible" name="2020.03.06" sheetId="113" r:id="rId116"/>
    <sheet state="visible" name="2020.03.03" sheetId="114" r:id="rId117"/>
    <sheet state="visible" name="2020.03.02" sheetId="115" r:id="rId118"/>
    <sheet state="visible" name="2020.03.01" sheetId="116" r:id="rId119"/>
  </sheets>
  <definedNames/>
  <calcPr/>
</workbook>
</file>

<file path=xl/sharedStrings.xml><?xml version="1.0" encoding="utf-8"?>
<sst xmlns="http://schemas.openxmlformats.org/spreadsheetml/2006/main" count="95674" uniqueCount="4387">
  <si>
    <t>Cyber Champions League 01:30 - 04:00</t>
  </si>
  <si>
    <t>Time</t>
  </si>
  <si>
    <t>Player (Blue)</t>
  </si>
  <si>
    <t>Match results</t>
  </si>
  <si>
    <t>Player (Red)</t>
  </si>
  <si>
    <t>Video</t>
  </si>
  <si>
    <t>Manchester City (specialist)</t>
  </si>
  <si>
    <t>1 - 1 (0 - 0)</t>
  </si>
  <si>
    <t>Atletico Madrid (Aventon)</t>
  </si>
  <si>
    <t>channel 1</t>
  </si>
  <si>
    <t>Borussia Dortmund (Veep)</t>
  </si>
  <si>
    <t>3 - 1 (0 - 0)</t>
  </si>
  <si>
    <t>Tottenham (fleshka77)</t>
  </si>
  <si>
    <t>channel 2</t>
  </si>
  <si>
    <t>0 - 3 (0 - 2)</t>
  </si>
  <si>
    <t>Napoli (OoLancer)</t>
  </si>
  <si>
    <t>2 - 0 (1 - 0)</t>
  </si>
  <si>
    <t>2 - 1 (1 - 0)</t>
  </si>
  <si>
    <t>0 - 2 (0 - 1)</t>
  </si>
  <si>
    <t>2 - 2 (1 - 1)</t>
  </si>
  <si>
    <t>0 - 1 (0 - 0)</t>
  </si>
  <si>
    <t>1 - 4 (0 - 3)</t>
  </si>
  <si>
    <t>1 - 5 (0 - 3)</t>
  </si>
  <si>
    <t>1 - 0 (0 - 0)</t>
  </si>
  <si>
    <t>1 - 2 (1 - 0)</t>
  </si>
  <si>
    <t>Cyber Champions League  01:30 - 04:00</t>
  </si>
  <si>
    <t>Barcelona (stdm)</t>
  </si>
  <si>
    <t>2 - 2 (2 - 0)</t>
  </si>
  <si>
    <t>Juventus (Fric)</t>
  </si>
  <si>
    <t>channel 3</t>
  </si>
  <si>
    <t>Liverpool (Tranquil)</t>
  </si>
  <si>
    <t>5 - 0 (4 - 0)</t>
  </si>
  <si>
    <t>FC Bayern (Gernaut)</t>
  </si>
  <si>
    <t>channel 4</t>
  </si>
  <si>
    <t>5 - 2 (3 - 1)</t>
  </si>
  <si>
    <t>PSG (indenfor)</t>
  </si>
  <si>
    <t>2 - 4 (1 - 2)</t>
  </si>
  <si>
    <t>1 - 3 (1 - 3)</t>
  </si>
  <si>
    <t>1 - 3 (0 - 2)</t>
  </si>
  <si>
    <t>2 - 4 (1 - 1)</t>
  </si>
  <si>
    <t>3 - 3 (0 - 3)</t>
  </si>
  <si>
    <t>1 - 2 (0 - 1)</t>
  </si>
  <si>
    <t>3 - 0 (3 - 0)</t>
  </si>
  <si>
    <t>0 - 3 (0 - 1)</t>
  </si>
  <si>
    <t>1 - 4 (1 - 2)</t>
  </si>
  <si>
    <t>Cyber Europa League 4:00 - 6:30</t>
  </si>
  <si>
    <t>Sevilla (specialist)</t>
  </si>
  <si>
    <t>Porto (Aventon)</t>
  </si>
  <si>
    <t>Wolverhampton (Veep)</t>
  </si>
  <si>
    <t>Borussia Monchengladbach (fleshka77)</t>
  </si>
  <si>
    <t>Roma (OoLancer)</t>
  </si>
  <si>
    <t>Feyenoord (stdm)</t>
  </si>
  <si>
    <t>Dynamo Kyiv (Fric)</t>
  </si>
  <si>
    <t>Braga (Tranquil)</t>
  </si>
  <si>
    <t>CSKA Moscow (Gernaut)</t>
  </si>
  <si>
    <t>PSV (indenfor)</t>
  </si>
  <si>
    <t>England Cyber Stars League 8:00 - 10:30</t>
  </si>
  <si>
    <t>Wolverhampton (Sima)</t>
  </si>
  <si>
    <t>West Ham United (CarlWhizzer)</t>
  </si>
  <si>
    <t>Everton (Walker)</t>
  </si>
  <si>
    <t>Leicester (Mistyeye)</t>
  </si>
  <si>
    <t>Watford (Quavo)</t>
  </si>
  <si>
    <t>Arsenal (kiser)</t>
  </si>
  <si>
    <t>Tottenham (Aphex)</t>
  </si>
  <si>
    <t>Manchester City (Unknown)</t>
  </si>
  <si>
    <t>Liverpool (Cool_J)</t>
  </si>
  <si>
    <t>Manchester United (ForceMajor!)</t>
  </si>
  <si>
    <t>Spain Cyber Stars League 10:30 - 13:00</t>
  </si>
  <si>
    <t>Valladolid (Sima)</t>
  </si>
  <si>
    <t>Getafe (CarlWhizzer)</t>
  </si>
  <si>
    <t>Levante (Walker)</t>
  </si>
  <si>
    <t>Celta (Mistyeye)</t>
  </si>
  <si>
    <t>Alaves (Quavo)</t>
  </si>
  <si>
    <t>Valencia (kiser)</t>
  </si>
  <si>
    <t>Atletico Madrid (Aphex)</t>
  </si>
  <si>
    <t>Barcelona (Unknown)</t>
  </si>
  <si>
    <t>Real Madrid (Cool_J)</t>
  </si>
  <si>
    <t>Sevilla (ForceMajor!)</t>
  </si>
  <si>
    <t>Cyber Europa League 13:00 - 15:30</t>
  </si>
  <si>
    <t>Basaksehir (Sima)</t>
  </si>
  <si>
    <t>Gent (CarlWhizzer)</t>
  </si>
  <si>
    <t>Shakhtar Donetsk (Walker)</t>
  </si>
  <si>
    <t>Celtic (Mistyeye)</t>
  </si>
  <si>
    <t>Sporting (Quavo)</t>
  </si>
  <si>
    <t>Inter (kiser)</t>
  </si>
  <si>
    <t>Manchester United (Aphex)</t>
  </si>
  <si>
    <t>Bayer 04 (Unknown)</t>
  </si>
  <si>
    <t>Arsenal (Cool_J)</t>
  </si>
  <si>
    <t>Lazio (ForceMajor!)</t>
  </si>
  <si>
    <t>France Cyber Stars League 15:30 - 18:00</t>
  </si>
  <si>
    <t>Saint-Etienne (Sima)</t>
  </si>
  <si>
    <t>Bourdeux (CarlWhizzer)</t>
  </si>
  <si>
    <t>Nice (Zazabak)</t>
  </si>
  <si>
    <t>Montpellier (Ishking11)</t>
  </si>
  <si>
    <t>Stade Rennais (NOSEBLEED)</t>
  </si>
  <si>
    <t>Lyon (OLOM)</t>
  </si>
  <si>
    <t>Monaco (AlBack)</t>
  </si>
  <si>
    <t>Lille (RedDevil)</t>
  </si>
  <si>
    <t>PSG (BoBBY)</t>
  </si>
  <si>
    <t>Marseille (Gohome)</t>
  </si>
  <si>
    <t>Cyber World Cup 18:00 - 20:30</t>
  </si>
  <si>
    <t>Italy (Sima)</t>
  </si>
  <si>
    <t>Portugal (CarlWhizzer)</t>
  </si>
  <si>
    <t>Argentina (Zazabak)</t>
  </si>
  <si>
    <t>Netherlands (Ishking11)</t>
  </si>
  <si>
    <t>England (NOSEBLEED)</t>
  </si>
  <si>
    <t>Germany (OLOM)</t>
  </si>
  <si>
    <t>Brazil (AlBack)</t>
  </si>
  <si>
    <t>Spain (RedDevil)</t>
  </si>
  <si>
    <t>France (BoBBY)</t>
  </si>
  <si>
    <t>Belgium (Gohome)</t>
  </si>
  <si>
    <t>Italy Cyber Stars League 20:30 - 23:00</t>
  </si>
  <si>
    <t>Roma (Sima)</t>
  </si>
  <si>
    <t>Torino (CarlWhizzer)</t>
  </si>
  <si>
    <t>Fiorentina (Zazabak)</t>
  </si>
  <si>
    <t>Atalanta (Ishking11)</t>
  </si>
  <si>
    <t>Sassuolo (NOSEBLEED)</t>
  </si>
  <si>
    <t>Milan (OLOM)</t>
  </si>
  <si>
    <t>Napoli (AlBack)</t>
  </si>
  <si>
    <t>Inter (RedDevil)</t>
  </si>
  <si>
    <t>Juventus (BoBBY)</t>
  </si>
  <si>
    <t>Lazio (Gohome)</t>
  </si>
  <si>
    <t>Germany Cyber Stars League 23:00 - 01:30</t>
  </si>
  <si>
    <t>Koln (specialist)</t>
  </si>
  <si>
    <t>Werder Bremen (Aventon)</t>
  </si>
  <si>
    <t>Wolfsburg (Veep)</t>
  </si>
  <si>
    <t>Hoffenheim (Baphomet)</t>
  </si>
  <si>
    <t>Eintracht (fleshka77)</t>
  </si>
  <si>
    <t>Bayer 04 (Miller)</t>
  </si>
  <si>
    <t>FC Bayern (dinototli)</t>
  </si>
  <si>
    <t>Borussia Monchengladbach (stdm)</t>
  </si>
  <si>
    <t>Borussia Dortmund (Fric)</t>
  </si>
  <si>
    <t>RB Leipzig (indenfor)</t>
  </si>
  <si>
    <t>Tottenham (specialist)</t>
  </si>
  <si>
    <t>Manchester City (Aventon)</t>
  </si>
  <si>
    <t>Atletico Madrid (Veep)</t>
  </si>
  <si>
    <t>Borussia Dortmund (Baphomet)</t>
  </si>
  <si>
    <t>Napoli (fleshka77)</t>
  </si>
  <si>
    <t>Barcelona (Miller)</t>
  </si>
  <si>
    <t>Juventus (dinototli)</t>
  </si>
  <si>
    <t>FC Bayern (stdm)</t>
  </si>
  <si>
    <t>PSG (Fric)</t>
  </si>
  <si>
    <t>Liverpool (indenfor)</t>
  </si>
  <si>
    <t>Wolverhampton (specialist)</t>
  </si>
  <si>
    <t>Roma (Aventon)</t>
  </si>
  <si>
    <t>Porto (Veep)</t>
  </si>
  <si>
    <t>Sevilla (Baphomet)</t>
  </si>
  <si>
    <t>PSV (Miller)</t>
  </si>
  <si>
    <t>Dynamo Kyiv (dinototli)</t>
  </si>
  <si>
    <t>Braga (stdm)</t>
  </si>
  <si>
    <t>CSKA Moscow (Fric)</t>
  </si>
  <si>
    <t>Feyenoord (indenfor)</t>
  </si>
  <si>
    <t>Atletico Madrid (Thiago)</t>
  </si>
  <si>
    <t>Napoli (Aventon)</t>
  </si>
  <si>
    <t>Tottenham (Veep)</t>
  </si>
  <si>
    <t>1 - 0 (1 - 0)</t>
  </si>
  <si>
    <t>Borussia Dortmund (indra13_27)</t>
  </si>
  <si>
    <t>1 - 4 (0 - 1)</t>
  </si>
  <si>
    <t>0 - 0 (0 - 0)</t>
  </si>
  <si>
    <t>2 - 3 (1 - 3)</t>
  </si>
  <si>
    <t>2 - 3 (0 - 3)</t>
  </si>
  <si>
    <t>2 - 1 (0 - 0)</t>
  </si>
  <si>
    <t>0 - 1 (0 - 1)</t>
  </si>
  <si>
    <t>3 - 1 (1 - 0)</t>
  </si>
  <si>
    <t>1 - 2 (0 - 0)</t>
  </si>
  <si>
    <t>2 - 3 (1 - 1)</t>
  </si>
  <si>
    <t>2 - 2 (1 - 0)</t>
  </si>
  <si>
    <t>Juventus (skripp)</t>
  </si>
  <si>
    <t>3 - 4 (1 - 1)</t>
  </si>
  <si>
    <t>PSG (AlBack)</t>
  </si>
  <si>
    <t>Liverpool (Spacerman)</t>
  </si>
  <si>
    <t>3 - 1 (0 - 1)</t>
  </si>
  <si>
    <t>FC Bayern (Fric)</t>
  </si>
  <si>
    <t>2 - 1 (1 - 1)</t>
  </si>
  <si>
    <t>Barcelona (indenfor)</t>
  </si>
  <si>
    <t>2 - 6 (1 - 3)</t>
  </si>
  <si>
    <t>0 - 5 (0 - 3)</t>
  </si>
  <si>
    <t>0 - 4 (0 - 2)</t>
  </si>
  <si>
    <t>4 - 3 (0 - 2)</t>
  </si>
  <si>
    <t>2 - 8 (0 - 4)</t>
  </si>
  <si>
    <t>6 - 0 (3 - 0)</t>
  </si>
  <si>
    <t>1 - 1 (0 - 1)</t>
  </si>
  <si>
    <t>3 - 0 (0 - 0)</t>
  </si>
  <si>
    <t>5 - 2 (2 - 1)</t>
  </si>
  <si>
    <t>2 - 3 (1 - 2)</t>
  </si>
  <si>
    <t>1 - 2 (1 - 1)</t>
  </si>
  <si>
    <t>3 - 3 (1 - 0)</t>
  </si>
  <si>
    <t>0 - 6 (0 - 3)</t>
  </si>
  <si>
    <t>Wolverhampton (Thiago)</t>
  </si>
  <si>
    <t>2 - 5 (1 - 3)</t>
  </si>
  <si>
    <t>Roma (Veep)</t>
  </si>
  <si>
    <t>Sevilla (indra13_27)</t>
  </si>
  <si>
    <t>Borussia Monchengladbach (specialist)</t>
  </si>
  <si>
    <t>1 - 1 (1 - 0)</t>
  </si>
  <si>
    <t>1 - 3 (0 - 1)</t>
  </si>
  <si>
    <t>0 - 2 (0 - 2)</t>
  </si>
  <si>
    <t>1 - 2 (0 - 2)</t>
  </si>
  <si>
    <t>5 - 2 (3 - 0)</t>
  </si>
  <si>
    <t>1 - 4 (0 - 2)</t>
  </si>
  <si>
    <t>Feyenoord (skripp)</t>
  </si>
  <si>
    <t>PSV (AlBack)</t>
  </si>
  <si>
    <t>Braga (Spacerman)</t>
  </si>
  <si>
    <t>3 - 4 (2 - 4)</t>
  </si>
  <si>
    <t>0 - 3 (0 - 0)</t>
  </si>
  <si>
    <t>CSKA Moscow (indenfor)</t>
  </si>
  <si>
    <t>4 - 3 (2 - 1)</t>
  </si>
  <si>
    <t>3 - 5 (3 - 3)</t>
  </si>
  <si>
    <t>5 - 2 (2 - 0)</t>
  </si>
  <si>
    <t>1 - 3 (1 - 1)</t>
  </si>
  <si>
    <t>3 - 0 (1 - 0)</t>
  </si>
  <si>
    <t>3 - 1 (1 - 1)</t>
  </si>
  <si>
    <t>5 - 1 (3 - 1)</t>
  </si>
  <si>
    <t>4 - 1 (0 - 0)</t>
  </si>
  <si>
    <t>West Ham United (praym)</t>
  </si>
  <si>
    <t>Wolverhampton (CarlWhizzer)</t>
  </si>
  <si>
    <t>Leicester (Dimqaa)</t>
  </si>
  <si>
    <t>1 - 5 (1 - 2)</t>
  </si>
  <si>
    <t>Everton (Mistyeye)</t>
  </si>
  <si>
    <t>2 - 0 (0 - 0)</t>
  </si>
  <si>
    <t>1 - 1 (1 - 1)</t>
  </si>
  <si>
    <t>0 - 2 (0 - 0)</t>
  </si>
  <si>
    <t>Arsenal (Klexter)</t>
  </si>
  <si>
    <t>2 - 2 (0 - 0)</t>
  </si>
  <si>
    <t>Manchester City (Cool_J)</t>
  </si>
  <si>
    <t>Manchester United (YOSHI)</t>
  </si>
  <si>
    <t>4 - 0 (2 - 0)</t>
  </si>
  <si>
    <t>Tottenham (fasqer)</t>
  </si>
  <si>
    <t>5 - 0 (2 - 0)</t>
  </si>
  <si>
    <t>Liverpool (ForceMajor!)</t>
  </si>
  <si>
    <t>3 - 3 (1 - 1)</t>
  </si>
  <si>
    <t>0 - 5 (0 - 1)</t>
  </si>
  <si>
    <t>2 - 3 (0 - 1)</t>
  </si>
  <si>
    <t>1 - 6 (1 - 2)</t>
  </si>
  <si>
    <t>3 - 2 (1 - 1)</t>
  </si>
  <si>
    <t>Levante (praym)</t>
  </si>
  <si>
    <t>Valladolid (CarlWhizzer)</t>
  </si>
  <si>
    <t>Getafe (Dimqaa)</t>
  </si>
  <si>
    <t>4 - 2 (3 - 0)</t>
  </si>
  <si>
    <t>3 - 1(1 - 0)</t>
  </si>
  <si>
    <t>3 - 2 (1 - 0)</t>
  </si>
  <si>
    <t>Real Madrid (Klexter)</t>
  </si>
  <si>
    <t>Atletico Madrid (Cool_J)</t>
  </si>
  <si>
    <t>Valencia (YOSHI)</t>
  </si>
  <si>
    <t>Barcelona (fasqer)</t>
  </si>
  <si>
    <t>5 - 1 (2 - 1)</t>
  </si>
  <si>
    <t>0 - 3 (0 - 3)</t>
  </si>
  <si>
    <t>3 - 6 (1 - 4)</t>
  </si>
  <si>
    <t>3 - 5 (1 - 4)</t>
  </si>
  <si>
    <t>3 - 0 (2 - 0)</t>
  </si>
  <si>
    <t>3 - 3 (0 - 0)</t>
  </si>
  <si>
    <t>3 - 2 (2 - 1)</t>
  </si>
  <si>
    <t>2 - 1 (0 - 1)</t>
  </si>
  <si>
    <t>Shakhtar Donetsk (praym)</t>
  </si>
  <si>
    <t>Basaksehir (CarlWhizzer)</t>
  </si>
  <si>
    <t>Gent (Quavo)</t>
  </si>
  <si>
    <t>Sporting (Dimqaa)</t>
  </si>
  <si>
    <t>2 - 3 (0 - 2)</t>
  </si>
  <si>
    <t>4 - 0 (1 - 0)</t>
  </si>
  <si>
    <t>3 - 2 (3 - 1)</t>
  </si>
  <si>
    <t>Bayer 04 (Klexter)</t>
  </si>
  <si>
    <t>Manchester United (Cool_J)</t>
  </si>
  <si>
    <t>Inter (YOSHI)</t>
  </si>
  <si>
    <t>Lazio (fasqer)</t>
  </si>
  <si>
    <t>Arsenal (ForceMajor!)</t>
  </si>
  <si>
    <t>3 - 3 (2 - 1)</t>
  </si>
  <si>
    <t>1 - 7 (0 - 5)</t>
  </si>
  <si>
    <t>2 - 5 (1 - 0)</t>
  </si>
  <si>
    <t>2 - 1(1 - 1)</t>
  </si>
  <si>
    <t>4 - 2 (1 - 0)</t>
  </si>
  <si>
    <t>2 - 5 (0 - 2)</t>
  </si>
  <si>
    <t>0 - 6 (0 - 0)</t>
  </si>
  <si>
    <t>3 - 1 (2 - 1)</t>
  </si>
  <si>
    <t xml:space="preserve"> 1 - 2 (0 - 1)</t>
  </si>
  <si>
    <t>Saint-Etienne (Walker)</t>
  </si>
  <si>
    <t>Nice (indra13_27)</t>
  </si>
  <si>
    <t>Montpellier (Zazabak)</t>
  </si>
  <si>
    <t>Bourdeux (kiser)</t>
  </si>
  <si>
    <t>Stade Rennais (specialist)</t>
  </si>
  <si>
    <t>3 - 2 (1 - 2)</t>
  </si>
  <si>
    <t>1 - 3 (1 - 2)</t>
  </si>
  <si>
    <t>2 - 3 (1 - 0)</t>
  </si>
  <si>
    <t>0 - 4 (0 - 1)</t>
  </si>
  <si>
    <t>Marseille (SpursMax)</t>
  </si>
  <si>
    <t>Lyon (ishking11)</t>
  </si>
  <si>
    <t>Lille (YOSHI)</t>
  </si>
  <si>
    <t>Monaco (OLOM)</t>
  </si>
  <si>
    <t>2 - 5 (0 - 3)</t>
  </si>
  <si>
    <t>PSG (Phantom)</t>
  </si>
  <si>
    <t>2 - 6 (2 - 4)</t>
  </si>
  <si>
    <t>1 - 2 (1 - 2)</t>
  </si>
  <si>
    <t>4 - 1 (2 - 0)</t>
  </si>
  <si>
    <t>2 - 2 (0 - 1)</t>
  </si>
  <si>
    <t>2 - 1 (2 - 1)</t>
  </si>
  <si>
    <t>3 - 3 (1 - 3)</t>
  </si>
  <si>
    <t>5 - 4 (1 - 2)</t>
  </si>
  <si>
    <t>Italy (Walker)</t>
  </si>
  <si>
    <t>England (indra13_27)</t>
  </si>
  <si>
    <t>Netherlands (Zazabak)</t>
  </si>
  <si>
    <t>4 - 2 (1 - 1)</t>
  </si>
  <si>
    <t>Portugal (kiser)</t>
  </si>
  <si>
    <t>Argentina (specialist)</t>
  </si>
  <si>
    <t>2 - 1 (2 - 0)</t>
  </si>
  <si>
    <t>2 - 0 (2 - 0)</t>
  </si>
  <si>
    <t>2 - 4 (1 - 3)</t>
  </si>
  <si>
    <t>3 - 2 (0 - 0)</t>
  </si>
  <si>
    <t>Spain (SpursMax)</t>
  </si>
  <si>
    <t>Brazil (ishking11)</t>
  </si>
  <si>
    <t>France (YOSHI)</t>
  </si>
  <si>
    <t>Belgium (OLOM)</t>
  </si>
  <si>
    <t>7 - 1 (5 - 1)</t>
  </si>
  <si>
    <t>Germany (Phantom)</t>
  </si>
  <si>
    <t>3 - 4 (2 - 1)</t>
  </si>
  <si>
    <t>4 - 4 (2 - 3)</t>
  </si>
  <si>
    <t>2 - 4 (2 - 2)</t>
  </si>
  <si>
    <t>3 - 5 (2 - 2)</t>
  </si>
  <si>
    <t>4 - 3 (2 - 2)</t>
  </si>
  <si>
    <t>3 - 3 (3 - 1)</t>
  </si>
  <si>
    <t>Sassuolo (Walker)</t>
  </si>
  <si>
    <t>Roma (indra13_27)</t>
  </si>
  <si>
    <t>4 - 1 (4 - 1)</t>
  </si>
  <si>
    <t>Atalanta (kiser)</t>
  </si>
  <si>
    <t>Torino (specialist)</t>
  </si>
  <si>
    <t>5 - 3 (3 - 3)</t>
  </si>
  <si>
    <t>6 - 0 (4 - 0)</t>
  </si>
  <si>
    <t>2 - 2 (2 - 1)</t>
  </si>
  <si>
    <t>5 - 3 (2 - 1)</t>
  </si>
  <si>
    <t>1 - 5 (1 - 4)</t>
  </si>
  <si>
    <t>2 - 2 (0 - 2)</t>
  </si>
  <si>
    <t>Juventus (SpursMax)</t>
  </si>
  <si>
    <t>Lazio (ishking11)</t>
  </si>
  <si>
    <t>Milan (YOSHI)</t>
  </si>
  <si>
    <t>Inter (OLOM)</t>
  </si>
  <si>
    <t>Napoli (Phantom)</t>
  </si>
  <si>
    <t>4 - 6 (2 - 3)</t>
  </si>
  <si>
    <t>3 - 3 (1 - 2)</t>
  </si>
  <si>
    <t>2 - 5 (2 - 3)</t>
  </si>
  <si>
    <t>2 - 2 (2 - 2)</t>
  </si>
  <si>
    <t>1 -1 (1 - 1)</t>
  </si>
  <si>
    <t>4 - 3 (3 - 1)</t>
  </si>
  <si>
    <t>Wolfsburg (specialist)</t>
  </si>
  <si>
    <t>Hoffenheim (Aventon)</t>
  </si>
  <si>
    <t>Werder Bremen (Veep)</t>
  </si>
  <si>
    <t>1 - 3 (0 - 3)</t>
  </si>
  <si>
    <t>Koln (OoLancer)</t>
  </si>
  <si>
    <t>3 - 1 (2 - 0)</t>
  </si>
  <si>
    <t>Borussia Dortmund (stdm)</t>
  </si>
  <si>
    <t>Borussia Monchengladbach (Fric)</t>
  </si>
  <si>
    <t>Bayer 04 (Tranquil)</t>
  </si>
  <si>
    <t>6 - 2 (2 - 2)</t>
  </si>
  <si>
    <t>RB Leipzig (Gernaut)</t>
  </si>
  <si>
    <t>FC Bayern (indenfor)</t>
  </si>
  <si>
    <t>4 - 1 (1 - 1)</t>
  </si>
  <si>
    <t>4 - 1 (2 - 1)</t>
  </si>
  <si>
    <t>7 - 3 (4 - 1)</t>
  </si>
  <si>
    <t>5 - 0 (3 - 0)</t>
  </si>
  <si>
    <t>0 - 8 (0 - 2)</t>
  </si>
  <si>
    <t>Borussia Dortmund (Thiago)</t>
  </si>
  <si>
    <t>2 - 2 (1 - 2)</t>
  </si>
  <si>
    <t>Tottenham (Aventon)</t>
  </si>
  <si>
    <t>Napoli (Veep)</t>
  </si>
  <si>
    <t>Manchester City (Baphomet)</t>
  </si>
  <si>
    <t>Atletico Madrid (OoLancer)</t>
  </si>
  <si>
    <t>4 - 1 (3 - 0)</t>
  </si>
  <si>
    <t>Barcelona (Spacerman)</t>
  </si>
  <si>
    <t>Juventus (AlBack)</t>
  </si>
  <si>
    <t>PSG (fleshka77)</t>
  </si>
  <si>
    <t>3 - 1 (3 - 0)</t>
  </si>
  <si>
    <t>Liverpool (skripp)</t>
  </si>
  <si>
    <t>4 - 4 (3 - 2)</t>
  </si>
  <si>
    <t>0 - 8 (0 - 3)</t>
  </si>
  <si>
    <t>Porto (Thiago)</t>
  </si>
  <si>
    <t>Borussia Monchengladbach (Aventon)</t>
  </si>
  <si>
    <t>Roma (Baphomet)</t>
  </si>
  <si>
    <t>0 - 1(0 - 1)</t>
  </si>
  <si>
    <t>Sevilla (OoLancer)</t>
  </si>
  <si>
    <t>5 - 1 (4 - 1)</t>
  </si>
  <si>
    <t>4 - 2 (2 - 0)</t>
  </si>
  <si>
    <t>PSV (Spacerman)</t>
  </si>
  <si>
    <t>CSKA Moscow (AlBack)</t>
  </si>
  <si>
    <t>Dynamo Kyiv (fleshka77)</t>
  </si>
  <si>
    <t>4 - 1 (1 - 0)</t>
  </si>
  <si>
    <t>4 - 3 (3 - 0)</t>
  </si>
  <si>
    <t>3 - 5 (1 - 0)</t>
  </si>
  <si>
    <t>2 - 5 (1 - 2)</t>
  </si>
  <si>
    <t>Everton (praym)</t>
  </si>
  <si>
    <t>Leicester (BLM_Mamba)</t>
  </si>
  <si>
    <t>West Ham United (Quavo)</t>
  </si>
  <si>
    <t>Watford (CarlWhizzer)</t>
  </si>
  <si>
    <t>Wolverhampton (Dimqaa)</t>
  </si>
  <si>
    <t>4 - 3 (3 - 3)</t>
  </si>
  <si>
    <t>Tottenham (Unknown)</t>
  </si>
  <si>
    <t>Manchester City (fasqer)</t>
  </si>
  <si>
    <t>Manchester United (kiser)</t>
  </si>
  <si>
    <t>0 - 7 (0 - 3)</t>
  </si>
  <si>
    <t>0 - 5 (0 - 2)</t>
  </si>
  <si>
    <t>4 - 0 (4 - 0)</t>
  </si>
  <si>
    <t>Alaves (praym)</t>
  </si>
  <si>
    <t>Getafe (BLM_Mamba)</t>
  </si>
  <si>
    <t>Levante (Quavo)</t>
  </si>
  <si>
    <t>3 - 8 (1 - 5)</t>
  </si>
  <si>
    <t>Celta (Dimqaa)</t>
  </si>
  <si>
    <t>Sevilla (Klexter)</t>
  </si>
  <si>
    <t>Barcelona (Cool_J)</t>
  </si>
  <si>
    <t>Valencia (Unknown)</t>
  </si>
  <si>
    <t>3 - 2 (0 - 2)</t>
  </si>
  <si>
    <t>Atletico Madrid (fasqer)</t>
  </si>
  <si>
    <t>Real Madrid (kiser)</t>
  </si>
  <si>
    <t>2 - 7 (0 - 5)</t>
  </si>
  <si>
    <t>3 - 3 (2 - 3)</t>
  </si>
  <si>
    <t>Sporting (praym)</t>
  </si>
  <si>
    <t>Shakhtar Donetsk (BLM_Mamba)</t>
  </si>
  <si>
    <t>Basaksehir (Quavo)</t>
  </si>
  <si>
    <t>Celtic (Dimqaa)</t>
  </si>
  <si>
    <t>Inter (Klexter)</t>
  </si>
  <si>
    <t>Arsenal (fasqer)</t>
  </si>
  <si>
    <t>Lazio (kiser)</t>
  </si>
  <si>
    <t>6 - 4 (2 - 1)</t>
  </si>
  <si>
    <t>2 - 4 (0 - 1)</t>
  </si>
  <si>
    <t>1 - 5 (0 - 2)</t>
  </si>
  <si>
    <t>5 - 0 (1 - 0)</t>
  </si>
  <si>
    <t>Nice (Supernova)</t>
  </si>
  <si>
    <t>1 - 4 (0 - 0)</t>
  </si>
  <si>
    <t>Montpellier (CarlWhizzer)</t>
  </si>
  <si>
    <t>Saint-Etienne (Zazabak)</t>
  </si>
  <si>
    <t>Bourdeux (SpursMax)</t>
  </si>
  <si>
    <t>1 - 4 (1 - 3)</t>
  </si>
  <si>
    <t>2 - 3 (2 - 2)</t>
  </si>
  <si>
    <t>Marseille (BoBBY)</t>
  </si>
  <si>
    <t>PSG (OLOM)</t>
  </si>
  <si>
    <t xml:space="preserve">3 - 1 (2 - 1) </t>
  </si>
  <si>
    <t>Monaco (Gernaut)</t>
  </si>
  <si>
    <t>Lille (Gohome)</t>
  </si>
  <si>
    <t>5 - 2 (2 - 2)</t>
  </si>
  <si>
    <t>1 - 4 (1 - 1)</t>
  </si>
  <si>
    <t>Italy (Supernova)</t>
  </si>
  <si>
    <t>England (CarlWhizzer)</t>
  </si>
  <si>
    <t>Portugal (Zazabak)</t>
  </si>
  <si>
    <t>Argentina (NOSEBLEED)</t>
  </si>
  <si>
    <t>Netherlands (SpursMax)</t>
  </si>
  <si>
    <t>4 - 2 (2 - 2)</t>
  </si>
  <si>
    <t>3 - 1 (3 - 1)</t>
  </si>
  <si>
    <t>5 - 3 (4 - 2)</t>
  </si>
  <si>
    <t>3 - 2 (2 - 0)</t>
  </si>
  <si>
    <t>3 - 3 (3 - 2)</t>
  </si>
  <si>
    <t>Belgium (BoBBY)</t>
  </si>
  <si>
    <t>Spain (OLOM)</t>
  </si>
  <si>
    <t>France (Gernaut)</t>
  </si>
  <si>
    <t>Germany (Gohome)</t>
  </si>
  <si>
    <t>0 - 7 (0 - 4)</t>
  </si>
  <si>
    <t>3 - 3 (0 - 2)</t>
  </si>
  <si>
    <t>7 - 0 (4 - 0)</t>
  </si>
  <si>
    <t>5 - 4 (2 - 1)</t>
  </si>
  <si>
    <t>7 - 2 (3 - 1)</t>
  </si>
  <si>
    <t>Torino (Supernova)</t>
  </si>
  <si>
    <t>2 - 4 (0 - 3)</t>
  </si>
  <si>
    <t>Sassuolo (CarlWhizzer)</t>
  </si>
  <si>
    <t>Atalanta (Zazabak)</t>
  </si>
  <si>
    <t>Fiorentina (NOSEBLEED)</t>
  </si>
  <si>
    <t>Roma (SpursMax)</t>
  </si>
  <si>
    <t>6 - 1 (3 - 1)</t>
  </si>
  <si>
    <t>Inter (ishking11)</t>
  </si>
  <si>
    <t>Napoli (Gernaut)</t>
  </si>
  <si>
    <t>3 - 5 (0 - 3)</t>
  </si>
  <si>
    <t>3 - 3 (2 - 0)</t>
  </si>
  <si>
    <t>0 - 4 (0 - 3)</t>
  </si>
  <si>
    <t>0 - 6 (0 - 2)</t>
  </si>
  <si>
    <t>4 - 3 (1 - 2)</t>
  </si>
  <si>
    <t>Eintracht (Thiago)</t>
  </si>
  <si>
    <t>Wolfsburg (Aventon)</t>
  </si>
  <si>
    <t>Koln (Veep)</t>
  </si>
  <si>
    <t>Werder Bremen (indra13_27)</t>
  </si>
  <si>
    <t>Hoffenheim (specialist)</t>
  </si>
  <si>
    <t>Borussia Monchengladbach (skripp)</t>
  </si>
  <si>
    <t>FC Bayern (AlBack)</t>
  </si>
  <si>
    <t>Bayer 04 (Spacerman)</t>
  </si>
  <si>
    <t>RB Leipzig (Fric)</t>
  </si>
  <si>
    <t>Borussia Dortmund (indenfor)</t>
  </si>
  <si>
    <t>5 - 1 (2 - 0)</t>
  </si>
  <si>
    <t>Juventus (specialist)</t>
  </si>
  <si>
    <t>FC Bayern (Aventon)</t>
  </si>
  <si>
    <t>Barcelona (Veep)</t>
  </si>
  <si>
    <t>PSG (Baphomet)</t>
  </si>
  <si>
    <t>Liverpool (Indra13_27)</t>
  </si>
  <si>
    <t>Atletico Madrid (skripp)</t>
  </si>
  <si>
    <t>Borussia Dortmund (AlBack)</t>
  </si>
  <si>
    <t>Tottenham (stdm)</t>
  </si>
  <si>
    <t>Napoli (dinototli)</t>
  </si>
  <si>
    <t>1 - 5 (0 - 4)</t>
  </si>
  <si>
    <t>Manchester City (fleshka77)</t>
  </si>
  <si>
    <t>2 - 4 (1 - 0)</t>
  </si>
  <si>
    <t>5 - 3 (2 - 2)</t>
  </si>
  <si>
    <t>PSV (specialist)</t>
  </si>
  <si>
    <t>CSKA Moscow (Aventon)</t>
  </si>
  <si>
    <t>Braga  (Veep)</t>
  </si>
  <si>
    <t>Feyenoord (Baphomet)</t>
  </si>
  <si>
    <t>Dynamo Kyiv (Indra13_27)</t>
  </si>
  <si>
    <t>0 - 7 (0 - 5)</t>
  </si>
  <si>
    <t>7 - 0 (3 - 0)</t>
  </si>
  <si>
    <t>Roma (skripp)</t>
  </si>
  <si>
    <t>Sevilla (AlBack)</t>
  </si>
  <si>
    <t>Porto (dinototli)</t>
  </si>
  <si>
    <t>Wolverhampton (fleshka77)</t>
  </si>
  <si>
    <t>1 - 6 (1 - 4)</t>
  </si>
  <si>
    <t>Leicester (CarlWhizzer)</t>
  </si>
  <si>
    <t>Watford (Dimqaa)</t>
  </si>
  <si>
    <t xml:space="preserve"> </t>
  </si>
  <si>
    <t>Wolverhampton (Mistyeye)</t>
  </si>
  <si>
    <t>1 - 3 (0 - 0)</t>
  </si>
  <si>
    <t>3 - 4 (1 - 3)</t>
  </si>
  <si>
    <t>Liverpool (OLOM)</t>
  </si>
  <si>
    <t>Tottenham (kiser)</t>
  </si>
  <si>
    <t>Manchester United (Unknown)</t>
  </si>
  <si>
    <t>Manchester City (NOSEBLEED)</t>
  </si>
  <si>
    <t>4 - 2 (0 - 0)</t>
  </si>
  <si>
    <t>.</t>
  </si>
  <si>
    <t>1 - 5 (0 - 1)</t>
  </si>
  <si>
    <t>Valladolid (Dimqaa)</t>
  </si>
  <si>
    <t>4 - 2 (2 - 1)</t>
  </si>
  <si>
    <t>Sevilla (OLOM)</t>
  </si>
  <si>
    <t>Atletico Madrid (kiser)</t>
  </si>
  <si>
    <t>Real Madrid (Unknown)</t>
  </si>
  <si>
    <t xml:space="preserve"> 3 - 1 (2 - 0)</t>
  </si>
  <si>
    <t>Barcelona (Klexter)</t>
  </si>
  <si>
    <t>Valencia (NOSEBLEED)</t>
  </si>
  <si>
    <t>3 - 4 (2 - 2)</t>
  </si>
  <si>
    <t>4 - 2 (3 - 1)</t>
  </si>
  <si>
    <t>Celtic (praym)</t>
  </si>
  <si>
    <t>Sporting (CarlWhizzer)</t>
  </si>
  <si>
    <t>Shakhtar Donetsk (Quavo)</t>
  </si>
  <si>
    <t>Basaksehir (Dimqaa)</t>
  </si>
  <si>
    <t>Gent (Mistyeye)</t>
  </si>
  <si>
    <t>4 - 4 (2 - 2)</t>
  </si>
  <si>
    <t>Bayer 04 (OLOM)</t>
  </si>
  <si>
    <t>Lazio (Unknown)</t>
  </si>
  <si>
    <t>4 - 1 (3 - 1)</t>
  </si>
  <si>
    <t>Arsenal (NOSEBLEED)</t>
  </si>
  <si>
    <t>0 - 4 (0 - 0)</t>
  </si>
  <si>
    <t xml:space="preserve"> 1 - 2 (1 - 1)</t>
  </si>
  <si>
    <t>4 - 0 (0 - 0)</t>
  </si>
  <si>
    <t>Saint-Etienne (YOSHI)</t>
  </si>
  <si>
    <t>Stade Rennais (ishking11)</t>
  </si>
  <si>
    <t>Nice (specialist)</t>
  </si>
  <si>
    <t>PSG (Sanchez)</t>
  </si>
  <si>
    <t>Lille (skmgery)</t>
  </si>
  <si>
    <t>Lyon (Gohome)</t>
  </si>
  <si>
    <t>4 - 0 (3 - 0)</t>
  </si>
  <si>
    <t>Marseille (Jenko)</t>
  </si>
  <si>
    <t>1 - 5 (1 - 3)</t>
  </si>
  <si>
    <t>Italy (SpursMax)</t>
  </si>
  <si>
    <t>2 - 3 (2 - 1)</t>
  </si>
  <si>
    <t>Argentina (CarlWhizzer)</t>
  </si>
  <si>
    <t>Portugal (YOSHI)</t>
  </si>
  <si>
    <t>Netherlands (ishking11)</t>
  </si>
  <si>
    <t>England (specialist)</t>
  </si>
  <si>
    <t>5 - 1 (3 - 0)</t>
  </si>
  <si>
    <t>5 - 3 (3 - 2)</t>
  </si>
  <si>
    <t>2 - 5 (2 - 2)</t>
  </si>
  <si>
    <t>5 - 2 (1 - 0)</t>
  </si>
  <si>
    <t>8 - 0 (5 - 0)</t>
  </si>
  <si>
    <t>Germany (Sanchez)</t>
  </si>
  <si>
    <t>Brazil (Gernaut)</t>
  </si>
  <si>
    <t>Spain (skmgery)</t>
  </si>
  <si>
    <t>France (Gohome)</t>
  </si>
  <si>
    <t>6 - 2 (5 - 2)</t>
  </si>
  <si>
    <t>Belgium (Jenko)</t>
  </si>
  <si>
    <t>8 - 0 (4 - 0)</t>
  </si>
  <si>
    <t>5 - 2 (4 - 1)</t>
  </si>
  <si>
    <t>2 - 6 (0 - 4)</t>
  </si>
  <si>
    <t>Atalanta (SpursMax)</t>
  </si>
  <si>
    <t>Sassuolo (YOSHI)</t>
  </si>
  <si>
    <t>4 - 2 (1 - 2)</t>
  </si>
  <si>
    <t>Roma (ishking11)</t>
  </si>
  <si>
    <t>Fiorentina (specialist)</t>
  </si>
  <si>
    <t>3 - 2 (2 - 2)</t>
  </si>
  <si>
    <t>0 - 5 (0 - 4)</t>
  </si>
  <si>
    <t>3 - 2 (3 - 2)</t>
  </si>
  <si>
    <t>5 - 1 (4 - 0)</t>
  </si>
  <si>
    <t>Juventus (Sanchez)</t>
  </si>
  <si>
    <t>Lazio (skmgery)</t>
  </si>
  <si>
    <t>Inter (Gohome)</t>
  </si>
  <si>
    <t>Milan (Jenko)</t>
  </si>
  <si>
    <t>8 - 0 (3 - 0)</t>
  </si>
  <si>
    <t>6 - 0 (2 - 0)</t>
  </si>
  <si>
    <t>0 - 7 (0 - 1)</t>
  </si>
  <si>
    <t>2 - 6 (1 - 4)</t>
  </si>
  <si>
    <t>Wolfsburg (Thiago)</t>
  </si>
  <si>
    <t>Eintracht (Aventon)</t>
  </si>
  <si>
    <t>Koln (Baphomet)</t>
  </si>
  <si>
    <t>Hoffenheim (OoLancer)</t>
  </si>
  <si>
    <t>0 - 5 (0 - 0)</t>
  </si>
  <si>
    <t>Borussia Dortmund (Spacerman)</t>
  </si>
  <si>
    <t>Borussia Monchengladbach (AlBack)</t>
  </si>
  <si>
    <t>Bayer 04 (fleshka77)</t>
  </si>
  <si>
    <t>RB Leipzig (skripp)</t>
  </si>
  <si>
    <t>3 - 5 (1 - 2)</t>
  </si>
  <si>
    <t>FC Bayern (specialist)</t>
  </si>
  <si>
    <t>PSG (Aventon)</t>
  </si>
  <si>
    <t>Juventus (Thiago)</t>
  </si>
  <si>
    <t>Barcelona (Baphomet)</t>
  </si>
  <si>
    <t>Liverpool (OoLancer)</t>
  </si>
  <si>
    <t>Borussia Dortmund (skripp)</t>
  </si>
  <si>
    <t>7 - 0 (2 - 0)</t>
  </si>
  <si>
    <t>Atletico Madrid (dinototli)</t>
  </si>
  <si>
    <t>Manchester City (Indra13_27)</t>
  </si>
  <si>
    <t>CSKA Moscow (specialist)</t>
  </si>
  <si>
    <t>PSV (Aventon)</t>
  </si>
  <si>
    <t>Braga  (Thiago)</t>
  </si>
  <si>
    <t>Dynamo Kyiv (Baphomet)</t>
  </si>
  <si>
    <t>Feyenoord (OoLancer)</t>
  </si>
  <si>
    <t>1 - 1 (1 -1)</t>
  </si>
  <si>
    <t>1 - 3 (1 - 0)</t>
  </si>
  <si>
    <t>Wolverhampton (skripp)</t>
  </si>
  <si>
    <t>Roma (stdm)</t>
  </si>
  <si>
    <t>Borussia Monchengladbach (dinototli)</t>
  </si>
  <si>
    <t>Porto  (Indra13_27)</t>
  </si>
  <si>
    <t>Manchester City  (Supernova)</t>
  </si>
  <si>
    <t>Liverpool  (CarlWhizzer)</t>
  </si>
  <si>
    <t>Tottenham (Walker)</t>
  </si>
  <si>
    <t>Manchester United  (Sima)</t>
  </si>
  <si>
    <t>Arsenal (Stig)</t>
  </si>
  <si>
    <t>3 - 2 (3 - 0)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</si>
  <si>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</si>
  <si>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</si>
  <si>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</si>
  <si>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</si>
  <si>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</si>
  <si>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</si>
  <si>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</si>
  <si>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</si>
  <si>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</si>
  <si>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</si>
  <si>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</si>
  <si>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</si>
  <si>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</si>
  <si>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</si>
  <si>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</si>
  <si>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</si>
  <si>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</si>
  <si>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0 - 4 (0 - 4)</t>
  </si>
  <si>
    <t>Lazio (Supernova)</t>
  </si>
  <si>
    <t>3 - 3 (2 - 2)</t>
  </si>
  <si>
    <t>Bayer 04 (CarlWhizzer)</t>
  </si>
  <si>
    <t>Inter (Walker)</t>
  </si>
  <si>
    <t>Manchester United (Sima)</t>
  </si>
  <si>
    <t>Basaksehir (kiser)</t>
  </si>
  <si>
    <t>Gent (ForceMajor!)</t>
  </si>
  <si>
    <t>Shakhtar Donetsk (Klexter)</t>
  </si>
  <si>
    <t>Sporting (Gohome)</t>
  </si>
  <si>
    <t>Celtic (Ishking11)</t>
  </si>
  <si>
    <t>3 -1 (2 - 0)</t>
  </si>
  <si>
    <t>4 - 5 (3 - 1)</t>
  </si>
  <si>
    <t>1 - 6 (0 - 3)</t>
  </si>
  <si>
    <t>Lyon  (Walker)</t>
  </si>
  <si>
    <t>Marseille  (Corvin)</t>
  </si>
  <si>
    <t>Lille (Zazabak)</t>
  </si>
  <si>
    <t>PSG (Sima)</t>
  </si>
  <si>
    <t>Monaco  (Stig)</t>
  </si>
  <si>
    <t>3 - 5 (1 - 3)</t>
  </si>
  <si>
    <t>Stade Rennais (Supernova)</t>
  </si>
  <si>
    <t>Nice (Sanchez)</t>
  </si>
  <si>
    <t>Bourdeux (YOSHI)</t>
  </si>
  <si>
    <t>Montpellier (skmgery)</t>
  </si>
  <si>
    <t>7 - 1 (4 - 0)</t>
  </si>
  <si>
    <t>Saint-Etienne (Sleepy)</t>
  </si>
  <si>
    <t>6 - 1 (5 - 0)</t>
  </si>
  <si>
    <t>1 - 6 (1 - 3)</t>
  </si>
  <si>
    <t>3 - 0 (2 -  0)</t>
  </si>
  <si>
    <t>Belgium (Walker)</t>
  </si>
  <si>
    <t>cancelled</t>
  </si>
  <si>
    <t>France (Corvin)</t>
  </si>
  <si>
    <t>Brazil (Zazabak)</t>
  </si>
  <si>
    <t>Germany (Sima)</t>
  </si>
  <si>
    <t xml:space="preserve"> 1 - 2 (0 - 2)</t>
  </si>
  <si>
    <t>Spain (Stig)</t>
  </si>
  <si>
    <t>5 - 3 (3 - 1)</t>
  </si>
  <si>
    <t>2 - 4 (1 - 4)</t>
  </si>
  <si>
    <t>Argentina (Supernova)</t>
  </si>
  <si>
    <t>Netherlands (Sanchez)</t>
  </si>
  <si>
    <t>Italy (YOSHI)</t>
  </si>
  <si>
    <t>Portugal (skmgery)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</si>
  <si>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</si>
  <si>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</si>
  <si>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</si>
  <si>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</si>
  <si>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</si>
  <si>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</si>
  <si>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</si>
  <si>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</si>
  <si>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3 - 4 (1 - 2)</t>
  </si>
  <si>
    <t>8 - 2 (4 - 0)</t>
  </si>
  <si>
    <t>Sassuolo (Supernova)</t>
  </si>
  <si>
    <t>Roma  (Sanchez)</t>
  </si>
  <si>
    <t>Fiorentina (YOSHI)</t>
  </si>
  <si>
    <t>3 - 5 (1 - 1)</t>
  </si>
  <si>
    <t>Torino  (skmgery)</t>
  </si>
  <si>
    <t>Atalanta  (Sleepy)</t>
  </si>
  <si>
    <t>4 - 2 (3 - 2)</t>
  </si>
  <si>
    <t>0 - 6 (0 - 4)</t>
  </si>
  <si>
    <t>Bayer 04  (specialist)</t>
  </si>
  <si>
    <t>Borussia Dortmund (Aventon)</t>
  </si>
  <si>
    <t>FC Bayern  (Veep)</t>
  </si>
  <si>
    <t>Borussia Monchengladbach  (Baphomet)</t>
  </si>
  <si>
    <t>RB Leipzig  (Indra13_27)</t>
  </si>
  <si>
    <t>Koln (skripp)</t>
  </si>
  <si>
    <t>Eintracht (AlBack)</t>
  </si>
  <si>
    <t>Werder Bremen (stdm)</t>
  </si>
  <si>
    <t>Hoffenheim  (dinototli)</t>
  </si>
  <si>
    <t>Wolfsburg  (fleshka77)</t>
  </si>
  <si>
    <t>6 - 1 (1 - 1)</t>
  </si>
  <si>
    <t>5 - 2 (1 - 2)</t>
  </si>
  <si>
    <t>Manchester City (AlBack)</t>
  </si>
  <si>
    <t>Atletico Madrid (indenfor)</t>
  </si>
  <si>
    <t>1 - 4 (1 - 0)</t>
  </si>
  <si>
    <t>6 - 3 (4 - 0)</t>
  </si>
  <si>
    <t>Braga  (OoLancer)</t>
  </si>
  <si>
    <t>Dynamo Kyiv (Aventon)</t>
  </si>
  <si>
    <t>CSKA Moscow (Baphomet)</t>
  </si>
  <si>
    <t>Feyenoord (fleshka77)</t>
  </si>
  <si>
    <t>2 - 3 (0 - 0)</t>
  </si>
  <si>
    <t>7 - 1 (1 - 0)</t>
  </si>
  <si>
    <t>Porto  (skripp)</t>
  </si>
  <si>
    <t>Wolverhampton (AlBack)</t>
  </si>
  <si>
    <t>Roma (Gernaut)</t>
  </si>
  <si>
    <t>Sevilla (indenfor)</t>
  </si>
  <si>
    <t>8 - 1 (4 - 1)</t>
  </si>
  <si>
    <t>1 - 8 (0 - 6)</t>
  </si>
  <si>
    <t>Manchester City (Quavo)</t>
  </si>
  <si>
    <t>Manchester United (CarlWhizzer)</t>
  </si>
  <si>
    <t>Tottenham (Sima)</t>
  </si>
  <si>
    <t>Liverpool (Corvin)</t>
  </si>
  <si>
    <t>Arsenal (Dimqaa)</t>
  </si>
  <si>
    <t>Crystal Palace (Klexter)</t>
  </si>
  <si>
    <t>4 - 3 (4 - 0)</t>
  </si>
  <si>
    <t>Southampton (fasqer)</t>
  </si>
  <si>
    <t>Aston Villa (Sanchez)</t>
  </si>
  <si>
    <t>Newcastle United (ForceMajor!)</t>
  </si>
  <si>
    <t>9 - 0 (5 - 0)</t>
  </si>
  <si>
    <t>4 - 2 (4 - 0)</t>
  </si>
  <si>
    <t>Barcelona (Quavo)</t>
  </si>
  <si>
    <t>Sevilla (CarlWhizzer)</t>
  </si>
  <si>
    <t>Atletico Madrid (Sima)</t>
  </si>
  <si>
    <t>Valencia (Corvin)</t>
  </si>
  <si>
    <t>Real Madrid (Dimqaa)</t>
  </si>
  <si>
    <t>1 - 6 (0 - 4)</t>
  </si>
  <si>
    <t>2 - 4 (0 - 2)</t>
  </si>
  <si>
    <t>Valladolid (Klexter)</t>
  </si>
  <si>
    <t>Celta (fasqer)</t>
  </si>
  <si>
    <t>Alaves (Sanchez)</t>
  </si>
  <si>
    <t>Levante (ForceMajor!)</t>
  </si>
  <si>
    <t>Espanyol (kiser)</t>
  </si>
  <si>
    <t>6 - 1 (3 - 0)</t>
  </si>
  <si>
    <t>6 - 2 (3 - 1)</t>
  </si>
  <si>
    <t>Inter (Quavo)</t>
  </si>
  <si>
    <t>Arsenal (Sima)</t>
  </si>
  <si>
    <t>Manchester United (Corvin)</t>
  </si>
  <si>
    <t>Lazio (Dimqaa)</t>
  </si>
  <si>
    <t>5 - 3 (1 - 2)</t>
  </si>
  <si>
    <t>5 - 3 (3 - 0)</t>
  </si>
  <si>
    <t>Sporting (Klexter)</t>
  </si>
  <si>
    <t>Shakhtar Donetsk (fasqer)</t>
  </si>
  <si>
    <t>Celtic (Sanchez)</t>
  </si>
  <si>
    <t>7 - 0 (5 - 0)</t>
  </si>
  <si>
    <t>5 - 2 (1 - 1)</t>
  </si>
  <si>
    <t xml:space="preserve"> 2 - 1 (0 - 1)</t>
  </si>
  <si>
    <t>1 - 7 (0 - 2)</t>
  </si>
  <si>
    <t>2 - 3 (1 -1)</t>
  </si>
  <si>
    <t>Lyon (Walker)</t>
  </si>
  <si>
    <t>Monaco (Corvin)</t>
  </si>
  <si>
    <t>PSG (Zazabak)</t>
  </si>
  <si>
    <t>Marseille (Sima)</t>
  </si>
  <si>
    <t>Lille (specialist)</t>
  </si>
  <si>
    <t>Nice (BoBBY)</t>
  </si>
  <si>
    <t>Stade Rennais (Jenko)</t>
  </si>
  <si>
    <t>Bourdeux (Phantom)</t>
  </si>
  <si>
    <t>4 - 3 (3 - 2)</t>
  </si>
  <si>
    <t>3 - 5 (3 - 4)</t>
  </si>
  <si>
    <t>4 - 3 (1 - 0)</t>
  </si>
  <si>
    <t>Brazil (Walker)</t>
  </si>
  <si>
    <t>Belgium (Corvin)</t>
  </si>
  <si>
    <t>Germany (Zazabak)</t>
  </si>
  <si>
    <t>France (Sima)</t>
  </si>
  <si>
    <t>Spain (specialist)</t>
  </si>
  <si>
    <t>Netherlands (skmgery)</t>
  </si>
  <si>
    <t>5 - 4 (3 - 1)</t>
  </si>
  <si>
    <t>Portugal (BoBBY)</t>
  </si>
  <si>
    <t>England (YOSHI)</t>
  </si>
  <si>
    <t>4 - 1 (0 - 1)</t>
  </si>
  <si>
    <t>Italy (Jenko)</t>
  </si>
  <si>
    <t>Argentina (Phantom)</t>
  </si>
  <si>
    <t>3 - 4 (0 - 4)</t>
  </si>
  <si>
    <t>5 - 1 (1 - 1)</t>
  </si>
  <si>
    <t>4 - 5 (2 - 3)</t>
  </si>
  <si>
    <t>Juventus (Walker)</t>
  </si>
  <si>
    <t>Napoli (Corvin)</t>
  </si>
  <si>
    <t>Milan (Zazabak)</t>
  </si>
  <si>
    <t>Lazio (Sima)</t>
  </si>
  <si>
    <t>Inter (specialist)</t>
  </si>
  <si>
    <t>Sassuolo (skmgery)</t>
  </si>
  <si>
    <t>Roma (BoBBY)</t>
  </si>
  <si>
    <t>Atalanta (YOSHI)</t>
  </si>
  <si>
    <t>Fiorentina (Jenko)</t>
  </si>
  <si>
    <t>Torino (Phantom)</t>
  </si>
  <si>
    <t>1 - 7 (0 - 3)</t>
  </si>
  <si>
    <t>4 - 6 (2 - 1)</t>
  </si>
  <si>
    <t>RB Leipzig (Thiago)</t>
  </si>
  <si>
    <t>Bayer 04 (Baphomet)</t>
  </si>
  <si>
    <t>Borussia Monchengladbach (OoLancer)</t>
  </si>
  <si>
    <t>Hoffenheim (AlBack)</t>
  </si>
  <si>
    <t>Wolfsburg (stdm)</t>
  </si>
  <si>
    <t>Eintracht (dinototli)</t>
  </si>
  <si>
    <t>Werder Bremen (Indra13_27)</t>
  </si>
  <si>
    <t>Barcelona (OoLancer)</t>
  </si>
  <si>
    <t>Juventus (Aventon)</t>
  </si>
  <si>
    <t>Liverpool (Veep)</t>
  </si>
  <si>
    <t>FC Bayern (fleshka77)</t>
  </si>
  <si>
    <t>Atletico Madrid (Klexter)</t>
  </si>
  <si>
    <t>Manchester City (dinototli)</t>
  </si>
  <si>
    <t>Napoli (skripp)</t>
  </si>
  <si>
    <t>Tottenham (Gernaut)</t>
  </si>
  <si>
    <t>1 - 5 (0 - 5)</t>
  </si>
  <si>
    <t>3 - 1 (1 - 0 )</t>
  </si>
  <si>
    <t>CSKA Moscow (OoLancer)</t>
  </si>
  <si>
    <t>PSV (Veep)</t>
  </si>
  <si>
    <t>Braga  (Baphomet)</t>
  </si>
  <si>
    <t>7 - 2 (5 - 1)</t>
  </si>
  <si>
    <t>3 - 4 (0 - 3)</t>
  </si>
  <si>
    <t>Borussia Monchengladbach (Klexter)</t>
  </si>
  <si>
    <t>Porto  (dinototli)</t>
  </si>
  <si>
    <t>Wolverhampton (Fric)</t>
  </si>
  <si>
    <t>Sevilla (Gernaut)</t>
  </si>
  <si>
    <t>2 - 3 (2 - 3)</t>
  </si>
  <si>
    <t>Manchester City (SpursMax)</t>
  </si>
  <si>
    <t>Tottenham (CarlWhizzer)</t>
  </si>
  <si>
    <t>Manchester United (Walker)</t>
  </si>
  <si>
    <t>Liverpool (Ishking11)</t>
  </si>
  <si>
    <t>Arsenal (Quavo)</t>
  </si>
  <si>
    <t>4 - 3 (1 - 3)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</si>
  <si>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</si>
  <si>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</si>
  <si>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</si>
  <si>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</si>
  <si>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</si>
  <si>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</si>
  <si>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</si>
  <si>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Valencia (CarlWhizzer)</t>
  </si>
  <si>
    <t>Atletico Madrid (Walker)</t>
  </si>
  <si>
    <t>Barcelona (Ishking11)</t>
  </si>
  <si>
    <t>Real Madrid (Quavo)</t>
  </si>
  <si>
    <t>7 - 2 (3 - 0)</t>
  </si>
  <si>
    <t>6 - 1 (2 - 0)</t>
  </si>
  <si>
    <t>Levante (kiser)</t>
  </si>
  <si>
    <t>Espanyol (Cool_J)</t>
  </si>
  <si>
    <t>Alaves (Unknown)</t>
  </si>
  <si>
    <t>Valladolid (fasqer)</t>
  </si>
  <si>
    <t>Celta (ForceMajor!)</t>
  </si>
  <si>
    <t>1 - 5  (0 - 3)</t>
  </si>
  <si>
    <t>2 - 3 (2 - 0)</t>
  </si>
  <si>
    <t>Inter (SpursMax)</t>
  </si>
  <si>
    <t>Lazio (Walker)</t>
  </si>
  <si>
    <t>Arsenal (Ishking11)</t>
  </si>
  <si>
    <t>Manchester United (Quavo)</t>
  </si>
  <si>
    <t>,</t>
  </si>
  <si>
    <t>0 - 6 (0 - 6)</t>
  </si>
  <si>
    <t>4 - 4 (1 - 2)</t>
  </si>
  <si>
    <t>Gent (kiser)</t>
  </si>
  <si>
    <t>CSKA Moscow (Cool_J)</t>
  </si>
  <si>
    <t>Celtic (Unknown)</t>
  </si>
  <si>
    <t>Basaksehir (fasqer)</t>
  </si>
  <si>
    <t>Sporting (ForceMajor!)</t>
  </si>
  <si>
    <t>Monaco (YOSHI)</t>
  </si>
  <si>
    <t>Lille (Corvin)</t>
  </si>
  <si>
    <t>Lyon (Sima)</t>
  </si>
  <si>
    <t>Marseille (Veep)</t>
  </si>
  <si>
    <t>Nice (Jenko)</t>
  </si>
  <si>
    <t xml:space="preserve"> 1 - 1 (0 - 0)</t>
  </si>
  <si>
    <t>Stade Rennais (BoBBY)</t>
  </si>
  <si>
    <t>Montpellier (Supernova)</t>
  </si>
  <si>
    <t>Saint-Etienne (Cool_J)</t>
  </si>
  <si>
    <t>Bourdeux (Gohome)</t>
  </si>
  <si>
    <t>1 - 6 (0  - 2)</t>
  </si>
  <si>
    <t>5 - 4 (5 - 4)</t>
  </si>
  <si>
    <t>Spain (Veep)</t>
  </si>
  <si>
    <t>2 - 6 (0 - 3)</t>
  </si>
  <si>
    <t>Netherlands (Jenko)</t>
  </si>
  <si>
    <t>Italy (BoBBY)</t>
  </si>
  <si>
    <t>Portugal (Supernova)</t>
  </si>
  <si>
    <t>England (Cool_J)</t>
  </si>
  <si>
    <t>Argentina (Gohome)</t>
  </si>
  <si>
    <t>5 - 1 (1 - 0)</t>
  </si>
  <si>
    <t>Juventus (Corvin)</t>
  </si>
  <si>
    <t>Napoli (Sima)</t>
  </si>
  <si>
    <t>Lazio (Veep)</t>
  </si>
  <si>
    <t>Roma (Jenko)</t>
  </si>
  <si>
    <t>Fiorentina (BoBBY)</t>
  </si>
  <si>
    <t>Atalanta (Cool_J)</t>
  </si>
  <si>
    <t>Sassuolo (Gohome)</t>
  </si>
  <si>
    <t>Bayer 04 (OoLancer)</t>
  </si>
  <si>
    <t>RB Leipzig (Baphomet)</t>
  </si>
  <si>
    <t>3 - 6 (2 - 2)</t>
  </si>
  <si>
    <t>Werder Bremen (skripp)</t>
  </si>
  <si>
    <t>Koln (stdm)</t>
  </si>
  <si>
    <t>Eintracht (Gernaut)</t>
  </si>
  <si>
    <t>Wolfsburg (indenfor)</t>
  </si>
  <si>
    <t>Liverpool (specialist)</t>
  </si>
  <si>
    <t>Barcelona (Aventon)</t>
  </si>
  <si>
    <t>Juventus (Veep)</t>
  </si>
  <si>
    <t>FC Bayern (OoLancer)</t>
  </si>
  <si>
    <t>Atletico Madrid (Gernaut)</t>
  </si>
  <si>
    <t>3 - 4 (2 - 3)</t>
  </si>
  <si>
    <t>Manchester City (indenfor)</t>
  </si>
  <si>
    <t>7 - 1 (3 - 1)</t>
  </si>
  <si>
    <t>1 - 6 (0 - 2)</t>
  </si>
  <si>
    <t>Dynamo Kyiv (specialist)</t>
  </si>
  <si>
    <t>Feyenoord (Veep)</t>
  </si>
  <si>
    <t>Porto  (Gernaut)</t>
  </si>
  <si>
    <t>6 - 2 (5 - 1)</t>
  </si>
  <si>
    <t>6 - 0 (1 - 0)</t>
  </si>
  <si>
    <t>2 - 7 (1 - 3)</t>
  </si>
  <si>
    <t>Arsenal (Walker)</t>
  </si>
  <si>
    <t>Manchester United (Mistyeye)</t>
  </si>
  <si>
    <t>Liverpool (YOSHI)</t>
  </si>
  <si>
    <t>Manchester City (praym)</t>
  </si>
  <si>
    <t>Tottenham (Quavo)</t>
  </si>
  <si>
    <t>Southampton (Supernova)</t>
  </si>
  <si>
    <t>Crystal Palace (Unknown)</t>
  </si>
  <si>
    <t>Aston Villa (kiser)</t>
  </si>
  <si>
    <t>Real Madrid (Walker)</t>
  </si>
  <si>
    <t>Barcelona (Mistyeye)</t>
  </si>
  <si>
    <t>Sevilla (YOSHI)</t>
  </si>
  <si>
    <t>Atletico Madrid (praym)</t>
  </si>
  <si>
    <t xml:space="preserve"> 2 - 1 (1 - 1)</t>
  </si>
  <si>
    <t>Valencia (Quavo)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</si>
  <si>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</si>
  <si>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</si>
  <si>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</si>
  <si>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</si>
  <si>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</si>
  <si>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</si>
  <si>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Arsenal (YOSHI)</t>
  </si>
  <si>
    <t>Lazio (praym)</t>
  </si>
  <si>
    <t>2 - 4 (2 - 3)</t>
  </si>
  <si>
    <t>Gent (Supernova)</t>
  </si>
  <si>
    <t>Basaksehir (Cool_J)</t>
  </si>
  <si>
    <t>Shakhtar Donetsk (ForceMajor!)</t>
  </si>
  <si>
    <t>Sporting (kiser)</t>
  </si>
  <si>
    <t>5 - 0 (5 - 0)</t>
  </si>
  <si>
    <t xml:space="preserve"> 0 - 1 (0 - 1)</t>
  </si>
  <si>
    <t>Marseille (OoLancer)</t>
  </si>
  <si>
    <t>Lille (Indra13_27)</t>
  </si>
  <si>
    <t>Lyon (Jenko)</t>
  </si>
  <si>
    <t>Montpellier (SpursMax)</t>
  </si>
  <si>
    <t>Bourdeux (Ishking11)</t>
  </si>
  <si>
    <t>Nice (YOSHI)</t>
  </si>
  <si>
    <t>5 - 2 (4 - 0)</t>
  </si>
  <si>
    <t>Saint-Etienne (kiser)</t>
  </si>
  <si>
    <t>5 - 4 (4 - 1)</t>
  </si>
  <si>
    <t>Stade Rennais (Phantom)</t>
  </si>
  <si>
    <t>1 - 7 (1 - 3)</t>
  </si>
  <si>
    <t>1 - 5 (1 - 1)</t>
  </si>
  <si>
    <t>Brazil (OoLancer)</t>
  </si>
  <si>
    <t>Germany (Corvin)</t>
  </si>
  <si>
    <t>Spain (Sima)</t>
  </si>
  <si>
    <t>France (Indra13_27)</t>
  </si>
  <si>
    <t xml:space="preserve"> 0 - 2 (0 - 1)</t>
  </si>
  <si>
    <t>Portugal (SpursMax)</t>
  </si>
  <si>
    <t>Italy (Ishking11)</t>
  </si>
  <si>
    <t>Netherlands (kiser)</t>
  </si>
  <si>
    <t>6 - 3 (2 - 1)</t>
  </si>
  <si>
    <t>0 - 5 (0 - 5)</t>
  </si>
  <si>
    <t>Inter (OoLancer)</t>
  </si>
  <si>
    <t>Milan (Corvin)</t>
  </si>
  <si>
    <t>Juventus (Sima)</t>
  </si>
  <si>
    <t>Lazio (Indra13_27)</t>
  </si>
  <si>
    <t>Napoli (Jenko)</t>
  </si>
  <si>
    <t>3 - 6 (0 - 3)</t>
  </si>
  <si>
    <t>Torino (SpursMax)</t>
  </si>
  <si>
    <t>Fiorentina (Ishking11)</t>
  </si>
  <si>
    <t>6 - 2 (4 - 1)</t>
  </si>
  <si>
    <t>Roma (Phantom)</t>
  </si>
  <si>
    <t>4 - 1 (4 - 0)</t>
  </si>
  <si>
    <t>RB Leipzig (OoLancer)</t>
  </si>
  <si>
    <t>Borussia Monchengladbach (Veep)</t>
  </si>
  <si>
    <t>FC Bayern (Baphomet)</t>
  </si>
  <si>
    <t>Werder Bremen (Klexter)</t>
  </si>
  <si>
    <t>Wolfsburg (skripp)</t>
  </si>
  <si>
    <t>Koln (Fric)</t>
  </si>
  <si>
    <t>Hoffenheim (Gernaut)</t>
  </si>
  <si>
    <t>Liverpool (fleshka77)</t>
  </si>
  <si>
    <t>5 - 3 (0 - 2)</t>
  </si>
  <si>
    <t>Manchester City (Spacerman)</t>
  </si>
  <si>
    <t>Napoli (stdm)</t>
  </si>
  <si>
    <t>Tottenham (Fric)</t>
  </si>
  <si>
    <t>Feyenoord (Aventon)</t>
  </si>
  <si>
    <t>CSKA Moscow (Veep)</t>
  </si>
  <si>
    <t>Porto  (Spacerman)</t>
  </si>
  <si>
    <t>Wolverhampton (stdm)</t>
  </si>
  <si>
    <t>Getafe (Fric)</t>
  </si>
  <si>
    <t>Roma (indenfor)</t>
  </si>
  <si>
    <t>4 - 3 (1 - 1)</t>
  </si>
  <si>
    <t>Arsenal (CarlWhizzer)</t>
  </si>
  <si>
    <t>Liverpool (Stig)</t>
  </si>
  <si>
    <t>Manchester United (Dimqaa)</t>
  </si>
  <si>
    <t>5 - 3 (5 - 1)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</si>
  <si>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</si>
  <si>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</si>
  <si>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</si>
  <si>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</si>
  <si>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</si>
  <si>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</si>
  <si>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4 - 2 (4 - 2)</t>
  </si>
  <si>
    <t>Atletico Madrid (CarlWhizzer)</t>
  </si>
  <si>
    <t>Sevilla (Stig)</t>
  </si>
  <si>
    <t>Valencia (praym)</t>
  </si>
  <si>
    <t>Levante (fasqer)</t>
  </si>
  <si>
    <t>Valladolid (YOSHI)</t>
  </si>
  <si>
    <t>2 - 4 (2 - 1)</t>
  </si>
  <si>
    <t>6 - 2 (3 - 0)</t>
  </si>
  <si>
    <t>Inter (CarlWhizzer)</t>
  </si>
  <si>
    <t>Bayer 04 (Dimqaa)</t>
  </si>
  <si>
    <t xml:space="preserve"> 1 - 2 (1 - 2)</t>
  </si>
  <si>
    <t>Shakhtar Donetsk (Unknown)</t>
  </si>
  <si>
    <t>Gent (fasqer)</t>
  </si>
  <si>
    <t>Basaksehir (YOSHI)</t>
  </si>
  <si>
    <t>Celtic (ForceMajor!)</t>
  </si>
  <si>
    <t>8 - 2 (4 - 2)</t>
  </si>
  <si>
    <t>5 - 5 (2 - 2)</t>
  </si>
  <si>
    <t>Lille (Stig)</t>
  </si>
  <si>
    <t>Lyon (OoLancer)</t>
  </si>
  <si>
    <t>Monaco (Walker)</t>
  </si>
  <si>
    <t>PSG (specialist)</t>
  </si>
  <si>
    <t>3 - 1 ( 2 - 1)</t>
  </si>
  <si>
    <t>Saint-Etienne (ViTo)</t>
  </si>
  <si>
    <t>Nice (Ishking11)</t>
  </si>
  <si>
    <t>3 - 3 (1 -1)</t>
  </si>
  <si>
    <t>Belgium (Stig)</t>
  </si>
  <si>
    <t>France (OoLancer)</t>
  </si>
  <si>
    <t>Germany (specialist)</t>
  </si>
  <si>
    <t>Italy (ViTo)</t>
  </si>
  <si>
    <t>Argentina (YOSHI)</t>
  </si>
  <si>
    <t>Portugal (Jenko)</t>
  </si>
  <si>
    <t>England (Supernova)</t>
  </si>
  <si>
    <t>2 - 6 (1 - 1)</t>
  </si>
  <si>
    <t>Juventus (Stig)</t>
  </si>
  <si>
    <t>Milan (OoLancer)</t>
  </si>
  <si>
    <t>Napoli (Walker)</t>
  </si>
  <si>
    <t>Atalanta (ViTo)</t>
  </si>
  <si>
    <t>Sassuolo (Ishking11)</t>
  </si>
  <si>
    <t>Torino (Jenko)</t>
  </si>
  <si>
    <t>Roma (Supernova)</t>
  </si>
  <si>
    <t>5 - 4 (3 - 2)</t>
  </si>
  <si>
    <t>Bayer 04 (Veep)</t>
  </si>
  <si>
    <t>4 - 2 (2 - 2 )</t>
  </si>
  <si>
    <t>Eintracht (skripp)</t>
  </si>
  <si>
    <t>Wolfsburg (Gernaut)</t>
  </si>
  <si>
    <t>Werder Bremen (indenfor)</t>
  </si>
  <si>
    <t>FC Bayern (Indra13_27)</t>
  </si>
  <si>
    <t>Napoli (Spacerman)</t>
  </si>
  <si>
    <t>Borussia Dortmund (dinototli)</t>
  </si>
  <si>
    <t>Tottenham (indenfor)</t>
  </si>
  <si>
    <t>0 - 8 (0 - 4)</t>
  </si>
  <si>
    <t>PSV (fleshka77)</t>
  </si>
  <si>
    <t>Braga  (Indra13_27)</t>
  </si>
  <si>
    <t>Porto  (AlBack)</t>
  </si>
  <si>
    <t>Roma (Spacerman)</t>
  </si>
  <si>
    <t>Getafe (dinototli)</t>
  </si>
  <si>
    <t>Wolverhampton (indenfor)</t>
  </si>
  <si>
    <t>5 - 1 (0 - 0)</t>
  </si>
  <si>
    <t>Liverpool (Sima)</t>
  </si>
  <si>
    <t>Manchester City (Dimqaa)</t>
  </si>
  <si>
    <t>Manchester United (Stig)</t>
  </si>
  <si>
    <t>Arsenal (praym)</t>
  </si>
  <si>
    <t>Newcastle United (SpursMax)</t>
  </si>
  <si>
    <t>Bournemouth (BoBBY)</t>
  </si>
  <si>
    <t>Aston Villa (Unknown)</t>
  </si>
  <si>
    <t>Crystal Palace (Ishking11)</t>
  </si>
  <si>
    <t>Southampton (kiser)</t>
  </si>
  <si>
    <t>Barcelona (Dimqaa)</t>
  </si>
  <si>
    <t>Real Madrid (Stig)</t>
  </si>
  <si>
    <t>Sevilla (Quavo)</t>
  </si>
  <si>
    <t>4 - 2 (4 - 1)</t>
  </si>
  <si>
    <t>Levante (SpursMax)</t>
  </si>
  <si>
    <t>Alaves (BoBBY)</t>
  </si>
  <si>
    <t>Celta (Unknown)</t>
  </si>
  <si>
    <t>Espanyol (Ishking11)</t>
  </si>
  <si>
    <t>Valladolid (kiser)</t>
  </si>
  <si>
    <t>7 - 1 (2 - 1)</t>
  </si>
  <si>
    <t>Inter (Dimqaa)</t>
  </si>
  <si>
    <t>Bayer 04 (Stig)</t>
  </si>
  <si>
    <t>Basaksehir (SpursMax)</t>
  </si>
  <si>
    <t>Celtic (BoBBY)</t>
  </si>
  <si>
    <t>Gent (Ishking11)</t>
  </si>
  <si>
    <t>6 - 5 (3 - 2)</t>
  </si>
  <si>
    <t>Marseille (Supernova)</t>
  </si>
  <si>
    <t>PSG (Jenko)</t>
  </si>
  <si>
    <t>Lyon (Stig)</t>
  </si>
  <si>
    <t>Stade Rennais (RedDevil)</t>
  </si>
  <si>
    <t>Saint-Etienne (Corvin)</t>
  </si>
  <si>
    <t>Nice (Gernaut)</t>
  </si>
  <si>
    <t>3 - 3  (1 - 2)</t>
  </si>
  <si>
    <t>Germany (Supernova)</t>
  </si>
  <si>
    <t>Spain (Indra13_27)</t>
  </si>
  <si>
    <t>France (Jenko)</t>
  </si>
  <si>
    <t>England (RedDevil)</t>
  </si>
  <si>
    <t>Italy (Corvin)</t>
  </si>
  <si>
    <t>Portugal (Gernaut)</t>
  </si>
  <si>
    <t>3 - 8 (1 - 4)</t>
  </si>
  <si>
    <t>Argentina (Ishking11)</t>
  </si>
  <si>
    <t>6 - 1 (4 - 0)</t>
  </si>
  <si>
    <t>3 - 5 (2 - 1)</t>
  </si>
  <si>
    <t>5 -2 (3 - 1)</t>
  </si>
  <si>
    <t>Napoli (Indra13_27)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</si>
  <si>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</si>
  <si>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</si>
  <si>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</si>
  <si>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</si>
  <si>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</si>
  <si>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</si>
  <si>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</si>
  <si>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</si>
  <si>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3 - 4 (0 - 2)</t>
  </si>
  <si>
    <t>3 - 2 (0 - 1)</t>
  </si>
  <si>
    <t>0 - 6 (0 - 5)</t>
  </si>
  <si>
    <t>3- 0 (1 - 0)</t>
  </si>
  <si>
    <t>5 - 2 (3 - 2)</t>
  </si>
  <si>
    <t>Werder Bremen (Spacerman)</t>
  </si>
  <si>
    <t>Hoffenheim (indenfor)</t>
  </si>
  <si>
    <t>Atletico Madrid (specialist)</t>
  </si>
  <si>
    <t>Tottenham (Baphomet)</t>
  </si>
  <si>
    <t>Borussia Dortmund (Indra13_27)</t>
  </si>
  <si>
    <t>Juventus (Klexter)</t>
  </si>
  <si>
    <t>Barcelona (skripp)</t>
  </si>
  <si>
    <t>Liverpool (Fric)</t>
  </si>
  <si>
    <t>Roma (specialist)</t>
  </si>
  <si>
    <t>Porto  (Aventon)</t>
  </si>
  <si>
    <t>Wolverhampton (Baphomet)</t>
  </si>
  <si>
    <t>Getafe (Indra13_27)</t>
  </si>
  <si>
    <t>Feyenoord (Klexter)</t>
  </si>
  <si>
    <t>Dynamo Kyiv (AlBack)</t>
  </si>
  <si>
    <t>Braga  (skripp)</t>
  </si>
  <si>
    <t>CSKA Moscow (fleshka77)</t>
  </si>
  <si>
    <t>PSV (Fric)</t>
  </si>
  <si>
    <t>3 - 7 (2 - 2)</t>
  </si>
  <si>
    <t>Manchester City (Mistyeye)</t>
  </si>
  <si>
    <t>Manchester United (praym)</t>
  </si>
  <si>
    <t>Aston Villa (Phantom)</t>
  </si>
  <si>
    <t>Bournemouth (Den1Bravo)</t>
  </si>
  <si>
    <t>Newcastle United (Supernova)</t>
  </si>
  <si>
    <t>Crystal Palace (fasqer)</t>
  </si>
  <si>
    <t xml:space="preserve"> 2 - 4 (1 - 1)</t>
  </si>
  <si>
    <t>1 - 7 (1 - 2)</t>
  </si>
  <si>
    <t>Real Madrid (CarlWhizzer)</t>
  </si>
  <si>
    <t>Sevilla (Sima)</t>
  </si>
  <si>
    <t>Valencia (Mistyeye)</t>
  </si>
  <si>
    <t>3 - 5 (2 - 3)</t>
  </si>
  <si>
    <t>Alaves (Phantom)</t>
  </si>
  <si>
    <t>1 - 9 (0 - 6)</t>
  </si>
  <si>
    <t>Espanyol (Den1Bravo)</t>
  </si>
  <si>
    <t>Valladolid (Supernova)</t>
  </si>
  <si>
    <t>Lazio (Quavo)</t>
  </si>
  <si>
    <t>Bayer 04 (Sima)</t>
  </si>
  <si>
    <t>Inter (praym)</t>
  </si>
  <si>
    <t>4 - 4 (4 - 2)</t>
  </si>
  <si>
    <t>4 - 4 (3 - 1)</t>
  </si>
  <si>
    <t>Gent (Phantom)</t>
  </si>
  <si>
    <t>Celtic (Den1Bravo)</t>
  </si>
  <si>
    <t>Shakhtar Donetsk (Supernova)</t>
  </si>
  <si>
    <t>Sporting (fasqer)</t>
  </si>
  <si>
    <t>PSG (Walker)</t>
  </si>
  <si>
    <t>Monaco (specialist)</t>
  </si>
  <si>
    <t xml:space="preserve"> 0 - 3 (0 - 2)</t>
  </si>
  <si>
    <t>Bourdeux (Corvin)</t>
  </si>
  <si>
    <t>Saint-Etienne (Ishking11)</t>
  </si>
  <si>
    <t xml:space="preserve"> 3 - 1 (1 - 1)</t>
  </si>
  <si>
    <t>3 - 4 (3 - 3)</t>
  </si>
  <si>
    <t>Germany (Stig)</t>
  </si>
  <si>
    <t>Belgium (specialist)</t>
  </si>
  <si>
    <t>France (SpursMax)</t>
  </si>
  <si>
    <t>Netherlands (Corvin)</t>
  </si>
  <si>
    <t>England (Gernaut)</t>
  </si>
  <si>
    <t>3 - 5 (2 - 4)</t>
  </si>
  <si>
    <t>Uruguay (Ishking11)</t>
  </si>
  <si>
    <t>6 - 2 (4 - 2)</t>
  </si>
  <si>
    <t>Inter (Stig)</t>
  </si>
  <si>
    <t>Atalanta (Walker)</t>
  </si>
  <si>
    <t>Napoli (specialist)</t>
  </si>
  <si>
    <t>5 - 5 (3 - 1)</t>
  </si>
  <si>
    <t>6 - 1 (2 - 1)</t>
  </si>
  <si>
    <t>Fiorentina (Supernova)</t>
  </si>
  <si>
    <t>6 - 2 (3 - 2)</t>
  </si>
  <si>
    <t>6 - 0 (5 - 0)</t>
  </si>
  <si>
    <t>Borussia Dortmund (specialist)</t>
  </si>
  <si>
    <t>RB Leipzig (Indra13_27)</t>
  </si>
  <si>
    <t>Wolfsburg (AlBack)</t>
  </si>
  <si>
    <t>Koln (Spacerman)</t>
  </si>
  <si>
    <t>Hoffenheim (dinototli)</t>
  </si>
  <si>
    <t>Eintracht (indenfor)</t>
  </si>
  <si>
    <t>0 - 8 (0 - 6)</t>
  </si>
  <si>
    <t>1 - 6 (1 - 1)</t>
  </si>
  <si>
    <t>Atletico Madrid (Baphomet)</t>
  </si>
  <si>
    <t>Manchester City (OoLancer)</t>
  </si>
  <si>
    <t>FC Bayern (UniversalPro)</t>
  </si>
  <si>
    <t>PSG (Klexter)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</si>
  <si>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</si>
  <si>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</si>
  <si>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</si>
  <si>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</si>
  <si>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</si>
  <si>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</si>
  <si>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4 - 5 (2 - 2)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</si>
  <si>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</si>
  <si>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</si>
  <si>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</si>
  <si>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</si>
  <si>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</si>
  <si>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</si>
  <si>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Manchester City (ForceMajor!)</t>
  </si>
  <si>
    <t>Manchester United (BoBBY)</t>
  </si>
  <si>
    <t>Liverpool (ViTo)</t>
  </si>
  <si>
    <t>Tottenham (Cool_J)</t>
  </si>
  <si>
    <t>Arsenal (Corvin)</t>
  </si>
  <si>
    <t>Espanyol (Dimqaa)</t>
  </si>
  <si>
    <t>Alaves (Jenko)</t>
  </si>
  <si>
    <t>Celta (praym)</t>
  </si>
  <si>
    <t>Valencia (BoBBY)</t>
  </si>
  <si>
    <t>Real Madrid (ViTo)</t>
  </si>
  <si>
    <t>Barcelona (Corvin)</t>
  </si>
  <si>
    <t>2 - 5 (1 - 4)</t>
  </si>
  <si>
    <t>1 - 4 (0 - 4)</t>
  </si>
  <si>
    <t>Gent (Dimqaa)</t>
  </si>
  <si>
    <t>Sporting (Walker)</t>
  </si>
  <si>
    <t>Celtic (Jenko)</t>
  </si>
  <si>
    <t>Lazio (BoBBY)</t>
  </si>
  <si>
    <t>Sevilla (ViTo)</t>
  </si>
  <si>
    <t>Bayer 04 (Cool_J)</t>
  </si>
  <si>
    <t>Inter (Corvin)</t>
  </si>
  <si>
    <t>Nice (Indra13_27)</t>
  </si>
  <si>
    <t>Stade Rennais (Quavo)</t>
  </si>
  <si>
    <t>Lyon (Supernova)</t>
  </si>
  <si>
    <t>PSG (kiser)</t>
  </si>
  <si>
    <t>Marseille (Kishe)</t>
  </si>
  <si>
    <t>Lille (SpursMax)</t>
  </si>
  <si>
    <t>4  - 0 (2 - 0)</t>
  </si>
  <si>
    <t>5 - 0 (0 - 0)</t>
  </si>
  <si>
    <t>Italy (Indra13_27)</t>
  </si>
  <si>
    <t>England (Zazabak)</t>
  </si>
  <si>
    <t>2 - 5 (2 - 4)</t>
  </si>
  <si>
    <t>Portugal (Quavo)</t>
  </si>
  <si>
    <t>Netherlands (Sima)</t>
  </si>
  <si>
    <t>8 - 1 (3 - 0)</t>
  </si>
  <si>
    <t>1 - 8 (0 - 3)</t>
  </si>
  <si>
    <t>Belgium (Supernova)</t>
  </si>
  <si>
    <t>Germany (kiser)</t>
  </si>
  <si>
    <t>France (Walker)</t>
  </si>
  <si>
    <t>Brazil (Kishe)</t>
  </si>
  <si>
    <t>3 - 5 (2 - 0)</t>
  </si>
  <si>
    <t>6 - 1 (4 - 1)</t>
  </si>
  <si>
    <t>Roma (YOSHI)</t>
  </si>
  <si>
    <t>Fiorentina (Indra13_27)</t>
  </si>
  <si>
    <t>Sassuolo (Zazabak)</t>
  </si>
  <si>
    <t>Torino (Quavo)</t>
  </si>
  <si>
    <t>Milan (Sima)</t>
  </si>
  <si>
    <t>6 - 2 (2 - 0)</t>
  </si>
  <si>
    <t>6 - 5 (3 - 3)</t>
  </si>
  <si>
    <t>Inter (Supernova)</t>
  </si>
  <si>
    <t>Napoli (kiser)</t>
  </si>
  <si>
    <t>8 - 1 (3 - 1)</t>
  </si>
  <si>
    <t>Lazio (Kishe)</t>
  </si>
  <si>
    <t>Werder Bremen (specialist)</t>
  </si>
  <si>
    <t>Koln (Aventon)</t>
  </si>
  <si>
    <t>Eintracht (Indra13_27)</t>
  </si>
  <si>
    <t>FC Bayern (Klexter)</t>
  </si>
  <si>
    <t>Bayer 04 (skripp)</t>
  </si>
  <si>
    <t>0 - 4 (2 - 0)</t>
  </si>
  <si>
    <t>Manchester City (Supernova)</t>
  </si>
  <si>
    <t>Atletico Madrid (Ishking11)</t>
  </si>
  <si>
    <t>Tottenham (OoLancer)</t>
  </si>
  <si>
    <t>FC Bayern (Miller)</t>
  </si>
  <si>
    <t>3 - 4 (3 - 1)</t>
  </si>
  <si>
    <t>Getafe (Ishking11)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</si>
  <si>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</si>
  <si>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</si>
  <si>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</si>
  <si>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</si>
  <si>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</si>
  <si>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</si>
  <si>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</si>
  <si>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</si>
  <si>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Liverpool (Сool_J)</t>
  </si>
  <si>
    <t>Arsenal (BoBBY)</t>
  </si>
  <si>
    <t>2 - 7 (1 - 5)</t>
  </si>
  <si>
    <t>Levante (Sima)</t>
  </si>
  <si>
    <t>Eibar (YOSHI)</t>
  </si>
  <si>
    <t>Barcelona (Сool_J)</t>
  </si>
  <si>
    <t>Valencia (Walker)</t>
  </si>
  <si>
    <t>Sevilla (BoBBY)</t>
  </si>
  <si>
    <t>Atletico Madrid (ForceMajor!)</t>
  </si>
  <si>
    <t>Celtic (Sima)</t>
  </si>
  <si>
    <t>Shakhtar Donetsk (YOSHI)</t>
  </si>
  <si>
    <t>Manchester United (Сool_J)</t>
  </si>
  <si>
    <t>Bayer 04 (BoBBY)</t>
  </si>
  <si>
    <t>Stade Rennais (Sima)</t>
  </si>
  <si>
    <t>Nice (Walker)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</si>
  <si>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</si>
  <si>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</si>
  <si>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</si>
  <si>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</si>
  <si>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</si>
  <si>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</si>
  <si>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</si>
  <si>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</si>
  <si>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</si>
  <si>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</si>
  <si>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Sassuolo (Sima)</t>
  </si>
  <si>
    <t>Fiorentina (Walker)</t>
  </si>
  <si>
    <t>2 - 4 (0 - 0)</t>
  </si>
  <si>
    <t>6 - 4 (3 - 1)</t>
  </si>
  <si>
    <t>4 - 4 (3 - 0)</t>
  </si>
  <si>
    <t>Napoli (Kishe)</t>
  </si>
  <si>
    <t>Atalanta (BoBBY)</t>
  </si>
  <si>
    <t>Inter (skmgery)</t>
  </si>
  <si>
    <t>Lazio (Jenko)</t>
  </si>
  <si>
    <t>8 - 3 (2 - 2)</t>
  </si>
  <si>
    <t>Eintracht (Baphomet)</t>
  </si>
  <si>
    <t>RB Leipzig (UniversalPro)</t>
  </si>
  <si>
    <t>Borussia Monchengladbach (Miller)</t>
  </si>
  <si>
    <t>Manchester City (Thiago)</t>
  </si>
  <si>
    <t>Napoli (Baphomet)</t>
  </si>
  <si>
    <t>Borussia Dortmund (OoLancer)</t>
  </si>
  <si>
    <t>0 - 10 (0 - 6)</t>
  </si>
  <si>
    <t>PSG (Indra13_27)</t>
  </si>
  <si>
    <t>6 - 2 (2 - 1)</t>
  </si>
  <si>
    <t>Borussia Monchengladbach (Thiago)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</si>
  <si>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</si>
  <si>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</si>
  <si>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</si>
  <si>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</si>
  <si>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</si>
  <si>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</si>
  <si>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</si>
  <si>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</si>
  <si>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</si>
  <si>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</si>
  <si>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</si>
  <si>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</si>
  <si>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</si>
  <si>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Manchester United (fasqer)</t>
  </si>
  <si>
    <t>5 - 0 (0 - 4)</t>
  </si>
  <si>
    <t>Alaves (Dimqaa)</t>
  </si>
  <si>
    <t>Celta (CarlWhizzer)</t>
  </si>
  <si>
    <t>Eibar (Quavo)</t>
  </si>
  <si>
    <t>Levante (Mistyeye)</t>
  </si>
  <si>
    <t>Espanyol (Sima)</t>
  </si>
  <si>
    <t>Barcelona (UniversalPro)</t>
  </si>
  <si>
    <t>Real Madrid (fasqer)</t>
  </si>
  <si>
    <t>Valencia (ForceMajor!)</t>
  </si>
  <si>
    <t>Shakhtar Donetsk (CarlWhizzer)</t>
  </si>
  <si>
    <t>Basaksehir (Mistyeye)</t>
  </si>
  <si>
    <t>Gent (Sima)</t>
  </si>
  <si>
    <t>Manchester United (UniversalPro)</t>
  </si>
  <si>
    <t>Bayer 04 (kiser)</t>
  </si>
  <si>
    <t>Sevilla (fasqer)</t>
  </si>
  <si>
    <t>Inter (ForceMajor!)</t>
  </si>
  <si>
    <t>Lazio (YOSHI)</t>
  </si>
  <si>
    <t>8 - 1 (5 - 0)</t>
  </si>
  <si>
    <t>Nice (SpursMax)</t>
  </si>
  <si>
    <t>Stade Rennais (Ishking11)</t>
  </si>
  <si>
    <t>Bourdeux (OoLancer)</t>
  </si>
  <si>
    <t>Lyon (Indra13_27)</t>
  </si>
  <si>
    <t>PSG (YOSHI)</t>
  </si>
  <si>
    <t>Uruguay (SpursMax)</t>
  </si>
  <si>
    <t>England (Ishking11)</t>
  </si>
  <si>
    <t>Portugal (OoLancer)</t>
  </si>
  <si>
    <t>0 - 1 ( 0 - 1)</t>
  </si>
  <si>
    <t>Germany (BoBBY)</t>
  </si>
  <si>
    <t>Belgium (YOSHI)</t>
  </si>
  <si>
    <t>Milan (SpursMax)</t>
  </si>
  <si>
    <t>Roma (Ishking11)</t>
  </si>
  <si>
    <t>Torino (OoLancer)</t>
  </si>
  <si>
    <t>Fiorentina (Sima)</t>
  </si>
  <si>
    <t>Inter (BoBBY)</t>
  </si>
  <si>
    <t>Juventus (Indra13_27)</t>
  </si>
  <si>
    <t>Atalanta (Jenko)</t>
  </si>
  <si>
    <t>Hoffenheim (Supernova)</t>
  </si>
  <si>
    <t>Koln (Ishking11)</t>
  </si>
  <si>
    <t>Werder Bremen (OoLancer)</t>
  </si>
  <si>
    <t>Bayer 04 (Fric)</t>
  </si>
  <si>
    <t>Borussia Dortmund (Miller)</t>
  </si>
  <si>
    <t>Napoli (Thiago)</t>
  </si>
  <si>
    <t>5 - 1 (0 - 3)</t>
  </si>
  <si>
    <t>4 - 2 (0 - 1)</t>
  </si>
  <si>
    <t>Juventus (indenfor)</t>
  </si>
  <si>
    <t xml:space="preserve"> 3 - 4 (1 - 3)</t>
  </si>
  <si>
    <t>1 - 5 (1 - 0)</t>
  </si>
  <si>
    <t>Roma (Indra13_27)</t>
  </si>
  <si>
    <t>Getafe (specialist)</t>
  </si>
  <si>
    <t xml:space="preserve"> 0 -  5 (0 - 2)</t>
  </si>
  <si>
    <t>CSKA Moscow (skripp)</t>
  </si>
  <si>
    <t>Braga  (Fric)</t>
  </si>
  <si>
    <t>Crystal Palace (UniversalPro)</t>
  </si>
  <si>
    <t>Bournemouth (Zazabak)</t>
  </si>
  <si>
    <t>Newcastle United (Quavo)</t>
  </si>
  <si>
    <t>Aston Villa (Sima)</t>
  </si>
  <si>
    <t>7 - 1 (3 - 0)</t>
  </si>
  <si>
    <t>2 - 3 (1- 2)</t>
  </si>
  <si>
    <t>Manchester United (Den1Bravo)</t>
  </si>
  <si>
    <t>Manchester City (Phantom)</t>
  </si>
  <si>
    <t>1  - 1 (0 - 1)</t>
  </si>
  <si>
    <t>2 - 1 (2 -1)</t>
  </si>
  <si>
    <t>1 - 2  (0 - 1)</t>
  </si>
  <si>
    <t>Levante (UniversalPro)</t>
  </si>
  <si>
    <t>Alaves (CarlWhizzer)</t>
  </si>
  <si>
    <t>Celta (Zazabak)</t>
  </si>
  <si>
    <t>Espanyol (Quavo)</t>
  </si>
  <si>
    <t>Eibar (Sima)</t>
  </si>
  <si>
    <t>Atletico Madrid (Den1Bravo)</t>
  </si>
  <si>
    <t>Valencia (Phantom)</t>
  </si>
  <si>
    <t>Sevilla (Dimqaa)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</si>
  <si>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</si>
  <si>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</si>
  <si>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</si>
  <si>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</si>
  <si>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</si>
  <si>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</si>
  <si>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</si>
  <si>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</si>
  <si>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2 - 6 (1 - 5)</t>
  </si>
  <si>
    <t>3- 1 (3 - 0)</t>
  </si>
  <si>
    <t>7 - 1 (6 - 0)</t>
  </si>
  <si>
    <t>Inter (Den1Bravo)</t>
  </si>
  <si>
    <t>Lazio (Phantom)</t>
  </si>
  <si>
    <t>Bayer 04 (ForceMajor!)</t>
  </si>
  <si>
    <t>Montpellier (Veep)</t>
  </si>
  <si>
    <t>PSG (Corvin)</t>
  </si>
  <si>
    <t>Marseille (Indra13_27)</t>
  </si>
  <si>
    <t>6 - 3 (3 - 2)</t>
  </si>
  <si>
    <t>Argentina (Veep)</t>
  </si>
  <si>
    <t>Uruguay (Zazabak)</t>
  </si>
  <si>
    <t>Netherlands (OoLancer)</t>
  </si>
  <si>
    <t>France (Supernova)</t>
  </si>
  <si>
    <t>Brazil (YOSHI)</t>
  </si>
  <si>
    <t>Belgium (Indra13_27)</t>
  </si>
  <si>
    <t>Roma  (Veep)</t>
  </si>
  <si>
    <t>Torino (Sima)</t>
  </si>
  <si>
    <t>Juventus (Supernova)</t>
  </si>
  <si>
    <t>4 - 3 (2 - 3)</t>
  </si>
  <si>
    <t>4 - 5 (1 - 3)</t>
  </si>
  <si>
    <t>Koln (Thiago)</t>
  </si>
  <si>
    <t>Werder Bremen (Baphomet)</t>
  </si>
  <si>
    <t>Eintracht (Veep)</t>
  </si>
  <si>
    <t>Borussia Dortmund (fleshka77)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</si>
  <si>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</si>
  <si>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</si>
  <si>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</si>
  <si>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</si>
  <si>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</si>
  <si>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</si>
  <si>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</si>
  <si>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</si>
  <si>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</si>
  <si>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</si>
  <si>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</si>
  <si>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</si>
  <si>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</si>
  <si>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</si>
  <si>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</si>
  <si>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</si>
  <si>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</si>
  <si>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</si>
  <si>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3 - 6 (2 - 4)</t>
  </si>
  <si>
    <t>Crystal Palace (CarlWhizzer)</t>
  </si>
  <si>
    <t>Aston Villa (Stig)</t>
  </si>
  <si>
    <t>Southampton (Jenko)</t>
  </si>
  <si>
    <t>1 - 4 (1 - 4)</t>
  </si>
  <si>
    <t>Arsenal (Phantom)</t>
  </si>
  <si>
    <t>Eibar (SpursMax)</t>
  </si>
  <si>
    <t>Levante (CarlWhizzer)</t>
  </si>
  <si>
    <t>Celta (Stig)</t>
  </si>
  <si>
    <t>4 - 0  (2 - 0)</t>
  </si>
  <si>
    <t>2- 3 (1 - 2)</t>
  </si>
  <si>
    <t>Sevilla (kiser)</t>
  </si>
  <si>
    <t>Celtic (SpursMax)</t>
  </si>
  <si>
    <t>Shakhtar Donetsk (Stig)</t>
  </si>
  <si>
    <t>Gent (Jenko)</t>
  </si>
  <si>
    <t>3 - 3(1 - 2)</t>
  </si>
  <si>
    <t>Lazio (Corvin)</t>
  </si>
  <si>
    <t>Sevilla (Phantom)</t>
  </si>
  <si>
    <t>Inter (fasqer)</t>
  </si>
  <si>
    <t>Saint-Etienne (Stig)</t>
  </si>
  <si>
    <t>Bourdeux (Indra13_27)</t>
  </si>
  <si>
    <t>Stade Rennais (Veep)</t>
  </si>
  <si>
    <t>Marseille (skmgery)</t>
  </si>
  <si>
    <t>Lille (Supernova)</t>
  </si>
  <si>
    <t>PSG (Kishe)</t>
  </si>
  <si>
    <t>Lyon (Phantom)</t>
  </si>
  <si>
    <t>3 - 4 (1 - 4)</t>
  </si>
  <si>
    <t>5 - 4 (1 - 3)</t>
  </si>
  <si>
    <t>Uruguay (Stig)</t>
  </si>
  <si>
    <t>Portugal (Indra13_27)</t>
  </si>
  <si>
    <t>Brazil (skmgery)</t>
  </si>
  <si>
    <t>Spain (Supernova)</t>
  </si>
  <si>
    <t>France (Kishe)</t>
  </si>
  <si>
    <t xml:space="preserve">    1 - 1 (0 - 0)</t>
  </si>
  <si>
    <t>Torino (Stig)</t>
  </si>
  <si>
    <t>Fiorentina (Veep)</t>
  </si>
  <si>
    <t>Milan (Ishking11)</t>
  </si>
  <si>
    <t>Parma (SpursMax)</t>
  </si>
  <si>
    <t>2 - 6 (0 - 2)</t>
  </si>
  <si>
    <t>Napoli (BoBBY)</t>
  </si>
  <si>
    <t>Juventus (Kishe)</t>
  </si>
  <si>
    <t>Atalanta (Phantom)</t>
  </si>
  <si>
    <t>5 - 3 (2 - 3)</t>
  </si>
  <si>
    <t>Hoffenheim (Thiago)</t>
  </si>
  <si>
    <t>4 - 0  (3 - 0)</t>
  </si>
  <si>
    <t>Manchester City (Veep)</t>
  </si>
  <si>
    <t>Real Madrid (Phantom)</t>
  </si>
  <si>
    <t>Chelsea (Miller)</t>
  </si>
  <si>
    <t>Bayer 04 (dinototli)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</si>
  <si>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</si>
  <si>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</si>
  <si>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</si>
  <si>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</si>
  <si>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</si>
  <si>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</si>
  <si>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</si>
  <si>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</si>
  <si>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</si>
  <si>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</si>
  <si>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</si>
  <si>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0 - 2 (0 - 2 )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</si>
  <si>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</si>
  <si>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</si>
  <si>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</si>
  <si>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</si>
  <si>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</si>
  <si>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</si>
  <si>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</si>
  <si>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</si>
  <si>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</si>
  <si>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</si>
  <si>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Monaco (Stig)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</si>
  <si>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</si>
  <si>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</si>
  <si>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</si>
  <si>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</si>
  <si>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</si>
  <si>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</si>
  <si>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</si>
  <si>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</si>
  <si>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</si>
  <si>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</si>
  <si>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3 - 3 (3 - 3)</t>
  </si>
  <si>
    <t>Bayer 04 (ViTo)</t>
  </si>
  <si>
    <t>Lazio (skripp)</t>
  </si>
  <si>
    <t>0 - 6 (0 - 1)</t>
  </si>
  <si>
    <t>England Cyber Stars League 15:30 - 18:00</t>
  </si>
  <si>
    <t>Leicester (Phantom)</t>
  </si>
  <si>
    <t>Wolverhampton (Aventon)</t>
  </si>
  <si>
    <t>Everton (Stig)</t>
  </si>
  <si>
    <t>West Ham United (BoBBY)</t>
  </si>
  <si>
    <t>Watford (Corvin)</t>
  </si>
  <si>
    <t>Cyber Champions League 17:00 - 20:00</t>
  </si>
  <si>
    <t>PSG (Supernova)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</si>
  <si>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</si>
  <si>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</si>
  <si>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</si>
  <si>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</si>
  <si>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</si>
  <si>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</si>
  <si>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</si>
  <si>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</si>
  <si>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</si>
  <si>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</si>
  <si>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</si>
  <si>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</si>
  <si>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Bayer 04 (Phantom)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</si>
  <si>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</si>
  <si>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</si>
  <si>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</si>
  <si>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</si>
  <si>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</si>
  <si>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</si>
  <si>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</si>
  <si>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</si>
  <si>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</si>
  <si>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</si>
  <si>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</si>
  <si>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</si>
  <si>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1 -1 (1 - 0)</t>
  </si>
  <si>
    <t>Cyber Europa League 23:00 - 01:30</t>
  </si>
  <si>
    <t>PSV (OoLancer)</t>
  </si>
  <si>
    <t>3 - 3 (0 - 1)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</si>
  <si>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</si>
  <si>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</si>
  <si>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</si>
  <si>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</si>
  <si>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</si>
  <si>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</si>
  <si>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France (Aventon)</t>
  </si>
  <si>
    <t>Getafe (Irvington)</t>
  </si>
  <si>
    <t>Villarreal (Tranquil)</t>
  </si>
  <si>
    <t>Real Betis (Ryuk)</t>
  </si>
  <si>
    <t>Athletic Club (iamdevilwalk)</t>
  </si>
  <si>
    <t>3 - 5 (3 - 2)</t>
  </si>
  <si>
    <t>6 - 3 (3 - 1)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</si>
  <si>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</si>
  <si>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</si>
  <si>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</si>
  <si>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</si>
  <si>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</si>
  <si>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</si>
  <si>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Monaco (skripp)</t>
  </si>
  <si>
    <t>PSG (ForceMajor!)</t>
  </si>
  <si>
    <t>Marseille (Ishking11)</t>
  </si>
  <si>
    <t>Lyon (kiser)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</si>
  <si>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</si>
  <si>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</si>
  <si>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</si>
  <si>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</si>
  <si>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</si>
  <si>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</si>
  <si>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</si>
  <si>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</si>
  <si>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Bayer 04 (Supernova)</t>
  </si>
  <si>
    <t>Lazio (Ishking11)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</si>
  <si>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</si>
  <si>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</si>
  <si>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</si>
  <si>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</si>
  <si>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</si>
  <si>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</si>
  <si>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</si>
  <si>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PSG (ViTo)</t>
  </si>
  <si>
    <t>Liverpool (CarlWhizzer)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</si>
  <si>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</si>
  <si>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</si>
  <si>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</si>
  <si>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</si>
  <si>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</si>
  <si>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</si>
  <si>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</si>
  <si>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RB Leipzig (specialist)</t>
  </si>
  <si>
    <t>Borussia Dortmund (Supernova)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</si>
  <si>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</si>
  <si>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</si>
  <si>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</si>
  <si>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</si>
  <si>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</si>
  <si>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</si>
  <si>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</si>
  <si>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</si>
  <si>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</si>
  <si>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</si>
  <si>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</si>
  <si>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</si>
  <si>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</si>
  <si>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Lyon (Tranquil)</t>
  </si>
  <si>
    <t>Atalanta (fleshka77)</t>
  </si>
  <si>
    <t>Ajax  (iamdevilwalk)</t>
  </si>
  <si>
    <t>Belgium (Aventon)</t>
  </si>
  <si>
    <t>Germany (Baphomet)</t>
  </si>
  <si>
    <t>Brazil (Indra13_27)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</si>
  <si>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</si>
  <si>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</si>
  <si>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</si>
  <si>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</si>
  <si>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</si>
  <si>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</si>
  <si>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</si>
  <si>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</si>
  <si>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</si>
  <si>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</si>
  <si>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</si>
  <si>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Monaco (kiser)</t>
  </si>
  <si>
    <t>Lille (Ishking11)</t>
  </si>
  <si>
    <t>PSG (RedDevil)</t>
  </si>
  <si>
    <t>5 - 4 (2 - 3)</t>
  </si>
  <si>
    <t>Denmark (Quavo)</t>
  </si>
  <si>
    <t>Switzerland (Sima)</t>
  </si>
  <si>
    <t>Mexico (skripp)</t>
  </si>
  <si>
    <t>Poland (CarlWhizzer)</t>
  </si>
  <si>
    <t>Austria (Walker)</t>
  </si>
  <si>
    <t>0 - 4 (0 - 2 )</t>
  </si>
  <si>
    <t>Manchester United (Supernova)</t>
  </si>
  <si>
    <t>Bayer 04 (Ishking11)</t>
  </si>
  <si>
    <t>Lazio (RedDevil)</t>
  </si>
  <si>
    <t>Watford (Phantom)</t>
  </si>
  <si>
    <t>Leicester (Baphomet)</t>
  </si>
  <si>
    <t>Wolverhampton (Ishking11)</t>
  </si>
  <si>
    <t>Everton (RedDevil)</t>
  </si>
  <si>
    <t>6 - 2 (4 - 0)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</si>
  <si>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</si>
  <si>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</si>
  <si>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</si>
  <si>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</si>
  <si>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</si>
  <si>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</si>
  <si>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</si>
  <si>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</si>
  <si>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Inter (Phantom)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</si>
  <si>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</si>
  <si>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</si>
  <si>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</si>
  <si>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</si>
  <si>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</si>
  <si>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</si>
  <si>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</si>
  <si>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</si>
  <si>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</si>
  <si>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PSV (Baphomet)</t>
  </si>
  <si>
    <t>Borussia Dortmund (SpursMax)</t>
  </si>
  <si>
    <t>Real Madrid (Baphomet)</t>
  </si>
  <si>
    <t>Lyon (Irvington)</t>
  </si>
  <si>
    <t>Belgium (SpursMax)</t>
  </si>
  <si>
    <t>France (Baphomet)</t>
  </si>
  <si>
    <t>6 - 4 (2 - 3)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</si>
  <si>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</si>
  <si>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</si>
  <si>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</si>
  <si>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</si>
  <si>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</si>
  <si>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</si>
  <si>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</si>
  <si>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</si>
  <si>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</si>
  <si>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2 - 4 (0 - 4)</t>
  </si>
  <si>
    <t>Denmark (Walker)</t>
  </si>
  <si>
    <t>Switzerland (kiser)</t>
  </si>
  <si>
    <t>Mexico (OoLancer)</t>
  </si>
  <si>
    <t>Poland (Sima)</t>
  </si>
  <si>
    <t>Austria (skripp)</t>
  </si>
  <si>
    <t>Manchester United (Ishking11)</t>
  </si>
  <si>
    <t>Sevilla (Supernova)</t>
  </si>
  <si>
    <t>Bayer 04 (fasqer)</t>
  </si>
  <si>
    <t>1 - 6 (0 - 6)</t>
  </si>
  <si>
    <t>Leicester (Ishking11)</t>
  </si>
  <si>
    <t>Watford (Veep)</t>
  </si>
  <si>
    <t>Everton (Supernova)</t>
  </si>
  <si>
    <t>Wolverhampton (YOSHI)</t>
  </si>
  <si>
    <t>West Ham United (Indra13_27)</t>
  </si>
  <si>
    <t>3 - 4 (1 - 0)</t>
  </si>
  <si>
    <t>Barcelona (kiser)</t>
  </si>
  <si>
    <t>PSG (OoLancer)</t>
  </si>
  <si>
    <t>FC Bayern (skripp)</t>
  </si>
  <si>
    <t>Stade Rennais (Ryuk)</t>
  </si>
  <si>
    <t>Nice (fleshka77)</t>
  </si>
  <si>
    <t>Saint-Etienne (Miller)</t>
  </si>
  <si>
    <t>FC Bayern (Supernova)</t>
  </si>
  <si>
    <t>RB Leipzig (YOSHI)</t>
  </si>
  <si>
    <t xml:space="preserve"> 1 - 1 (0 - 1)</t>
  </si>
  <si>
    <t>Inter (Ishking11)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</si>
  <si>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</si>
  <si>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</si>
  <si>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</si>
  <si>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</si>
  <si>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</si>
  <si>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</si>
  <si>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</si>
  <si>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</si>
  <si>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</si>
  <si>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</si>
  <si>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</si>
  <si>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</si>
  <si>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</si>
  <si>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</si>
  <si>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Liverpool (Klexter)</t>
  </si>
  <si>
    <t>Barcelona (Irvington)</t>
  </si>
  <si>
    <t>Juventus (Tranquil)</t>
  </si>
  <si>
    <t>FC Bayern (iamdevilwalk)</t>
  </si>
  <si>
    <t>Mexico (Zazabak)</t>
  </si>
  <si>
    <t>Switzerland (specialist)</t>
  </si>
  <si>
    <t>Austria (Veep)</t>
  </si>
  <si>
    <t>Denmark (Aventon)</t>
  </si>
  <si>
    <t>Poland (SpursMax)</t>
  </si>
  <si>
    <t>Valencia (Fric)</t>
  </si>
  <si>
    <t>Atletico Madrid (Irvington)</t>
  </si>
  <si>
    <t>Sevilla (Tranquil)</t>
  </si>
  <si>
    <t>Barcelona (iamdevilwalk)</t>
  </si>
  <si>
    <t>Italy Cyber Stars League 8:00 - 11:00</t>
  </si>
  <si>
    <t>Inter (Jenko)</t>
  </si>
  <si>
    <t>Atalanta (Quavo)</t>
  </si>
  <si>
    <t>Lazio (CarlWhizzer)</t>
  </si>
  <si>
    <t>Napoli (mrPanda)</t>
  </si>
  <si>
    <t>Germany Cyber Stars League 11:00 - 14:00</t>
  </si>
  <si>
    <t>FC Bayern (Jenko)</t>
  </si>
  <si>
    <t>Bayer 04 (Quavo)</t>
  </si>
  <si>
    <t>RB Leipzig (CarlWhizzer)</t>
  </si>
  <si>
    <t>Borussia Monchengladbach (mrPanda)</t>
  </si>
  <si>
    <t>Borussia Dortmund (Walker)</t>
  </si>
  <si>
    <t>1 -2 (0 - 2)</t>
  </si>
  <si>
    <t>Stade Rennais (Indra13_27)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</si>
  <si>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</si>
  <si>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</si>
  <si>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</si>
  <si>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</si>
  <si>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</si>
  <si>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</si>
  <si>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</si>
  <si>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</si>
  <si>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Gent (YOSHI)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</si>
  <si>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</si>
  <si>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</si>
  <si>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</si>
  <si>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</si>
  <si>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</si>
  <si>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</si>
  <si>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</si>
  <si>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</si>
  <si>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</si>
  <si>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</si>
  <si>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</si>
  <si>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</si>
  <si>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</si>
  <si>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PSG (iamdevilwalk)</t>
  </si>
  <si>
    <t>7 - 2 (4 - 0)</t>
  </si>
  <si>
    <t>4 - 3 (2 - 0)</t>
  </si>
  <si>
    <t>Portugal (Stig)</t>
  </si>
  <si>
    <t>Uruguay (Veep)</t>
  </si>
  <si>
    <t>Sampdoria (Ishking11)</t>
  </si>
  <si>
    <t>Fiorentina (OoLancer)</t>
  </si>
  <si>
    <t>Parma (YOSHI)</t>
  </si>
  <si>
    <t>Sassuolo (Stig)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</si>
  <si>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</si>
  <si>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</si>
  <si>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</si>
  <si>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</si>
  <si>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</si>
  <si>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</si>
  <si>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</si>
  <si>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</si>
  <si>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</si>
  <si>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</si>
  <si>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</si>
  <si>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FC Bayern (Tranquil)</t>
  </si>
  <si>
    <t>Liverpool (iamdevilwalk)</t>
  </si>
  <si>
    <t>2 - 6 (0 - 5)</t>
  </si>
  <si>
    <t>6 - 2 (1 - 1)</t>
  </si>
  <si>
    <t>6 - 3 (4 - 1)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</si>
  <si>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</si>
  <si>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</si>
  <si>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</si>
  <si>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</si>
  <si>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</si>
  <si>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</si>
  <si>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</si>
  <si>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Barcelona (specialist)</t>
  </si>
  <si>
    <t>Atletico Madrid (iamdevilwalk)</t>
  </si>
  <si>
    <t>2 - 5 (1 - 1)</t>
  </si>
  <si>
    <t>Atalanta (CarlWhizzer)</t>
  </si>
  <si>
    <t>Inter (Sima)</t>
  </si>
  <si>
    <t>Juventus (kiser)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</si>
  <si>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</si>
  <si>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</si>
  <si>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</si>
  <si>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</si>
  <si>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</si>
  <si>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</si>
  <si>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</si>
  <si>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</si>
  <si>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Saint-Etienne (Indra13_27)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</si>
  <si>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</si>
  <si>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</si>
  <si>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</si>
  <si>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</si>
  <si>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</si>
  <si>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</si>
  <si>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</si>
  <si>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5 - 3 (4 - 1)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</si>
  <si>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</si>
  <si>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</si>
  <si>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</si>
  <si>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</si>
  <si>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</si>
  <si>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</si>
  <si>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</si>
  <si>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</si>
  <si>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Marseille (Tranquil)</t>
  </si>
  <si>
    <t>Uruguay (Supernova)</t>
  </si>
  <si>
    <t>England (Indra13_27)</t>
  </si>
  <si>
    <t>2 - 7 (1 - 1)</t>
  </si>
  <si>
    <t>Udinese (OoLancer)</t>
  </si>
  <si>
    <t>Sampdoria (Supernova)</t>
  </si>
  <si>
    <t>Sassuolo (Veep)</t>
  </si>
  <si>
    <t>Parma (Stig)</t>
  </si>
  <si>
    <t>Napoli (Fric)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</si>
  <si>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</si>
  <si>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</si>
  <si>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</si>
  <si>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</si>
  <si>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</si>
  <si>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</si>
  <si>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</si>
  <si>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</si>
  <si>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</si>
  <si>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</si>
  <si>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</si>
  <si>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</si>
  <si>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PSG (Miller)</t>
  </si>
  <si>
    <t>Barcelona (Tranquil)</t>
  </si>
  <si>
    <t>Poland (Indra13_27)</t>
  </si>
  <si>
    <t>Mexico (Ryuk)</t>
  </si>
  <si>
    <t>Austria (Baphomet)</t>
  </si>
  <si>
    <t>Switzerland (Zazabak)</t>
  </si>
  <si>
    <t>Sevilla (iamdevilwalk)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</si>
  <si>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</si>
  <si>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</si>
  <si>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</si>
  <si>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</si>
  <si>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</si>
  <si>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</si>
  <si>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</si>
  <si>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</si>
  <si>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</si>
  <si>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Nice (Stig)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</si>
  <si>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</si>
  <si>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</si>
  <si>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</si>
  <si>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</si>
  <si>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</si>
  <si>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</si>
  <si>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</si>
  <si>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</si>
  <si>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</si>
  <si>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</si>
  <si>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</si>
  <si>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</si>
  <si>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</si>
  <si>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</si>
  <si>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</si>
  <si>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PSG (Tranquil)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</si>
  <si>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</si>
  <si>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</si>
  <si>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</si>
  <si>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</si>
  <si>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</si>
  <si>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</si>
  <si>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</si>
  <si>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</si>
  <si>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Fiorentina (Stig)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</si>
  <si>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</si>
  <si>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</si>
  <si>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</si>
  <si>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</si>
  <si>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</si>
  <si>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</si>
  <si>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</si>
  <si>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</si>
  <si>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</si>
  <si>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2 - 5 (0 - 4)</t>
  </si>
  <si>
    <t>4 - 4 (2 - 1)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</si>
  <si>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</si>
  <si>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</si>
  <si>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</si>
  <si>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</si>
  <si>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</si>
  <si>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</si>
  <si>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</si>
  <si>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Switzerland (Indra13_27)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</si>
  <si>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</si>
  <si>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</si>
  <si>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</si>
  <si>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</si>
  <si>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</si>
  <si>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</si>
  <si>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</si>
  <si>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</si>
  <si>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</si>
  <si>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</si>
  <si>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</si>
  <si>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</si>
  <si>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</si>
  <si>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5 - 3 (1 - 1)</t>
  </si>
  <si>
    <t>Saint-Etienne (Mr.Jey)</t>
  </si>
  <si>
    <t>Nice (Dimqaa)</t>
  </si>
  <si>
    <t>3 - 4 (3 - 0)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</si>
  <si>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</si>
  <si>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</si>
  <si>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</si>
  <si>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</si>
  <si>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</si>
  <si>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</si>
  <si>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</si>
  <si>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</si>
  <si>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</si>
  <si>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Manchester United (Phantom)</t>
  </si>
  <si>
    <t>Wolfsburg (Walker)</t>
  </si>
  <si>
    <t>Getafe (Quavo)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</si>
  <si>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</si>
  <si>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</si>
  <si>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</si>
  <si>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</si>
  <si>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</si>
  <si>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</si>
  <si>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</si>
  <si>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</si>
  <si>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</si>
  <si>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</si>
  <si>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</si>
  <si>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</si>
  <si>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</si>
  <si>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Valencia (Klexter)</t>
  </si>
  <si>
    <t>8 - 2 (4 - 1)</t>
  </si>
  <si>
    <t>1 - 8 (1 - 3)</t>
  </si>
  <si>
    <t>5 -1 (3 - 0)</t>
  </si>
  <si>
    <t>Schalke 04 (Indra13_27)</t>
  </si>
  <si>
    <t>Werder Bremen (Ryuk)</t>
  </si>
  <si>
    <t>Wolfsburg (Baphomet)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</si>
  <si>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</si>
  <si>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</si>
  <si>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</si>
  <si>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</si>
  <si>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</si>
  <si>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</si>
  <si>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</si>
  <si>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</si>
  <si>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</si>
  <si>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</si>
  <si>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</si>
  <si>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Sevilla (Fric)</t>
  </si>
  <si>
    <t>Real Madrid (Miller)</t>
  </si>
  <si>
    <t>Inter (Mistyeye)</t>
  </si>
  <si>
    <t>Juventus (Ishking11)</t>
  </si>
  <si>
    <t>RB Leipzig (Ishking11)</t>
  </si>
  <si>
    <t>Borussia Monchengladbach (Walker)</t>
  </si>
  <si>
    <t>Montpellier (Quavo)</t>
  </si>
  <si>
    <t>Saint-Etienne (SpursMax)</t>
  </si>
  <si>
    <t>Nice (praym)</t>
  </si>
  <si>
    <t>Stade Rennais (Mr.Jey)</t>
  </si>
  <si>
    <t>Germany (Ishking11)</t>
  </si>
  <si>
    <t>Spain (Jenko)</t>
  </si>
  <si>
    <t>Celtic (Quavo)</t>
  </si>
  <si>
    <t>Shakhtar Donetsk (SpursMax)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</si>
  <si>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</si>
  <si>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</si>
  <si>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</si>
  <si>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</si>
  <si>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</si>
  <si>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</si>
  <si>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</si>
  <si>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</si>
  <si>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</si>
  <si>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</si>
  <si>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Netherlands (Indra13_27)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</si>
  <si>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</si>
  <si>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</si>
  <si>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</si>
  <si>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</si>
  <si>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</si>
  <si>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</si>
  <si>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</si>
  <si>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</si>
  <si>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2 - 5 (0 - 1)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</si>
  <si>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</si>
  <si>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</si>
  <si>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</si>
  <si>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</si>
  <si>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</si>
  <si>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</si>
  <si>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</si>
  <si>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</si>
  <si>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</si>
  <si>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</si>
  <si>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</si>
  <si>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</si>
  <si>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</si>
  <si>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>2 - 5 (2 - 1)</t>
  </si>
  <si>
    <t>3 - 4 (3 - 2)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</si>
  <si>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</si>
  <si>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</si>
  <si>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</si>
  <si>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</si>
  <si>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</si>
  <si>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</si>
  <si>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</si>
  <si>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</si>
  <si>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</si>
  <si>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7 - 3 (3 - 1)</t>
  </si>
  <si>
    <t>Manchester City (YOSHI)</t>
  </si>
  <si>
    <t>Liverpool (Supernova)</t>
  </si>
  <si>
    <t>Arsenal (Indra13_27)</t>
  </si>
  <si>
    <t>Getafe (praym)</t>
  </si>
  <si>
    <t>PSG (skmgery)</t>
  </si>
  <si>
    <t>Lyon (Kishe)</t>
  </si>
  <si>
    <t>Uruguay (YOSHI)</t>
  </si>
  <si>
    <t>Argentina (Indra13_27)</t>
  </si>
  <si>
    <t>Sassuolo (Indra13_27)</t>
  </si>
  <si>
    <t>Napoli (Klexter)</t>
  </si>
  <si>
    <t>Valencia (skmgery)</t>
  </si>
  <si>
    <t>Chelsea (Ryuk)</t>
  </si>
  <si>
    <t>Ajax  (Kishe)</t>
  </si>
  <si>
    <t>Werder Bremen (Supernova)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</si>
  <si>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</si>
  <si>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</si>
  <si>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</si>
  <si>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</si>
  <si>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</si>
  <si>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</si>
  <si>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Juventus (iamdevilwalk)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</si>
  <si>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</si>
  <si>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</si>
  <si>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</si>
  <si>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</si>
  <si>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</si>
  <si>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</si>
  <si>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</si>
  <si>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</si>
  <si>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</si>
  <si>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1 -3 (1 - 1)</t>
  </si>
  <si>
    <t>RB Leipzig (Dimqaa)</t>
  </si>
  <si>
    <t>FC Bayern (praym)</t>
  </si>
  <si>
    <t>3 - 2  (1 - 0)</t>
  </si>
  <si>
    <t>Spain (Walker)</t>
  </si>
  <si>
    <t>Brazil (Jenko)</t>
  </si>
  <si>
    <t>Gent (RedDevil)</t>
  </si>
  <si>
    <t>Sporting (Ishking11)</t>
  </si>
  <si>
    <t>6 - 4 (1 - 2)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</si>
  <si>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</si>
  <si>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</si>
  <si>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</si>
  <si>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</si>
  <si>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</si>
  <si>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</si>
  <si>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</si>
  <si>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</si>
  <si>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</si>
  <si>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</si>
  <si>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</si>
  <si>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</si>
  <si>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</si>
  <si>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</si>
  <si>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</si>
  <si>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</si>
  <si>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Juventus (Zazabak)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</si>
  <si>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</si>
  <si>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</si>
  <si>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</si>
  <si>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</si>
  <si>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</si>
  <si>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</si>
  <si>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</si>
  <si>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</si>
  <si>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</si>
  <si>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</si>
  <si>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</si>
  <si>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</si>
  <si>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</si>
  <si>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</si>
  <si>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</si>
  <si>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</si>
  <si>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</si>
  <si>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</si>
  <si>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>Montpellier (Indra13_27)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</si>
  <si>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</si>
  <si>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</si>
  <si>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</si>
  <si>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</si>
  <si>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</si>
  <si>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</si>
  <si>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</si>
  <si>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</si>
  <si>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</si>
  <si>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</si>
  <si>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</si>
  <si>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</si>
  <si>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</si>
  <si>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</si>
  <si>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</si>
  <si>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</si>
  <si>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</si>
  <si>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</si>
  <si>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</si>
  <si>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</si>
  <si>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</si>
  <si>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</si>
  <si>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</si>
  <si>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</si>
  <si>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</si>
  <si>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</si>
  <si>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</si>
  <si>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</si>
  <si>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</si>
  <si>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Bayer 04 (specialist)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</si>
  <si>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</si>
  <si>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</si>
  <si>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</si>
  <si>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</si>
  <si>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</si>
  <si>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</si>
  <si>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</si>
  <si>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</si>
  <si>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</si>
  <si>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</si>
  <si>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</si>
  <si>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</si>
  <si>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</si>
  <si>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</si>
  <si>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</si>
  <si>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</si>
  <si>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</si>
  <si>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Atalanta (specialist)</t>
  </si>
  <si>
    <t>Lazio (Fric)</t>
  </si>
  <si>
    <t>Milan (Miller)</t>
  </si>
  <si>
    <t>Roma (Zazabak)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</si>
  <si>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</si>
  <si>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</si>
  <si>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</si>
  <si>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</si>
  <si>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</si>
  <si>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</si>
  <si>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</si>
  <si>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</si>
  <si>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</si>
  <si>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</si>
  <si>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</si>
  <si>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</si>
  <si>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</si>
  <si>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</si>
  <si>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</si>
  <si>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</si>
  <si>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</si>
  <si>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Marseille (Quavo)</t>
  </si>
  <si>
    <t>Lyon (Ishking11)</t>
  </si>
  <si>
    <t>Monaco (Supernova)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</si>
  <si>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</si>
  <si>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</si>
  <si>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</si>
  <si>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</si>
  <si>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</si>
  <si>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</si>
  <si>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3 - 3 (3 - 0)</t>
  </si>
  <si>
    <t>Nice (skmgery)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</si>
  <si>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</si>
  <si>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</si>
  <si>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</si>
  <si>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</si>
  <si>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</si>
  <si>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Austria (Quavo)</t>
  </si>
  <si>
    <t>7 - 1 (2 - 0)</t>
  </si>
  <si>
    <t>Denmark (SpursMax)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</si>
  <si>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</si>
  <si>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</si>
  <si>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</si>
  <si>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</si>
  <si>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</si>
  <si>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</si>
  <si>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</si>
  <si>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</si>
  <si>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</si>
  <si>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</si>
  <si>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</si>
  <si>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Atalanta (Aventon)</t>
  </si>
  <si>
    <t>France Cyber Stars League 02:00 - 05:00</t>
  </si>
  <si>
    <t>Monaco (Miller)</t>
  </si>
  <si>
    <t>Lille (iamdevilwalk)</t>
  </si>
  <si>
    <t>Germany (Indra13_27)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</si>
  <si>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</si>
  <si>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</si>
  <si>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</si>
  <si>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</si>
  <si>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</si>
  <si>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</si>
  <si>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</si>
  <si>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</si>
  <si>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</si>
  <si>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</si>
  <si>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</si>
  <si>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</si>
  <si>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</si>
  <si>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</si>
  <si>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</si>
  <si>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</si>
  <si>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</si>
  <si>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</si>
  <si>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</si>
  <si>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</si>
  <si>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</si>
  <si>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</si>
  <si>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</si>
  <si>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</si>
  <si>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</si>
  <si>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</si>
  <si>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</si>
  <si>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</si>
  <si>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</si>
  <si>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</si>
  <si>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</si>
  <si>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</si>
  <si>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</si>
  <si>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</si>
  <si>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</si>
  <si>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</si>
  <si>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</si>
  <si>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</si>
  <si>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</si>
  <si>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</si>
  <si>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</si>
  <si>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</si>
  <si>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</si>
  <si>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</si>
  <si>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</si>
  <si>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</si>
  <si>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</si>
  <si>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</si>
  <si>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</si>
  <si>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</si>
  <si>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</si>
  <si>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</si>
  <si>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</si>
  <si>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</si>
  <si>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</si>
  <si>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</si>
  <si>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</si>
  <si>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</si>
  <si>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</si>
  <si>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</si>
  <si>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</si>
  <si>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</si>
  <si>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</si>
  <si>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</si>
  <si>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</si>
  <si>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</si>
  <si>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</si>
  <si>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</si>
  <si>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</si>
  <si>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</si>
  <si>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</si>
  <si>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</si>
  <si>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</si>
  <si>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</si>
  <si>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</si>
  <si>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</si>
  <si>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</si>
  <si>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</si>
  <si>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</si>
  <si>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</si>
  <si>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Levante (YOSHI)</t>
  </si>
  <si>
    <t>Spain Cyber Stars League 11:00 - 14:00</t>
  </si>
  <si>
    <t>Villarreal (Quavo)</t>
  </si>
  <si>
    <t>Valladolid (praym)</t>
  </si>
  <si>
    <t>Real Betis (Jenko)</t>
  </si>
  <si>
    <t>Getafe (Stig)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</si>
  <si>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</si>
  <si>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</si>
  <si>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</si>
  <si>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</si>
  <si>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</si>
  <si>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</si>
  <si>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</si>
  <si>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</si>
  <si>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</si>
  <si>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</si>
  <si>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</si>
  <si>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</si>
  <si>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</si>
  <si>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</si>
  <si>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</si>
  <si>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</si>
  <si>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</si>
  <si>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</si>
  <si>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</si>
  <si>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</si>
  <si>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2 - 4 (2 - 0)</t>
  </si>
  <si>
    <t>Portugal (Kishe)</t>
  </si>
  <si>
    <t>Netherlands (fleshka77)</t>
  </si>
  <si>
    <t>Uruguay (skmgery)</t>
  </si>
  <si>
    <t>Italy (Aphex)</t>
  </si>
  <si>
    <t>England (dinototli)</t>
  </si>
  <si>
    <t>Italy Cyber Stars League 18:00 - 20:30</t>
  </si>
  <si>
    <t>Sampdoria (Mr.Jey)</t>
  </si>
  <si>
    <t>Fiorentina (Den1Bravo)</t>
  </si>
  <si>
    <t>1 - 4 (2 - 0)</t>
  </si>
  <si>
    <t>0 - 8 (0 - 5)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</si>
  <si>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</si>
  <si>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</si>
  <si>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</si>
  <si>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</si>
  <si>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</si>
  <si>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</si>
  <si>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</si>
  <si>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</si>
  <si>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4 - 5 (3 - 3)</t>
  </si>
  <si>
    <t>West Ham United (Aphex)</t>
  </si>
  <si>
    <t>Wolverhampton (dinototli)</t>
  </si>
  <si>
    <t>Cyber Champions League 23:00 - 01:30</t>
  </si>
  <si>
    <t>Napoli (Zazabak)</t>
  </si>
  <si>
    <t>5 - 1 (5 - 0)</t>
  </si>
  <si>
    <t>3 - 6 (3 - 2)</t>
  </si>
  <si>
    <t>France Cyber Stars League 01:30 - 04:00</t>
  </si>
  <si>
    <t>Nice (Thiago)</t>
  </si>
  <si>
    <t>Stade Rennais (Baphomet)</t>
  </si>
  <si>
    <t>Bourdeux (Supernova)</t>
  </si>
  <si>
    <t>Saint-Etienne (Aventon)</t>
  </si>
  <si>
    <t>Cyber Europa League 02:00 - 05:00</t>
  </si>
  <si>
    <t>Manchester United (ScRate)</t>
  </si>
  <si>
    <t>Lazio (Klexter)</t>
  </si>
  <si>
    <t>Arsenal (Tranquil)</t>
  </si>
  <si>
    <t>Bayer 04 (Aphex)</t>
  </si>
  <si>
    <t>0 - 7 (0 - 2)</t>
  </si>
  <si>
    <t>England Cyber Stars League 4:00 - 6:30</t>
  </si>
  <si>
    <t>Manchester City (Zazabak)</t>
  </si>
  <si>
    <t>Liverpool (Thiago)</t>
  </si>
  <si>
    <t>Arsenal (Baphomet)</t>
  </si>
  <si>
    <t>Sevilla (ScRate)</t>
  </si>
  <si>
    <t>Real Madrid (specialist)</t>
  </si>
  <si>
    <t>8 - 0 (6 - 0)</t>
  </si>
  <si>
    <t>6 - 1 (1 - 0)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</si>
  <si>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</si>
  <si>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</si>
  <si>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</si>
  <si>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</si>
  <si>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</si>
  <si>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</si>
  <si>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</si>
  <si>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</si>
  <si>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</si>
  <si>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England (Phantom)</t>
  </si>
  <si>
    <t>6 - 5 (2 - 1)</t>
  </si>
  <si>
    <t>4 - 4 (2 - 4)</t>
  </si>
  <si>
    <t>France Cyber Stars League 14:00 - 17:00</t>
  </si>
  <si>
    <t>Lyon (CarlWhizzer)</t>
  </si>
  <si>
    <t>Lille (Walker)</t>
  </si>
  <si>
    <t>Monaco (Mistyeye)</t>
  </si>
  <si>
    <t>Marseille (mrPanda)</t>
  </si>
  <si>
    <t>Italy Cyber Stars League 13:15 - 15:30</t>
  </si>
  <si>
    <t>Sampdoria (Quavo)</t>
  </si>
  <si>
    <t>Sassuolo (SpursMax)</t>
  </si>
  <si>
    <t>Parma (Den1Bravo)</t>
  </si>
  <si>
    <t>5 - 4 (2 - 2)</t>
  </si>
  <si>
    <t>3 - 6 (1 - 3)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</si>
  <si>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</si>
  <si>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</si>
  <si>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</si>
  <si>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</si>
  <si>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</si>
  <si>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</si>
  <si>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</si>
  <si>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</si>
  <si>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</si>
  <si>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</si>
  <si>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</si>
  <si>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</si>
  <si>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</si>
  <si>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</si>
  <si>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</si>
  <si>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</si>
  <si>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</si>
  <si>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</si>
  <si>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</si>
  <si>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</si>
  <si>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</si>
  <si>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</si>
  <si>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</si>
  <si>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</si>
  <si>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</si>
  <si>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</si>
  <si>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</si>
  <si>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</si>
  <si>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</si>
  <si>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</si>
  <si>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</si>
  <si>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</si>
  <si>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</si>
  <si>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</si>
  <si>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Marseille (Zazabak)</t>
  </si>
  <si>
    <t>PSG (Thiago)</t>
  </si>
  <si>
    <t>Lyon (Baphomet)</t>
  </si>
  <si>
    <t>0 - 4 (0  -3)</t>
  </si>
  <si>
    <t>Napoli (iamdevilwalk)</t>
  </si>
  <si>
    <t>Lazio (Tranquil)</t>
  </si>
  <si>
    <t>1 - 7 (1 - 4)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</si>
  <si>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</si>
  <si>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</si>
  <si>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</si>
  <si>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</si>
  <si>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</si>
  <si>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</si>
  <si>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2 - 7 (1 - 4)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</si>
  <si>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</si>
  <si>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</si>
  <si>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</si>
  <si>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</si>
  <si>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</si>
  <si>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</si>
  <si>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</si>
  <si>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</si>
  <si>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</si>
  <si>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</si>
  <si>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</si>
  <si>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Gent (SpursMax)</t>
  </si>
  <si>
    <t>Celtic (Indra13_27)</t>
  </si>
  <si>
    <t>Basaksehir (Baphomet)</t>
  </si>
  <si>
    <t>CSKA Moscow (Supernova)</t>
  </si>
  <si>
    <t>Porto (CarlWhizzer)</t>
  </si>
  <si>
    <t>Lazio (Den1Bravo)</t>
  </si>
  <si>
    <t>Manchester United (Mr.Jey)</t>
  </si>
  <si>
    <t>5 - 3 (4 - 0)</t>
  </si>
  <si>
    <t>Germany Cyber Stars League 20:00 - 23:00</t>
  </si>
  <si>
    <t>Koln (fleshka77)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</si>
  <si>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</si>
  <si>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</si>
  <si>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</si>
  <si>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</si>
  <si>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</si>
  <si>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</si>
  <si>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</si>
  <si>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</si>
  <si>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</si>
  <si>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</si>
  <si>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</si>
  <si>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</si>
  <si>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</si>
  <si>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</si>
  <si>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</si>
  <si>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</si>
  <si>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</si>
  <si>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</si>
  <si>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</si>
  <si>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</si>
  <si>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</si>
  <si>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</si>
  <si>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</si>
  <si>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</si>
  <si>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</si>
  <si>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</si>
  <si>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</si>
  <si>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</si>
  <si>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</si>
  <si>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</si>
  <si>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</si>
  <si>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</si>
  <si>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</si>
  <si>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</si>
  <si>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</si>
  <si>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</si>
  <si>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</si>
  <si>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</si>
  <si>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</si>
  <si>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</si>
  <si>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</si>
  <si>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</si>
  <si>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</si>
  <si>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</si>
  <si>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</si>
  <si>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</si>
  <si>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Leicester (SpursMax)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</si>
  <si>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</si>
  <si>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</si>
  <si>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</si>
  <si>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</si>
  <si>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</si>
  <si>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</si>
  <si>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</si>
  <si>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</si>
  <si>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</si>
  <si>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</si>
  <si>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</si>
  <si>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</si>
  <si>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</si>
  <si>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</si>
  <si>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</si>
  <si>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</si>
  <si>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4 - 3 (0 - 1)</t>
  </si>
  <si>
    <t>Brazil (Supernova)</t>
  </si>
  <si>
    <t>7 - 1 (4 - 1)</t>
  </si>
  <si>
    <t>2 - 8 (1 - 3)</t>
  </si>
  <si>
    <t>1 - 4 (1 -1)</t>
  </si>
  <si>
    <t>Germany Cyber Stars League 23:00 - 02:00</t>
  </si>
  <si>
    <t>RB Leipzig (fleshka77)</t>
  </si>
  <si>
    <t>Borussia Dortmund (iamdevilwalk)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</si>
  <si>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</si>
  <si>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</si>
  <si>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</si>
  <si>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</si>
  <si>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</si>
  <si>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</si>
  <si>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</si>
  <si>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</si>
  <si>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</si>
  <si>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</si>
  <si>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</si>
  <si>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</si>
  <si>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</si>
  <si>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</si>
  <si>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</si>
  <si>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</si>
  <si>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</si>
  <si>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Wolverhampton (SpursMax)</t>
  </si>
  <si>
    <t>Getafe (Den1Bravo)</t>
  </si>
  <si>
    <t>Borussia Monchengladbach (Ishking11)</t>
  </si>
  <si>
    <t>Cyber Champions League  11:00 - 14:00</t>
  </si>
  <si>
    <t>5 - 5 (2 - 3)</t>
  </si>
  <si>
    <t>Manchester City (Stig)</t>
  </si>
  <si>
    <t>Borussia Dortmund (Mistyeye)</t>
  </si>
  <si>
    <t>Brazil (SpursMax)</t>
  </si>
  <si>
    <t>France (Den1Bravo)</t>
  </si>
  <si>
    <t>Belgium (Ishking11)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</si>
  <si>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</si>
  <si>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</si>
  <si>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</si>
  <si>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</si>
  <si>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</si>
  <si>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</si>
  <si>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</si>
  <si>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</si>
  <si>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</si>
  <si>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</si>
  <si>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Roma (Walker)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</si>
  <si>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</si>
  <si>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</si>
  <si>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</si>
  <si>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</si>
  <si>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</si>
  <si>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</si>
  <si>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FC Bayern (SpursMax)</t>
  </si>
  <si>
    <t>Bayer 04 (Indra13_27)</t>
  </si>
  <si>
    <t>Borussia Monchengladbach (Supernova)</t>
  </si>
  <si>
    <t>3 - 6 (0 - 4)</t>
  </si>
  <si>
    <t>2 - 4  (2 - 0)</t>
  </si>
  <si>
    <t>Barcelona (Indra13_27)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</si>
  <si>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</si>
  <si>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</si>
  <si>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</si>
  <si>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</si>
  <si>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</si>
  <si>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</si>
  <si>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</si>
  <si>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</si>
  <si>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</si>
  <si>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</si>
  <si>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</si>
  <si>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</si>
  <si>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</si>
  <si>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</si>
  <si>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</si>
  <si>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Atalanta (Miller)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</si>
  <si>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</si>
  <si>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</si>
  <si>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</si>
  <si>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</si>
  <si>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</si>
  <si>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</si>
  <si>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</si>
  <si>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</si>
  <si>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</si>
  <si>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</si>
  <si>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</si>
  <si>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</si>
  <si>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</si>
  <si>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</si>
  <si>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Borussia Dortmund (Klexter)</t>
  </si>
  <si>
    <t>5 - 5 (3 - 0)</t>
  </si>
  <si>
    <t>England Cyber Stars League 15:00 - 18:00</t>
  </si>
  <si>
    <t>Manchester City (Den1Bravo)</t>
  </si>
  <si>
    <t>Manchester United (Klexter)</t>
  </si>
  <si>
    <t>Spain Cyber Stars League 14:00 - 17:00</t>
  </si>
  <si>
    <t>Real Betis (Aventon)</t>
  </si>
  <si>
    <t>Villarreal (Walker)</t>
  </si>
  <si>
    <t>Real Sociedad (Veep)</t>
  </si>
  <si>
    <t>Athletic Club (Quavo)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</si>
  <si>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</si>
  <si>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</si>
  <si>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</si>
  <si>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</si>
  <si>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</si>
  <si>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</si>
  <si>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</si>
  <si>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</si>
  <si>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</si>
  <si>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Napoli (Supernova)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</si>
  <si>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</si>
  <si>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</si>
  <si>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</si>
  <si>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</si>
  <si>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</si>
  <si>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</si>
  <si>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</si>
  <si>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</si>
  <si>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</si>
  <si>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</si>
  <si>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</si>
  <si>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</si>
  <si>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</si>
  <si>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</si>
  <si>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</si>
  <si>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</si>
  <si>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Napoli (Tranquil)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</si>
  <si>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</si>
  <si>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</si>
  <si>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</si>
  <si>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</si>
  <si>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</si>
  <si>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</si>
  <si>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</si>
  <si>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</si>
  <si>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</si>
  <si>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</si>
  <si>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</si>
  <si>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</si>
  <si>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5 - 4 (4 - 2)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</si>
  <si>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</si>
  <si>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</si>
  <si>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</si>
  <si>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</si>
  <si>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</si>
  <si>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</si>
  <si>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</si>
  <si>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</si>
  <si>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</si>
  <si>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</si>
  <si>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</si>
  <si>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</si>
  <si>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</si>
  <si>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</si>
  <si>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</si>
  <si>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</si>
  <si>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</si>
  <si>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</si>
  <si>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</si>
  <si>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</si>
  <si>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</si>
  <si>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</si>
  <si>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</si>
  <si>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</si>
  <si>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</si>
  <si>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</si>
  <si>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</si>
  <si>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</si>
  <si>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</si>
  <si>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</si>
  <si>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Inter (Miller)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</si>
  <si>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</si>
  <si>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</si>
  <si>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</si>
  <si>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</si>
  <si>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</si>
  <si>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</si>
  <si>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</si>
  <si>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</si>
  <si>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</si>
  <si>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</si>
  <si>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</si>
  <si>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</si>
  <si>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</si>
  <si>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</si>
  <si>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</si>
  <si>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</si>
  <si>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</si>
  <si>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Eintracht (Supernova)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</si>
  <si>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</si>
  <si>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</si>
  <si>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</si>
  <si>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</si>
  <si>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</si>
  <si>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</si>
  <si>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</si>
  <si>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</si>
  <si>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</si>
  <si>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</si>
  <si>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</si>
  <si>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</si>
  <si>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</si>
  <si>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</si>
  <si>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1 - 7 (0 - 4)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</si>
  <si>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</si>
  <si>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</si>
  <si>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</si>
  <si>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</si>
  <si>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</si>
  <si>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</si>
  <si>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</si>
  <si>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</si>
  <si>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</si>
  <si>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</si>
  <si>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</si>
  <si>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2 -1 (1 - 1)</t>
  </si>
  <si>
    <t>Switzerland (Stig)</t>
  </si>
  <si>
    <t>Mexico (CarlWhizzer)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</si>
  <si>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</si>
  <si>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</si>
  <si>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</si>
  <si>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</si>
  <si>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</si>
  <si>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Lazio (Stig)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</si>
  <si>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</si>
  <si>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</si>
  <si>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</si>
  <si>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</si>
  <si>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</si>
  <si>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</si>
  <si>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</si>
  <si>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</si>
  <si>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</si>
  <si>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</si>
  <si>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</si>
  <si>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4 - 2 (0 - 2)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</si>
  <si>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</si>
  <si>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</si>
  <si>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</si>
  <si>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</si>
  <si>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</si>
  <si>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</si>
  <si>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</si>
  <si>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</si>
  <si>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</si>
  <si>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</si>
  <si>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</si>
  <si>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</si>
  <si>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</si>
  <si>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</si>
  <si>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</si>
  <si>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</si>
  <si>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</si>
  <si>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</si>
  <si>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</si>
  <si>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</si>
  <si>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</si>
  <si>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Udinese (SpursMax)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</si>
  <si>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</si>
  <si>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</si>
  <si>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</si>
  <si>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</si>
  <si>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</si>
  <si>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</si>
  <si>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</si>
  <si>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</si>
  <si>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</si>
  <si>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Atletico Madrid (YOSHI)</t>
  </si>
  <si>
    <t>Napoli (Mr.Jey)</t>
  </si>
  <si>
    <t>Borussia Dortmund (madmah)</t>
  </si>
  <si>
    <t>England Cyber Stars League 20:00 - 23:00</t>
  </si>
  <si>
    <t>Tottenham (Sambo)</t>
  </si>
  <si>
    <t>Manchester City (Fric)</t>
  </si>
  <si>
    <t>Manchester United (skmgery)</t>
  </si>
  <si>
    <t>1 - 8 (1 - 2)</t>
  </si>
  <si>
    <t>Valencia (Sambo)</t>
  </si>
  <si>
    <t>Ajax  (Ryuk)</t>
  </si>
  <si>
    <t>5 - 6 (3 - 2)</t>
  </si>
  <si>
    <t>4 - 4 (0 - 2)</t>
  </si>
  <si>
    <t>2 - 7 (0 - 4)</t>
  </si>
  <si>
    <t>Atletico Madrid (Sambo)</t>
  </si>
  <si>
    <t>Juventus (ScRate)</t>
  </si>
  <si>
    <t>Inter (Sambo)</t>
  </si>
  <si>
    <t>Napoli (Miller)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</si>
  <si>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</si>
  <si>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</si>
  <si>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</si>
  <si>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</si>
  <si>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</si>
  <si>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</si>
  <si>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</si>
  <si>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</si>
  <si>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</si>
  <si>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</si>
  <si>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</si>
  <si>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</si>
  <si>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</si>
  <si>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</si>
  <si>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</si>
  <si>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</si>
  <si>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</si>
  <si>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</si>
  <si>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</si>
  <si>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</si>
  <si>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</si>
  <si>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</si>
  <si>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</si>
  <si>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</si>
  <si>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</si>
  <si>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</si>
  <si>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</si>
  <si>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Juventus (Baphomet)</t>
  </si>
  <si>
    <t>Barcelona (fleshka77)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</si>
  <si>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</si>
  <si>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</si>
  <si>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</si>
  <si>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</si>
  <si>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</si>
  <si>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</si>
  <si>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</si>
  <si>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</si>
  <si>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Atletico Madrid (Fric)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</si>
  <si>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</si>
  <si>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</si>
  <si>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</si>
  <si>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</si>
  <si>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</si>
  <si>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</si>
  <si>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</si>
  <si>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</si>
  <si>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</si>
  <si>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</si>
  <si>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</si>
  <si>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3 - 5 (0 - 1)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</si>
  <si>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</si>
  <si>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</si>
  <si>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</si>
  <si>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</si>
  <si>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</si>
  <si>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</si>
  <si>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FC Bayern (Veep)</t>
  </si>
  <si>
    <t>Liverpool (Aventon)</t>
  </si>
  <si>
    <t>Roma (Quavo)</t>
  </si>
  <si>
    <t>Torino (Zazabak)</t>
  </si>
  <si>
    <t>Udinese (Walker)</t>
  </si>
  <si>
    <t>Sassuolo (Aventon)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</si>
  <si>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</si>
  <si>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</si>
  <si>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</si>
  <si>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</si>
  <si>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</si>
  <si>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</si>
  <si>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</si>
  <si>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</si>
  <si>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</si>
  <si>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</si>
  <si>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</si>
  <si>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</si>
  <si>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</si>
  <si>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</si>
  <si>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</si>
  <si>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</si>
  <si>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</si>
  <si>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</si>
  <si>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</si>
  <si>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</si>
  <si>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</si>
  <si>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West Ham United (Walker)</t>
  </si>
  <si>
    <t>3 - 2 (1 -2)</t>
  </si>
  <si>
    <t>CSKA Moscow (Quavo)</t>
  </si>
  <si>
    <t>Dynamo Kyiv (Thiago)</t>
  </si>
  <si>
    <t>Basaksehir (Walker)</t>
  </si>
  <si>
    <t>Marseille (dinototli)</t>
  </si>
  <si>
    <t>Monaco (Sambo)</t>
  </si>
  <si>
    <t>Real Madrid (dinototli)</t>
  </si>
  <si>
    <t>Juventus (fleshka77)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</si>
  <si>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</si>
  <si>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</si>
  <si>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</si>
  <si>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</si>
  <si>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</si>
  <si>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</si>
  <si>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</si>
  <si>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</si>
  <si>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</si>
  <si>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</si>
  <si>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</si>
  <si>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</si>
  <si>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</si>
  <si>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</si>
  <si>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</si>
  <si>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</si>
  <si>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</si>
  <si>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Sassuolo (Jenko)</t>
  </si>
  <si>
    <t>Fiorentina (SpursMax)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</si>
  <si>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</si>
  <si>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</si>
  <si>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</si>
  <si>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</si>
  <si>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</si>
  <si>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</si>
  <si>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West Ham United (Dimqaa)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</si>
  <si>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</si>
  <si>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</si>
  <si>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</si>
  <si>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</si>
  <si>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</si>
  <si>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</si>
  <si>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</si>
  <si>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</si>
  <si>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</si>
  <si>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</si>
  <si>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</si>
  <si>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</si>
  <si>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</si>
  <si>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</si>
  <si>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</si>
  <si>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</si>
  <si>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</si>
  <si>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</si>
  <si>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</si>
  <si>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</si>
  <si>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</si>
  <si>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</si>
  <si>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</si>
  <si>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</si>
  <si>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</si>
  <si>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</si>
  <si>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</si>
  <si>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</si>
  <si>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Tottenham (Dimqaa)</t>
  </si>
  <si>
    <t>Uruguay (Jenko)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</si>
  <si>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</si>
  <si>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</si>
  <si>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</si>
  <si>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</si>
  <si>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</si>
  <si>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</si>
  <si>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</si>
  <si>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</si>
  <si>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</si>
  <si>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</si>
  <si>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</si>
  <si>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</si>
  <si>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</si>
  <si>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</si>
  <si>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</si>
  <si>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</si>
  <si>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</si>
  <si>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</si>
  <si>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</si>
  <si>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Bayer 04 (Thiago)</t>
  </si>
  <si>
    <t>Chelsea (Smile)</t>
  </si>
  <si>
    <t>Cyber World Cup 17:00 - 20:00</t>
  </si>
  <si>
    <t>Mexico (Thiago)</t>
  </si>
  <si>
    <t>Austria (Smile)</t>
  </si>
  <si>
    <t>Sevilla (Indra13_27)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</si>
  <si>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</si>
  <si>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</si>
  <si>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</si>
  <si>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</si>
  <si>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</si>
  <si>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</si>
  <si>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</si>
  <si>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</si>
  <si>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</si>
  <si>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</si>
  <si>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</si>
  <si>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</si>
  <si>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Atalanta (skmgery)</t>
  </si>
  <si>
    <t>Lazio (Sambo)</t>
  </si>
  <si>
    <t>8 - 3 (3 - 1)</t>
  </si>
  <si>
    <t>4 - 5 (3 - 4)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</si>
  <si>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</si>
  <si>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</si>
  <si>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</si>
  <si>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</si>
  <si>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</si>
  <si>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</si>
  <si>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</si>
  <si>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</si>
  <si>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</si>
  <si>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</si>
  <si>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Bayer 04 (praym)</t>
  </si>
  <si>
    <t>Borussia Monchengladbach (Mistyeye)</t>
  </si>
  <si>
    <t>Netherlands (praym)</t>
  </si>
  <si>
    <t>Lazio (Mr.Jey)</t>
  </si>
  <si>
    <t xml:space="preserve"> 4 - 3 (1 - 3)</t>
  </si>
  <si>
    <t>5 - 4 (3 - 3)</t>
  </si>
  <si>
    <t>Spain Cyber Stars League 15:00 - 18:00</t>
  </si>
  <si>
    <t>Real Madrid (Supernova)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</si>
  <si>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</si>
  <si>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</si>
  <si>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</si>
  <si>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</si>
  <si>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</si>
  <si>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</si>
  <si>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</si>
  <si>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</si>
  <si>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</si>
  <si>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</si>
  <si>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Montpellier (Baphomet)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</si>
  <si>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</si>
  <si>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</si>
  <si>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</si>
  <si>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</si>
  <si>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</si>
  <si>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</si>
  <si>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</si>
  <si>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</si>
  <si>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</si>
  <si>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2 - 6 (2 - 3)</t>
  </si>
  <si>
    <t>Manchester City (Sambo)</t>
  </si>
  <si>
    <t>Saint-Etienne (Ryuk)</t>
  </si>
  <si>
    <t>Lille (Sambo)</t>
  </si>
  <si>
    <t>Stade Rennais (iamdevilwalk)</t>
  </si>
  <si>
    <t>Italy Cyber Stars League  08:00 - 11:00</t>
  </si>
  <si>
    <t>Juventus (praym)</t>
  </si>
  <si>
    <t>Crystal Palace (Stig)</t>
  </si>
  <si>
    <t>0 -1 (0 - 1)</t>
  </si>
  <si>
    <t>Sassuolo (madmah)</t>
  </si>
  <si>
    <t>4 - 6 (3 - 2)</t>
  </si>
  <si>
    <t>Italy (Mr.Jey)</t>
  </si>
  <si>
    <t>Belgium (Thiago)</t>
  </si>
  <si>
    <t>Atletico Madrid (Stig)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</si>
  <si>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</si>
  <si>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</si>
  <si>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</si>
  <si>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</si>
  <si>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</si>
  <si>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</si>
  <si>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</si>
  <si>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</si>
  <si>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</si>
  <si>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</si>
  <si>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</si>
  <si>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Inter (Fric)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</si>
  <si>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</si>
  <si>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</si>
  <si>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</si>
  <si>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</si>
  <si>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</si>
  <si>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</si>
  <si>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</si>
  <si>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</si>
  <si>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</si>
  <si>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</si>
  <si>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</si>
  <si>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</si>
  <si>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RB Leipzig (Veep)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</si>
  <si>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</si>
  <si>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</si>
  <si>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</si>
  <si>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</si>
  <si>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</si>
  <si>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</si>
  <si>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</si>
  <si>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</si>
  <si>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</si>
  <si>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</si>
  <si>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</si>
  <si>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Atletico Madrid (fleshka77)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</si>
  <si>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</si>
  <si>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</si>
  <si>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</si>
  <si>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</si>
  <si>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</si>
  <si>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</si>
  <si>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</si>
  <si>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</si>
  <si>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</si>
  <si>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</si>
  <si>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</si>
  <si>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</si>
  <si>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</si>
  <si>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</si>
  <si>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Getafe (Mistyeye)</t>
  </si>
  <si>
    <t>Real Betis (Dimqaa)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</si>
  <si>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</si>
  <si>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</si>
  <si>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</si>
  <si>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</si>
  <si>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</si>
  <si>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</si>
  <si>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</si>
  <si>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</si>
  <si>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</si>
  <si>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</si>
  <si>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</si>
  <si>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</si>
  <si>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</si>
  <si>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5 - 1 (0 - 1)</t>
  </si>
  <si>
    <t>Denmark (YOSHI)</t>
  </si>
  <si>
    <t>4 -3 (1 - 2)</t>
  </si>
  <si>
    <t>Mexico (SpursMax)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</si>
  <si>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</si>
  <si>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</si>
  <si>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</si>
  <si>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</si>
  <si>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</si>
  <si>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</si>
  <si>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</si>
  <si>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</si>
  <si>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</si>
  <si>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</si>
  <si>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</si>
  <si>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</si>
  <si>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</si>
  <si>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</si>
  <si>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</si>
  <si>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</si>
  <si>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</si>
  <si>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</si>
  <si>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</si>
  <si>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Liverpool (SpursMax)</t>
  </si>
  <si>
    <t>Tottenham (Ishking11)</t>
  </si>
  <si>
    <t>Manchester City (Mr.Jey)</t>
  </si>
  <si>
    <t>Monaco (Den1Bravo)</t>
  </si>
  <si>
    <t>Montpellier (Jenko)</t>
  </si>
  <si>
    <t>Marseille (Mr.Jey)</t>
  </si>
  <si>
    <t>Chelsea (Dimqaa)</t>
  </si>
  <si>
    <t>Ajax  (dzekon)</t>
  </si>
  <si>
    <t>Bayer 04 (Smile)</t>
  </si>
  <si>
    <t>Uruguay (dzekon)</t>
  </si>
  <si>
    <t>Atletico Madrid (Jenko)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</si>
  <si>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</si>
  <si>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</si>
  <si>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</si>
  <si>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</si>
  <si>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</si>
  <si>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</si>
  <si>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</si>
  <si>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</si>
  <si>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</si>
  <si>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</si>
  <si>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</si>
  <si>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</si>
  <si>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</si>
  <si>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</si>
  <si>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</si>
  <si>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</si>
  <si>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</si>
  <si>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</si>
  <si>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</si>
  <si>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</si>
  <si>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</si>
  <si>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</si>
  <si>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</si>
  <si>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</si>
  <si>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</si>
  <si>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</si>
  <si>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</si>
  <si>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</si>
  <si>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</si>
  <si>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</si>
  <si>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</si>
  <si>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</si>
  <si>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</si>
  <si>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</si>
  <si>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</si>
  <si>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</si>
  <si>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</si>
  <si>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</si>
  <si>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</si>
  <si>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</si>
  <si>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</si>
  <si>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</si>
  <si>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</si>
  <si>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</si>
  <si>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</si>
  <si>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</si>
  <si>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</si>
  <si>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</si>
  <si>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</si>
  <si>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</si>
  <si>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</si>
  <si>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</si>
  <si>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</si>
  <si>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</si>
  <si>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</si>
  <si>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</si>
  <si>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</si>
  <si>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</si>
  <si>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</si>
  <si>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</si>
  <si>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</si>
  <si>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</si>
  <si>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</si>
  <si>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</si>
  <si>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</si>
  <si>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</si>
  <si>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</si>
  <si>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</si>
  <si>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</si>
  <si>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</si>
  <si>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</si>
  <si>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</si>
  <si>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</si>
  <si>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</si>
  <si>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</si>
  <si>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</si>
  <si>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</si>
  <si>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Athletic Club (CarlWhizzer)</t>
  </si>
  <si>
    <t>Italy Cyber Stars League  12:00 - 15:00</t>
  </si>
  <si>
    <t>Atalanta (ReadingClub)</t>
  </si>
  <si>
    <t>Lazio (SpursMax)</t>
  </si>
  <si>
    <t>1 - 5 (1 - 5)</t>
  </si>
  <si>
    <t>Valencia (ReadingClub)</t>
  </si>
  <si>
    <t>Netherlands (specialist)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</si>
  <si>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</si>
  <si>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</si>
  <si>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</si>
  <si>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</si>
  <si>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</si>
  <si>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</si>
  <si>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</si>
  <si>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</si>
  <si>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</si>
  <si>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</si>
  <si>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</si>
  <si>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</si>
  <si>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</si>
  <si>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Brazil (Ishking11)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</si>
  <si>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</si>
  <si>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</si>
  <si>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</si>
  <si>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</si>
  <si>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</si>
  <si>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</si>
  <si>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</si>
  <si>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</si>
  <si>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</si>
  <si>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</si>
  <si>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</si>
  <si>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</si>
  <si>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</si>
  <si>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</si>
  <si>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</si>
  <si>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</si>
  <si>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</si>
  <si>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</si>
  <si>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</si>
  <si>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</si>
  <si>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</si>
  <si>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</si>
  <si>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</si>
  <si>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</si>
  <si>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</si>
  <si>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</si>
  <si>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</si>
  <si>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</si>
  <si>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</si>
  <si>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>Barcelona (Supernova)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</si>
  <si>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</si>
  <si>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</si>
  <si>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</si>
  <si>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</si>
  <si>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</si>
  <si>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 xml:space="preserve"> 0 - 0 (0 - 0)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</si>
  <si>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</si>
  <si>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</si>
  <si>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</si>
  <si>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</si>
  <si>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</si>
  <si>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</si>
  <si>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</si>
  <si>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</si>
  <si>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</si>
  <si>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</si>
  <si>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</si>
  <si>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</si>
  <si>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</si>
  <si>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</si>
  <si>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</si>
  <si>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</si>
  <si>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</si>
  <si>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</si>
  <si>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</si>
  <si>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</si>
  <si>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</si>
  <si>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</si>
  <si>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</si>
  <si>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</si>
  <si>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</si>
  <si>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</si>
  <si>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</si>
  <si>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</si>
  <si>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</si>
  <si>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</si>
  <si>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</si>
  <si>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</si>
  <si>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</si>
  <si>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</si>
  <si>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</si>
  <si>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Monaco (Ishking11)</t>
  </si>
  <si>
    <t>AZ (Veep)</t>
  </si>
  <si>
    <t>CSKA Moscow (hopkins)</t>
  </si>
  <si>
    <t>Gent (Ryuk)</t>
  </si>
  <si>
    <t>Cyber World Cup 02:00 - 05:00</t>
  </si>
  <si>
    <t>France (Tranquil)</t>
  </si>
  <si>
    <t>Belgium (hopkins)</t>
  </si>
  <si>
    <t>4 - 6 (1 - 3)</t>
  </si>
  <si>
    <t>Villarreal (ScRate)</t>
  </si>
  <si>
    <t>Getafe (hopkins)</t>
  </si>
  <si>
    <t>Tottenham (Mistyeye)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</si>
  <si>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</si>
  <si>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</si>
  <si>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</si>
  <si>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</si>
  <si>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</si>
  <si>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</si>
  <si>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Milan (Indra13_27)</t>
  </si>
  <si>
    <t>Portugal (forest**)</t>
  </si>
  <si>
    <t>2 - 7 (0 - 3)</t>
  </si>
  <si>
    <t>1 -  2 (1 - 1)</t>
  </si>
  <si>
    <t xml:space="preserve">1 - 4 (0 - 3) </t>
  </si>
  <si>
    <t>3 - 1 (1 -1)</t>
  </si>
  <si>
    <t>3 -2 (2 - 1)</t>
  </si>
  <si>
    <t>Valencia (Veep)</t>
  </si>
  <si>
    <t>Atletico Madrid (Mistyeye)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</si>
  <si>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</si>
  <si>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</si>
  <si>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</si>
  <si>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</si>
  <si>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</si>
  <si>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</si>
  <si>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</si>
  <si>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</si>
  <si>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</si>
  <si>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</si>
  <si>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</si>
  <si>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West Ham United (Ishking11)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</si>
  <si>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</si>
  <si>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</si>
  <si>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</si>
  <si>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</si>
  <si>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</si>
  <si>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</si>
  <si>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</si>
  <si>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</si>
  <si>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</si>
  <si>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</si>
  <si>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</si>
  <si>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</si>
  <si>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</si>
  <si>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</si>
  <si>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</si>
  <si>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3 - 5 (0 - 4)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</si>
  <si>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</si>
  <si>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</si>
  <si>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</si>
  <si>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</si>
  <si>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</si>
  <si>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</si>
  <si>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</si>
  <si>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</si>
  <si>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</si>
  <si>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</si>
  <si>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</si>
  <si>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</si>
  <si>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</si>
  <si>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</si>
  <si>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Switzerland (SpursMax)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</si>
  <si>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</si>
  <si>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</si>
  <si>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</si>
  <si>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</si>
  <si>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</si>
  <si>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</si>
  <si>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</si>
  <si>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</si>
  <si>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</si>
  <si>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</si>
  <si>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</si>
  <si>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</si>
  <si>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</si>
  <si>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</si>
  <si>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</si>
  <si>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</si>
  <si>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</si>
  <si>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</si>
  <si>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</si>
  <si>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2 - 4 (2 - 4)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</si>
  <si>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</si>
  <si>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</si>
  <si>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</si>
  <si>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</si>
  <si>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</si>
  <si>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</si>
  <si>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</si>
  <si>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</si>
  <si>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</si>
  <si>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Dynamo Kyiv (Supernova)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</si>
  <si>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</si>
  <si>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</si>
  <si>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</si>
  <si>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</si>
  <si>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</si>
  <si>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</si>
  <si>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</si>
  <si>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</si>
  <si>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</si>
  <si>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</si>
  <si>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</si>
  <si>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</si>
  <si>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</si>
  <si>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</si>
  <si>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</si>
  <si>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 xml:space="preserve"> 1 - 0 (0 - 0)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</si>
  <si>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</si>
  <si>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</si>
  <si>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</si>
  <si>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</si>
  <si>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</si>
  <si>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</si>
  <si>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</si>
  <si>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</si>
  <si>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</si>
  <si>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</si>
  <si>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</si>
  <si>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</si>
  <si>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</si>
  <si>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</si>
  <si>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</si>
  <si>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</si>
  <si>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</si>
  <si>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</si>
  <si>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</si>
  <si>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</si>
  <si>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</si>
  <si>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</si>
  <si>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</si>
  <si>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Liverpool (Dimqaa)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</si>
  <si>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</si>
  <si>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</si>
  <si>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</si>
  <si>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</si>
  <si>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</si>
  <si>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</si>
  <si>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</si>
  <si>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1 - 7 (1 - 5)</t>
  </si>
  <si>
    <t>Koln (Indra13_27)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</si>
  <si>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</si>
  <si>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</si>
  <si>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</si>
  <si>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</si>
  <si>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</si>
  <si>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</si>
  <si>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</si>
  <si>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</si>
  <si>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Watford (SpursMax)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</si>
  <si>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</si>
  <si>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</si>
  <si>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</si>
  <si>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</si>
  <si>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</si>
  <si>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</si>
  <si>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</si>
  <si>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Real Madrid (Ishking11)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</si>
  <si>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</si>
  <si>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</si>
  <si>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</si>
  <si>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</si>
  <si>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</si>
  <si>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</si>
  <si>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</si>
  <si>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</si>
  <si>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</si>
  <si>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</si>
  <si>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</si>
  <si>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</si>
  <si>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</si>
  <si>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</si>
  <si>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</si>
  <si>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</si>
  <si>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</si>
  <si>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</si>
  <si>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</si>
  <si>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6 - 1 (0 - 0)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</si>
  <si>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</si>
  <si>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</si>
  <si>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</si>
  <si>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</si>
  <si>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</si>
  <si>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</si>
  <si>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</si>
  <si>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</si>
  <si>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</si>
  <si>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</si>
  <si>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</si>
  <si>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</si>
  <si>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</si>
  <si>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</si>
  <si>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</si>
  <si>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</si>
  <si>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</si>
  <si>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</si>
  <si>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</si>
  <si>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</si>
  <si>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</si>
  <si>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</si>
  <si>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</si>
  <si>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</si>
  <si>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</si>
  <si>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</si>
  <si>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</si>
  <si>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</si>
  <si>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</si>
  <si>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</si>
  <si>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</si>
  <si>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</si>
  <si>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</si>
  <si>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</si>
  <si>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2 - 6 (2 - 1)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</si>
  <si>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</si>
  <si>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</si>
  <si>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</si>
  <si>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</si>
  <si>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</si>
  <si>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</si>
  <si>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</si>
  <si>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</si>
  <si>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</si>
  <si>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</si>
  <si>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</si>
  <si>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</si>
  <si>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</si>
  <si>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</si>
  <si>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Denmark (Supernova)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</si>
  <si>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</si>
  <si>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</si>
  <si>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</si>
  <si>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</si>
  <si>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</si>
  <si>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</si>
  <si>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5 - 2 (0 - 1)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</si>
  <si>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</si>
  <si>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</si>
  <si>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</si>
  <si>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</si>
  <si>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</si>
  <si>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</si>
  <si>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</si>
  <si>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</si>
  <si>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</si>
  <si>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</si>
  <si>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6 - 3 (4 - 2)</t>
  </si>
  <si>
    <t>RB Leipzig (Poss)</t>
  </si>
  <si>
    <t>Bayer 04 (NicolasRage)</t>
  </si>
  <si>
    <t>FC Bayern (HBK)</t>
  </si>
  <si>
    <t>6 - 3 (4 - 3)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</si>
  <si>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</si>
  <si>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</si>
  <si>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</si>
  <si>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</si>
  <si>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</si>
  <si>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</si>
  <si>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</si>
  <si>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</si>
  <si>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</si>
  <si>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</si>
  <si>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</si>
  <si>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</si>
  <si>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</si>
  <si>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</si>
  <si>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</si>
  <si>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</si>
  <si>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</si>
  <si>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</si>
  <si>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</si>
  <si>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</si>
  <si>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</si>
  <si>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</si>
  <si>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</si>
  <si>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</si>
  <si>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</si>
  <si>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1 - 2  (1 - 1)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</si>
  <si>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</si>
  <si>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</si>
  <si>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</si>
  <si>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</si>
  <si>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</si>
  <si>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</si>
  <si>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</si>
  <si>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Barcelona (CarlWhizzer)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</si>
  <si>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</si>
  <si>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</si>
  <si>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</si>
  <si>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</si>
  <si>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</si>
  <si>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</si>
  <si>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</si>
  <si>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</si>
  <si>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</si>
  <si>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</si>
  <si>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</si>
  <si>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</si>
  <si>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</si>
  <si>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</si>
  <si>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</si>
  <si>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</si>
  <si>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</si>
  <si>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</si>
  <si>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</si>
  <si>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</si>
  <si>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6 - 3 (5 - 2)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</si>
  <si>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</si>
  <si>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</si>
  <si>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</si>
  <si>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</si>
  <si>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</si>
  <si>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</si>
  <si>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</si>
  <si>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</si>
  <si>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</si>
  <si>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</si>
  <si>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</si>
  <si>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</si>
  <si>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</si>
  <si>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</si>
  <si>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</si>
  <si>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</si>
  <si>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</si>
  <si>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</si>
  <si>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</si>
  <si>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</si>
  <si>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</si>
  <si>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</si>
  <si>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</si>
  <si>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</si>
  <si>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</si>
  <si>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</si>
  <si>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</si>
  <si>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</si>
  <si>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</si>
  <si>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</si>
  <si>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</si>
  <si>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</si>
  <si>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</si>
  <si>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</si>
  <si>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</si>
  <si>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</si>
  <si>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</si>
  <si>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</si>
  <si>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</si>
  <si>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</si>
  <si>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</si>
  <si>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</si>
  <si>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Uruguay (Phantom)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</si>
  <si>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</si>
  <si>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</si>
  <si>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</si>
  <si>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</si>
  <si>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</si>
  <si>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</si>
  <si>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</si>
  <si>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</si>
  <si>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</si>
  <si>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</si>
  <si>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</si>
  <si>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</si>
  <si>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</si>
  <si>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</si>
  <si>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</si>
  <si>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</si>
  <si>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</si>
  <si>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</si>
  <si>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</si>
  <si>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</si>
  <si>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</si>
  <si>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</si>
  <si>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</si>
  <si>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</si>
  <si>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</si>
  <si>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</si>
  <si>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</si>
  <si>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</si>
  <si>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</si>
  <si>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</si>
  <si>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</si>
  <si>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</si>
  <si>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</si>
  <si>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</si>
  <si>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</si>
  <si>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</si>
  <si>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</si>
  <si>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</si>
  <si>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</si>
  <si>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</si>
  <si>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</si>
  <si>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</si>
  <si>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</si>
  <si>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</si>
  <si>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</si>
  <si>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</si>
  <si>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</si>
  <si>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</si>
  <si>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</si>
  <si>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</si>
  <si>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6 - 4 (4 - 1)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</si>
  <si>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</si>
  <si>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</si>
  <si>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</si>
  <si>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</si>
  <si>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</si>
  <si>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</si>
  <si>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</si>
  <si>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</si>
  <si>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</si>
  <si>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</si>
  <si>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</si>
  <si>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</si>
  <si>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</si>
  <si>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</si>
  <si>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</si>
  <si>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</si>
  <si>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</si>
  <si>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</si>
  <si>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</si>
  <si>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</si>
  <si>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</si>
  <si>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</si>
  <si>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</si>
  <si>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</si>
  <si>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</si>
  <si>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</si>
  <si>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</si>
  <si>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</si>
  <si>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</si>
  <si>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</si>
  <si>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</si>
  <si>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</si>
  <si>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</si>
  <si>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</si>
  <si>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</si>
  <si>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</si>
  <si>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</si>
  <si>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</si>
  <si>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</si>
  <si>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</si>
  <si>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</si>
  <si>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</si>
  <si>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</si>
  <si>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</si>
  <si>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</si>
  <si>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</si>
  <si>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</si>
  <si>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</si>
  <si>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</si>
  <si>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</si>
  <si>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</si>
  <si>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</si>
  <si>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</si>
  <si>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</si>
  <si>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</si>
  <si>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</si>
  <si>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</si>
  <si>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</si>
  <si>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</si>
  <si>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</si>
  <si>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</si>
  <si>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</si>
  <si>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</si>
  <si>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</si>
  <si>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</si>
  <si>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</si>
  <si>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</si>
  <si>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</si>
  <si>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</si>
  <si>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</si>
  <si>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</si>
  <si>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</si>
  <si>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</si>
  <si>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</si>
  <si>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</si>
  <si>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5 - 3 (1 - 3)</t>
  </si>
  <si>
    <t>5 - 1 (3  - 1)</t>
  </si>
  <si>
    <t>Brazil (folen)</t>
  </si>
  <si>
    <t>Portugal (Baphomet)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</si>
  <si>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</si>
  <si>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</si>
  <si>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</si>
  <si>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</si>
  <si>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</si>
  <si>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</si>
  <si>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</si>
  <si>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</si>
  <si>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</si>
  <si>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</si>
  <si>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</si>
  <si>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</si>
  <si>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</si>
  <si>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</si>
  <si>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</si>
  <si>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</si>
  <si>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</si>
  <si>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</si>
  <si>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</si>
  <si>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</si>
  <si>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</si>
  <si>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</si>
  <si>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</si>
  <si>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</si>
  <si>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</si>
  <si>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</si>
  <si>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</si>
  <si>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</si>
  <si>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Argentina (Walker)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</si>
  <si>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</si>
  <si>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</si>
  <si>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</si>
  <si>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</si>
  <si>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</si>
  <si>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</si>
  <si>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</si>
  <si>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</si>
  <si>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</si>
  <si>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</si>
  <si>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</si>
  <si>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</si>
  <si>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</si>
  <si>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</si>
  <si>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</si>
  <si>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</si>
  <si>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</si>
  <si>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</si>
  <si>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</si>
  <si>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</si>
  <si>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</si>
  <si>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</si>
  <si>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</si>
  <si>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</si>
  <si>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</si>
  <si>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</si>
  <si>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</si>
  <si>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</si>
  <si>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</si>
  <si>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</si>
  <si>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6 - 3 (5 - 1)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</si>
  <si>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</si>
  <si>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</si>
  <si>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</si>
  <si>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</si>
  <si>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</si>
  <si>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</si>
  <si>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</si>
  <si>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</si>
  <si>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</si>
  <si>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</si>
  <si>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</si>
  <si>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</si>
  <si>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</si>
  <si>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</si>
  <si>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</si>
  <si>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</si>
  <si>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</si>
  <si>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</si>
  <si>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</si>
  <si>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</si>
  <si>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</si>
  <si>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</si>
  <si>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</si>
  <si>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</si>
  <si>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</si>
  <si>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</si>
  <si>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</si>
  <si>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</si>
  <si>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</si>
  <si>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2 - 3  (1 - 2)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</si>
  <si>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</si>
  <si>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</si>
  <si>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</si>
  <si>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</si>
  <si>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</si>
  <si>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</si>
  <si>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</si>
  <si>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</si>
  <si>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</si>
  <si>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</si>
  <si>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</si>
  <si>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</si>
  <si>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</si>
  <si>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</si>
  <si>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</si>
  <si>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</si>
  <si>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</si>
  <si>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</si>
  <si>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</si>
  <si>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</si>
  <si>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</si>
  <si>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</si>
  <si>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</si>
  <si>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</si>
  <si>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</si>
  <si>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</si>
  <si>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</si>
  <si>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</si>
  <si>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</si>
  <si>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</si>
  <si>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</si>
  <si>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</si>
  <si>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</si>
  <si>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</si>
  <si>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</si>
  <si>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</si>
  <si>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</si>
  <si>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</si>
  <si>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</si>
  <si>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</si>
  <si>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</si>
  <si>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</si>
  <si>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</si>
  <si>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</si>
  <si>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</si>
  <si>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</si>
  <si>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</si>
  <si>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</si>
  <si>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</si>
  <si>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</si>
  <si>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</si>
  <si>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</si>
  <si>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</si>
  <si>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</si>
  <si>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</si>
  <si>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</si>
  <si>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</si>
  <si>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</si>
  <si>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</si>
  <si>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3 - 6 (3 - 1)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</si>
  <si>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</si>
  <si>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</si>
  <si>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</si>
  <si>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</si>
  <si>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</si>
  <si>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</si>
  <si>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</si>
  <si>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</si>
  <si>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</si>
  <si>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</si>
  <si>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</si>
  <si>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</si>
  <si>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</si>
  <si>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</si>
  <si>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</si>
  <si>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</si>
  <si>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</si>
  <si>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</si>
  <si>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</si>
  <si>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</si>
  <si>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</si>
  <si>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</si>
  <si>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</si>
  <si>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</si>
  <si>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</si>
  <si>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</si>
  <si>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</si>
  <si>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</si>
  <si>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</si>
  <si>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PSG (Veep)</t>
  </si>
  <si>
    <t>Real Madrid (Poss)</t>
  </si>
  <si>
    <t>Denmark (Veep)</t>
  </si>
  <si>
    <t>Switzerland (Smile)</t>
  </si>
  <si>
    <t>Mexico (Poss)</t>
  </si>
  <si>
    <t>7 - 2 (5 - 0)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</si>
  <si>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</si>
  <si>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</si>
  <si>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</si>
  <si>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</si>
  <si>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</si>
  <si>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</si>
  <si>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</si>
  <si>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</si>
  <si>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Brazil (Miller)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</si>
  <si>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</si>
  <si>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</si>
  <si>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</si>
  <si>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</si>
  <si>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</si>
  <si>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</si>
  <si>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</si>
  <si>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</si>
  <si>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</si>
  <si>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</si>
  <si>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</si>
  <si>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</si>
  <si>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</si>
  <si>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</si>
  <si>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</si>
  <si>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</si>
  <si>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</si>
  <si>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</si>
  <si>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</si>
  <si>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</si>
  <si>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</si>
  <si>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</si>
  <si>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</si>
  <si>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</si>
  <si>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</si>
  <si>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</si>
  <si>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</si>
  <si>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</si>
  <si>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</si>
  <si>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</si>
  <si>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</si>
  <si>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</si>
  <si>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</si>
  <si>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</si>
  <si>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</si>
  <si>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</si>
  <si>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</si>
  <si>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</si>
  <si>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</si>
  <si>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</si>
  <si>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</si>
  <si>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</si>
  <si>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</si>
  <si>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</si>
  <si>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</si>
  <si>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</si>
  <si>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</si>
  <si>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</si>
  <si>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</si>
  <si>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</si>
  <si>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</si>
  <si>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</si>
  <si>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</si>
  <si>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</si>
  <si>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</si>
  <si>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</si>
  <si>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</si>
  <si>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</si>
  <si>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</si>
  <si>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</si>
  <si>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</si>
  <si>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</si>
  <si>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</si>
  <si>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</si>
  <si>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</si>
  <si>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</si>
  <si>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</si>
  <si>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</si>
  <si>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</si>
  <si>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</si>
  <si>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</si>
  <si>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</si>
  <si>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</si>
  <si>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</si>
  <si>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</si>
  <si>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</si>
  <si>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</si>
  <si>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</si>
  <si>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</si>
  <si>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</si>
  <si>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</si>
  <si>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</si>
  <si>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</si>
  <si>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</si>
  <si>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</si>
  <si>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</si>
  <si>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</si>
  <si>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</si>
  <si>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</si>
  <si>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Belgium (Miller)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</si>
  <si>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</si>
  <si>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</si>
  <si>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</si>
  <si>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</si>
  <si>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</si>
  <si>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</si>
  <si>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</si>
  <si>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</si>
  <si>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</si>
  <si>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</si>
  <si>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Stade Rennais (CarlWhizzer)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</si>
  <si>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</si>
  <si>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</si>
  <si>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</si>
  <si>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</si>
  <si>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</si>
  <si>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</si>
  <si>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</si>
  <si>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</si>
  <si>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5 - 2 (4 - 2)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</si>
  <si>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</si>
  <si>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</si>
  <si>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</si>
  <si>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</si>
  <si>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</si>
  <si>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</si>
  <si>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</si>
  <si>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</si>
  <si>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</si>
  <si>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</si>
  <si>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</si>
  <si>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</si>
  <si>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</si>
  <si>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</si>
  <si>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</si>
  <si>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</si>
  <si>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</si>
  <si>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</si>
  <si>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</si>
  <si>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</si>
  <si>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</si>
  <si>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</si>
  <si>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</si>
  <si>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</si>
  <si>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</si>
  <si>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</si>
  <si>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</si>
  <si>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</si>
  <si>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</si>
  <si>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</si>
  <si>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</si>
  <si>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</si>
  <si>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</si>
  <si>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</si>
  <si>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>Hoffenheim (Veep)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</si>
  <si>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</si>
  <si>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</si>
  <si>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</si>
  <si>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</si>
  <si>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</si>
  <si>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</si>
  <si>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</si>
  <si>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</si>
  <si>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</si>
  <si>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</si>
  <si>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</si>
  <si>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</si>
  <si>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</si>
  <si>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</si>
  <si>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</si>
  <si>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</si>
  <si>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</si>
  <si>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</si>
  <si>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</si>
  <si>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</si>
  <si>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</si>
  <si>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</si>
  <si>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</si>
  <si>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</si>
  <si>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</si>
  <si>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</si>
  <si>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</si>
  <si>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</si>
  <si>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</si>
  <si>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</si>
  <si>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</si>
  <si>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</si>
  <si>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</si>
  <si>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</si>
  <si>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</si>
  <si>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</si>
  <si>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</si>
  <si>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</si>
  <si>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</si>
  <si>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</si>
  <si>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</si>
  <si>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</si>
  <si>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</si>
  <si>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</si>
  <si>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</si>
  <si>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</si>
  <si>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</si>
  <si>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</si>
  <si>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</si>
  <si>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</si>
  <si>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</si>
  <si>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</si>
  <si>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</si>
  <si>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</si>
  <si>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</si>
  <si>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</si>
  <si>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</si>
  <si>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</si>
  <si>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</si>
  <si>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</si>
  <si>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</si>
  <si>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</si>
  <si>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Udinese (CarlWhizzer)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</si>
  <si>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</si>
  <si>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</si>
  <si>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</si>
  <si>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</si>
  <si>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</si>
  <si>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</si>
  <si>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</si>
  <si>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</si>
  <si>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</si>
  <si>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</si>
  <si>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5 - 2 (5 - 1)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</si>
  <si>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</si>
  <si>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</si>
  <si>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</si>
  <si>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</si>
  <si>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</si>
  <si>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</si>
  <si>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</si>
  <si>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</si>
  <si>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</si>
  <si>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</si>
  <si>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</si>
  <si>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</si>
  <si>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</si>
  <si>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</si>
  <si>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</si>
  <si>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</si>
  <si>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</si>
  <si>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</si>
  <si>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</si>
  <si>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</si>
  <si>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</si>
  <si>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</si>
  <si>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</si>
  <si>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</si>
  <si>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</si>
  <si>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</si>
  <si>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</si>
  <si>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</si>
  <si>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</si>
  <si>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</si>
  <si>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</si>
  <si>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</si>
  <si>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</si>
  <si>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</si>
  <si>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</si>
  <si>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</si>
  <si>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</si>
  <si>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</si>
  <si>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</si>
  <si>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</si>
  <si>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</si>
  <si>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</si>
  <si>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</si>
  <si>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</si>
  <si>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</si>
  <si>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</si>
  <si>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6 - 3 (3 - 0)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</si>
  <si>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</si>
  <si>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</si>
  <si>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</si>
  <si>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</si>
  <si>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</si>
  <si>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</si>
  <si>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Manchester United (OLOM)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</si>
  <si>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</si>
  <si>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</si>
  <si>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</si>
  <si>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</si>
  <si>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</si>
  <si>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</si>
  <si>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</si>
  <si>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</si>
  <si>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</si>
  <si>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</si>
  <si>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</si>
  <si>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</si>
  <si>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</si>
  <si>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</si>
  <si>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</si>
  <si>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</si>
  <si>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</si>
  <si>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</si>
  <si>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</si>
  <si>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</si>
  <si>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</si>
  <si>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</si>
  <si>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</si>
  <si>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</si>
  <si>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</si>
  <si>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</si>
  <si>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</si>
  <si>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</si>
  <si>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</si>
  <si>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</si>
  <si>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</si>
  <si>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</si>
  <si>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</si>
  <si>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</si>
  <si>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</si>
  <si>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</si>
  <si>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</si>
  <si>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</si>
  <si>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</si>
  <si>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</si>
  <si>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</si>
  <si>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</si>
  <si>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</si>
  <si>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</si>
  <si>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</si>
  <si>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</si>
  <si>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</si>
  <si>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</si>
  <si>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</si>
  <si>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</si>
  <si>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</si>
  <si>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</si>
  <si>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2 - 7 (2 - 2)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</si>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</sst>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9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8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4" fillId="0" fontId="8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readingOrder="0" shrinkToFit="0" vertical="bottom" wrapText="0"/>
    </xf>
    <xf borderId="6" fillId="0" fontId="6" numFmtId="0" xfId="0" applyAlignment="1" applyBorder="1" applyFont="1">
      <alignment horizontal="center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7" fillId="0" fontId="4" numFmtId="20" xfId="0" applyAlignment="1" applyBorder="1" applyFont="1" applyNumberFormat="1">
      <alignment horizontal="center" readingOrder="0" shrinkToFit="0" vertical="center" wrapText="0"/>
    </xf>
    <xf borderId="8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6" numFmtId="0" xfId="0" applyAlignment="1" applyBorder="1" applyFont="1">
      <alignment horizontal="center" vertical="bottom"/>
    </xf>
    <xf borderId="6" fillId="0" fontId="10" numFmtId="0" xfId="0" applyAlignment="1" applyBorder="1" applyFont="1">
      <alignment horizontal="center" readingOrder="0" vertical="bottom"/>
    </xf>
    <xf borderId="6" fillId="0" fontId="8" numFmtId="0" xfId="0" applyAlignment="1" applyBorder="1" applyFont="1">
      <alignment horizontal="center" vertical="bottom"/>
    </xf>
    <xf borderId="5" fillId="0" fontId="3" numFmtId="0" xfId="0" applyAlignment="1" applyBorder="1" applyFont="1">
      <alignment vertical="bottom"/>
    </xf>
    <xf borderId="9" fillId="0" fontId="1" numFmtId="0" xfId="0" applyAlignment="1" applyBorder="1" applyFont="1">
      <alignment horizontal="center" vertical="bottom"/>
    </xf>
    <xf borderId="9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0" fontId="6" numFmtId="49" xfId="0" applyAlignment="1" applyBorder="1" applyFont="1" applyNumberFormat="1">
      <alignment horizontal="center" vertical="bottom"/>
    </xf>
    <xf borderId="6" fillId="0" fontId="3" numFmtId="49" xfId="0" applyAlignment="1" applyBorder="1" applyFont="1" applyNumberFormat="1">
      <alignment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4" fillId="0" fontId="5" numFmtId="0" xfId="0" applyAlignment="1" applyBorder="1" applyFont="1">
      <alignment horizontal="center" readingOrder="0" vertical="bottom"/>
    </xf>
    <xf borderId="3" fillId="0" fontId="6" numFmtId="0" xfId="0" applyAlignment="1" applyBorder="1" applyFont="1">
      <alignment horizontal="center" readingOrder="0" shrinkToFit="0" vertical="bottom" wrapText="0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0" fillId="0" fontId="3" numFmtId="0" xfId="0" applyAlignment="1" applyFont="1">
      <alignment readingOrder="0"/>
    </xf>
    <xf borderId="5" fillId="0" fontId="4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vertical="bottom"/>
    </xf>
    <xf borderId="4" fillId="0" fontId="3" numFmtId="0" xfId="0" applyAlignment="1" applyBorder="1" applyFont="1">
      <alignment vertical="bottom"/>
    </xf>
    <xf borderId="0" fillId="0" fontId="5" numFmtId="0" xfId="0" applyAlignment="1" applyFont="1">
      <alignment horizontal="center" readingOrder="0"/>
    </xf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0" fontId="11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2" numFmtId="0" xfId="0" applyAlignment="1" applyFont="1">
      <alignment readingOrder="0"/>
    </xf>
    <xf borderId="0" fillId="2" fontId="6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13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4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vertical="bottom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9" fillId="0" fontId="5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3" numFmtId="49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15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3" numFmtId="0" xfId="0" applyAlignment="1" applyFont="1">
      <alignment horizontal="center"/>
    </xf>
    <xf borderId="0" fillId="0" fontId="5" numFmtId="0" xfId="0" applyFont="1"/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16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vertical="bottom"/>
    </xf>
    <xf borderId="0" fillId="0" fontId="17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vertical="bottom"/>
    </xf>
    <xf borderId="6" fillId="0" fontId="8" numFmtId="0" xfId="0" applyAlignment="1" applyBorder="1" applyFont="1">
      <alignment horizontal="center" readingOrder="0" vertical="bottom"/>
    </xf>
    <xf borderId="4" fillId="0" fontId="16" numFmtId="0" xfId="0" applyAlignment="1" applyBorder="1" applyFont="1">
      <alignment horizontal="center" readingOrder="0"/>
    </xf>
    <xf borderId="6" fillId="0" fontId="18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1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3" numFmtId="0" xfId="0" applyAlignment="1" applyFont="1">
      <alignment horizontal="center" readingOrder="0"/>
    </xf>
    <xf borderId="0" fillId="2" fontId="13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6" fillId="0" fontId="5" numFmtId="49" xfId="0" applyAlignment="1" applyBorder="1" applyFont="1" applyNumberForma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4" fillId="2" fontId="13" numFmtId="49" xfId="0" applyAlignment="1" applyBorder="1" applyFont="1" applyNumberFormat="1">
      <alignment horizontal="center" readingOrder="0" vertical="bottom"/>
    </xf>
    <xf borderId="5" fillId="0" fontId="20" numFmtId="0" xfId="0" applyAlignment="1" applyBorder="1" applyFont="1">
      <alignment horizontal="center" vertical="bottom"/>
    </xf>
    <xf borderId="5" fillId="0" fontId="21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7" fillId="0" fontId="2" numFmtId="0" xfId="0" applyBorder="1" applyFont="1"/>
    <xf borderId="0" fillId="0" fontId="5" numFmtId="0" xfId="0" applyAlignment="1" applyFont="1">
      <alignment vertical="bottom"/>
    </xf>
    <xf borderId="14" fillId="2" fontId="22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3" numFmtId="0" xfId="0" applyFont="1"/>
    <xf borderId="0" fillId="2" fontId="22" numFmtId="49" xfId="0" applyAlignment="1" applyFont="1" applyNumberFormat="1">
      <alignment horizontal="center" readingOrder="0"/>
    </xf>
    <xf borderId="4" fillId="3" fontId="5" numFmtId="0" xfId="0" applyAlignment="1" applyBorder="1" applyFill="1" applyFont="1">
      <alignment vertical="bottom"/>
    </xf>
    <xf borderId="4" fillId="3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3" numFmtId="0" xfId="0" applyAlignment="1" applyBorder="1" applyFont="1">
      <alignment vertical="bottom"/>
    </xf>
    <xf borderId="4" fillId="0" fontId="24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25" numFmtId="0" xfId="0" applyAlignment="1" applyBorder="1" applyFont="1">
      <alignment horizontal="center" readingOrder="0"/>
    </xf>
    <xf borderId="4" fillId="0" fontId="5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26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27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16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28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3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12" fillId="2" fontId="26" numFmtId="0" xfId="0" applyAlignment="1" applyBorder="1" applyFont="1">
      <alignment horizontal="center" readingOrder="0"/>
    </xf>
    <xf borderId="9" fillId="2" fontId="26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6" fillId="0" fontId="5" numFmtId="0" xfId="0" applyAlignment="1" applyBorder="1" applyFont="1">
      <alignment horizontal="center" readingOrder="0"/>
    </xf>
    <xf borderId="9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7lHa9P2D8lQ" TargetMode="External"/><Relationship Id="rId4" Type="http://schemas.openxmlformats.org/officeDocument/2006/relationships/hyperlink" Target="https://youtu.be/D4HP1nHDli4" TargetMode="External"/><Relationship Id="rId5" Type="http://schemas.openxmlformats.org/officeDocument/2006/relationships/hyperlink" Target="https://youtu.be/NpkMJ1zMSdE" TargetMode="External"/><Relationship Id="rId6" Type="http://schemas.openxmlformats.org/officeDocument/2006/relationships/hyperlink" Target="https://youtu.be/EMHoewNikZA" TargetMode="External"/><Relationship Id="rId7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drawing" Target="../drawings/drawing3.xm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779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6AXTUxRJOus?t=6894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6005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6AXTUxRJOus?t=1694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6AXTUxRJOus?t=5157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4255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6AXTUxRJOus?t=3356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2533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230" Type="http://schemas.openxmlformats.org/officeDocument/2006/relationships/hyperlink" Target="https://youtu.be/xRUAm1hvM0k?t=5399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5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6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7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8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9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10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11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12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13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14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15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16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17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18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19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20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21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22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23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24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25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26.xml"/><Relationship Id="rId310" Type="http://schemas.openxmlformats.org/officeDocument/2006/relationships/hyperlink" Target="https://youtu.be/iyOI1sVN6_8?t=7481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27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28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29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30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31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32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33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34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35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36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37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39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40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41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42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43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44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45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46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47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48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49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50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51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5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5" t="s">
        <v>13</v>
      </c>
    </row>
    <row r="7">
      <c r="A7" s="7">
        <v>0.08263888888888889</v>
      </c>
      <c r="B7" s="12" t="s">
        <v>15</v>
      </c>
      <c r="C7" s="13" t="s">
        <v>17</v>
      </c>
      <c r="D7" s="14" t="s">
        <v>10</v>
      </c>
      <c r="E7" s="15" t="s">
        <v>9</v>
      </c>
    </row>
    <row r="8">
      <c r="A8" s="7">
        <v>0.08263888888888889</v>
      </c>
      <c r="B8" s="12" t="s">
        <v>12</v>
      </c>
      <c r="C8" s="13" t="s">
        <v>18</v>
      </c>
      <c r="D8" s="14" t="s">
        <v>6</v>
      </c>
      <c r="E8" s="15" t="s">
        <v>13</v>
      </c>
    </row>
    <row r="9">
      <c r="A9" s="7">
        <v>0.09305555555555556</v>
      </c>
      <c r="B9" s="12" t="s">
        <v>15</v>
      </c>
      <c r="C9" s="13" t="s">
        <v>19</v>
      </c>
      <c r="D9" s="14" t="s">
        <v>8</v>
      </c>
      <c r="E9" s="15" t="s">
        <v>9</v>
      </c>
    </row>
    <row r="10">
      <c r="A10" s="7">
        <v>0.09305555555555556</v>
      </c>
      <c r="B10" s="12" t="s">
        <v>6</v>
      </c>
      <c r="C10" s="13" t="s">
        <v>20</v>
      </c>
      <c r="D10" s="14" t="s">
        <v>10</v>
      </c>
      <c r="E10" s="15" t="s">
        <v>13</v>
      </c>
    </row>
    <row r="11">
      <c r="A11" s="7">
        <v>0.10277777777777777</v>
      </c>
      <c r="B11" s="12" t="s">
        <v>12</v>
      </c>
      <c r="C11" s="13" t="s">
        <v>21</v>
      </c>
      <c r="D11" s="14" t="s">
        <v>8</v>
      </c>
      <c r="E11" s="15" t="s">
        <v>9</v>
      </c>
    </row>
    <row r="12">
      <c r="A12" s="7">
        <v>0.10277777777777777</v>
      </c>
      <c r="B12" s="12" t="s">
        <v>6</v>
      </c>
      <c r="C12" s="13" t="s">
        <v>16</v>
      </c>
      <c r="D12" s="14" t="s">
        <v>15</v>
      </c>
      <c r="E12" s="15" t="s">
        <v>13</v>
      </c>
    </row>
    <row r="13">
      <c r="A13" s="7">
        <v>0.11319444444444444</v>
      </c>
      <c r="B13" s="12" t="s">
        <v>8</v>
      </c>
      <c r="C13" s="13" t="s">
        <v>22</v>
      </c>
      <c r="D13" s="14" t="s">
        <v>6</v>
      </c>
      <c r="E13" s="15" t="s">
        <v>9</v>
      </c>
    </row>
    <row r="14">
      <c r="A14" s="7">
        <v>0.11319444444444444</v>
      </c>
      <c r="B14" s="12" t="s">
        <v>12</v>
      </c>
      <c r="C14" s="13" t="s">
        <v>23</v>
      </c>
      <c r="D14" s="14" t="s">
        <v>10</v>
      </c>
      <c r="E14" s="15" t="s">
        <v>13</v>
      </c>
    </row>
    <row r="15">
      <c r="A15" s="7">
        <v>0.12361111111111112</v>
      </c>
      <c r="B15" s="12" t="s">
        <v>8</v>
      </c>
      <c r="C15" s="16" t="s">
        <v>24</v>
      </c>
      <c r="D15" s="14" t="s">
        <v>10</v>
      </c>
      <c r="E15" s="15" t="s">
        <v>9</v>
      </c>
    </row>
    <row r="16">
      <c r="A16" s="7">
        <v>0.12361111111111112</v>
      </c>
      <c r="B16" s="12" t="s">
        <v>12</v>
      </c>
      <c r="C16" s="16" t="s">
        <v>21</v>
      </c>
      <c r="D16" s="14" t="s">
        <v>15</v>
      </c>
      <c r="E16" s="15" t="s">
        <v>13</v>
      </c>
    </row>
    <row r="17">
      <c r="A17" s="7">
        <v>0.13333333333333333</v>
      </c>
      <c r="B17" s="12" t="s">
        <v>10</v>
      </c>
      <c r="C17" s="17"/>
      <c r="D17" s="14" t="s">
        <v>15</v>
      </c>
      <c r="E17" s="15" t="s">
        <v>9</v>
      </c>
    </row>
    <row r="18">
      <c r="A18" s="7">
        <v>0.13333333333333333</v>
      </c>
      <c r="B18" s="12" t="s">
        <v>6</v>
      </c>
      <c r="C18" s="17"/>
      <c r="D18" s="14" t="s">
        <v>12</v>
      </c>
      <c r="E18" s="15" t="s">
        <v>13</v>
      </c>
    </row>
    <row r="19">
      <c r="A19" s="7">
        <v>0.14375</v>
      </c>
      <c r="B19" s="12" t="s">
        <v>8</v>
      </c>
      <c r="C19" s="17"/>
      <c r="D19" s="14" t="s">
        <v>15</v>
      </c>
      <c r="E19" s="15" t="s">
        <v>9</v>
      </c>
    </row>
    <row r="20">
      <c r="A20" s="7">
        <v>0.14375</v>
      </c>
      <c r="B20" s="12" t="s">
        <v>10</v>
      </c>
      <c r="C20" s="17"/>
      <c r="D20" s="14" t="s">
        <v>6</v>
      </c>
      <c r="E20" s="15" t="s">
        <v>13</v>
      </c>
    </row>
    <row r="21">
      <c r="A21" s="7">
        <v>0.15416666666666667</v>
      </c>
      <c r="B21" s="12" t="s">
        <v>8</v>
      </c>
      <c r="C21" s="17"/>
      <c r="D21" s="14" t="s">
        <v>12</v>
      </c>
      <c r="E21" s="15" t="s">
        <v>9</v>
      </c>
    </row>
    <row r="22">
      <c r="A22" s="7">
        <v>0.15416666666666667</v>
      </c>
      <c r="B22" s="12" t="s">
        <v>15</v>
      </c>
      <c r="C22" s="17"/>
      <c r="D22" s="14" t="s">
        <v>6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26</v>
      </c>
      <c r="C25" s="20" t="s">
        <v>27</v>
      </c>
      <c r="D25" s="10" t="s">
        <v>28</v>
      </c>
      <c r="E25" s="11" t="s">
        <v>29</v>
      </c>
    </row>
    <row r="26">
      <c r="A26" s="7">
        <v>0.0625</v>
      </c>
      <c r="B26" s="12" t="s">
        <v>30</v>
      </c>
      <c r="C26" s="20" t="s">
        <v>31</v>
      </c>
      <c r="D26" s="14" t="s">
        <v>32</v>
      </c>
      <c r="E26" s="11" t="s">
        <v>33</v>
      </c>
    </row>
    <row r="27">
      <c r="A27" s="7">
        <v>0.07222222222222222</v>
      </c>
      <c r="B27" s="12" t="s">
        <v>30</v>
      </c>
      <c r="C27" s="20" t="s">
        <v>34</v>
      </c>
      <c r="D27" s="14" t="s">
        <v>28</v>
      </c>
      <c r="E27" s="15" t="s">
        <v>29</v>
      </c>
    </row>
    <row r="28">
      <c r="A28" s="7">
        <v>0.07222222222222222</v>
      </c>
      <c r="B28" s="12" t="s">
        <v>35</v>
      </c>
      <c r="C28" s="20" t="s">
        <v>36</v>
      </c>
      <c r="D28" s="14" t="s">
        <v>32</v>
      </c>
      <c r="E28" s="15" t="s">
        <v>33</v>
      </c>
    </row>
    <row r="29">
      <c r="A29" s="7">
        <v>0.08263888888888889</v>
      </c>
      <c r="B29" s="12" t="s">
        <v>35</v>
      </c>
      <c r="C29" s="20" t="s">
        <v>37</v>
      </c>
      <c r="D29" s="14" t="s">
        <v>30</v>
      </c>
      <c r="E29" s="15" t="s">
        <v>29</v>
      </c>
    </row>
    <row r="30">
      <c r="A30" s="7">
        <v>0.08263888888888889</v>
      </c>
      <c r="B30" s="12" t="s">
        <v>32</v>
      </c>
      <c r="C30" s="20" t="s">
        <v>38</v>
      </c>
      <c r="D30" s="14" t="s">
        <v>26</v>
      </c>
      <c r="E30" s="15" t="s">
        <v>33</v>
      </c>
    </row>
    <row r="31">
      <c r="A31" s="7">
        <v>0.09305555555555556</v>
      </c>
      <c r="B31" s="12" t="s">
        <v>35</v>
      </c>
      <c r="C31" s="20" t="s">
        <v>39</v>
      </c>
      <c r="D31" s="14" t="s">
        <v>28</v>
      </c>
      <c r="E31" s="15" t="s">
        <v>29</v>
      </c>
    </row>
    <row r="32">
      <c r="A32" s="7">
        <v>0.09305555555555556</v>
      </c>
      <c r="B32" s="12" t="s">
        <v>26</v>
      </c>
      <c r="C32" s="20" t="s">
        <v>40</v>
      </c>
      <c r="D32" s="14" t="s">
        <v>30</v>
      </c>
      <c r="E32" s="15" t="s">
        <v>33</v>
      </c>
    </row>
    <row r="33">
      <c r="A33" s="7">
        <v>0.10277777777777777</v>
      </c>
      <c r="B33" s="12" t="s">
        <v>32</v>
      </c>
      <c r="C33" s="20" t="s">
        <v>41</v>
      </c>
      <c r="D33" s="14" t="s">
        <v>28</v>
      </c>
      <c r="E33" s="15" t="s">
        <v>29</v>
      </c>
    </row>
    <row r="34">
      <c r="A34" s="7">
        <v>0.10277777777777777</v>
      </c>
      <c r="B34" s="12" t="s">
        <v>26</v>
      </c>
      <c r="C34" s="20" t="s">
        <v>42</v>
      </c>
      <c r="D34" s="14" t="s">
        <v>35</v>
      </c>
      <c r="E34" s="15" t="s">
        <v>33</v>
      </c>
    </row>
    <row r="35">
      <c r="A35" s="7">
        <v>0.11319444444444444</v>
      </c>
      <c r="B35" s="12" t="s">
        <v>28</v>
      </c>
      <c r="C35" s="20" t="s">
        <v>24</v>
      </c>
      <c r="D35" s="14" t="s">
        <v>26</v>
      </c>
      <c r="E35" s="15" t="s">
        <v>29</v>
      </c>
    </row>
    <row r="36">
      <c r="A36" s="7">
        <v>0.11319444444444444</v>
      </c>
      <c r="B36" s="12" t="s">
        <v>32</v>
      </c>
      <c r="C36" s="20" t="s">
        <v>43</v>
      </c>
      <c r="D36" s="14" t="s">
        <v>30</v>
      </c>
      <c r="E36" s="15" t="s">
        <v>33</v>
      </c>
    </row>
    <row r="37">
      <c r="A37" s="7">
        <v>0.12361111111111112</v>
      </c>
      <c r="B37" s="12" t="s">
        <v>28</v>
      </c>
      <c r="C37" s="20" t="s">
        <v>44</v>
      </c>
      <c r="D37" s="14" t="s">
        <v>30</v>
      </c>
      <c r="E37" s="15" t="s">
        <v>29</v>
      </c>
    </row>
    <row r="38">
      <c r="A38" s="7">
        <v>0.12361111111111112</v>
      </c>
      <c r="B38" s="12" t="s">
        <v>32</v>
      </c>
      <c r="C38" s="20" t="s">
        <v>17</v>
      </c>
      <c r="D38" s="14" t="s">
        <v>35</v>
      </c>
      <c r="E38" s="15" t="s">
        <v>33</v>
      </c>
    </row>
    <row r="39">
      <c r="A39" s="7">
        <v>0.13333333333333333</v>
      </c>
      <c r="B39" s="12" t="s">
        <v>30</v>
      </c>
      <c r="C39" s="21"/>
      <c r="D39" s="14" t="s">
        <v>35</v>
      </c>
      <c r="E39" s="15" t="s">
        <v>29</v>
      </c>
    </row>
    <row r="40">
      <c r="A40" s="7">
        <v>0.13333333333333333</v>
      </c>
      <c r="B40" s="12" t="s">
        <v>26</v>
      </c>
      <c r="C40" s="21"/>
      <c r="D40" s="14" t="s">
        <v>32</v>
      </c>
      <c r="E40" s="15" t="s">
        <v>33</v>
      </c>
    </row>
    <row r="41">
      <c r="A41" s="7">
        <v>0.14375</v>
      </c>
      <c r="B41" s="12" t="s">
        <v>28</v>
      </c>
      <c r="C41" s="21"/>
      <c r="D41" s="14" t="s">
        <v>35</v>
      </c>
      <c r="E41" s="15" t="s">
        <v>29</v>
      </c>
    </row>
    <row r="42">
      <c r="A42" s="7">
        <v>0.14375</v>
      </c>
      <c r="B42" s="12" t="s">
        <v>30</v>
      </c>
      <c r="C42" s="21"/>
      <c r="D42" s="14" t="s">
        <v>26</v>
      </c>
      <c r="E42" s="15" t="s">
        <v>33</v>
      </c>
    </row>
    <row r="43">
      <c r="A43" s="7">
        <v>0.15416666666666667</v>
      </c>
      <c r="B43" s="12" t="s">
        <v>28</v>
      </c>
      <c r="C43" s="21"/>
      <c r="D43" s="14" t="s">
        <v>32</v>
      </c>
      <c r="E43" s="15" t="s">
        <v>29</v>
      </c>
    </row>
    <row r="44">
      <c r="A44" s="7">
        <v>0.15416666666666667</v>
      </c>
      <c r="B44" s="12" t="s">
        <v>35</v>
      </c>
      <c r="C44" s="21"/>
      <c r="D44" s="14" t="s">
        <v>26</v>
      </c>
      <c r="E44" s="15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46</v>
      </c>
      <c r="C47" s="22"/>
      <c r="D47" s="10" t="s">
        <v>47</v>
      </c>
      <c r="E47" s="11" t="s">
        <v>9</v>
      </c>
    </row>
    <row r="48">
      <c r="A48" s="7">
        <v>0.16666666666666666</v>
      </c>
      <c r="B48" s="12" t="s">
        <v>48</v>
      </c>
      <c r="C48" s="14"/>
      <c r="D48" s="14" t="s">
        <v>49</v>
      </c>
      <c r="E48" s="15" t="s">
        <v>13</v>
      </c>
    </row>
    <row r="49">
      <c r="A49" s="7">
        <v>0.1763888888888889</v>
      </c>
      <c r="B49" s="12" t="s">
        <v>48</v>
      </c>
      <c r="C49" s="23"/>
      <c r="D49" s="14" t="s">
        <v>47</v>
      </c>
      <c r="E49" s="15" t="s">
        <v>9</v>
      </c>
    </row>
    <row r="50">
      <c r="A50" s="7">
        <v>0.1763888888888889</v>
      </c>
      <c r="B50" s="12" t="s">
        <v>50</v>
      </c>
      <c r="C50" s="23"/>
      <c r="D50" s="14" t="s">
        <v>49</v>
      </c>
      <c r="E50" s="15" t="s">
        <v>13</v>
      </c>
    </row>
    <row r="51">
      <c r="A51" s="7">
        <v>0.18680555555555556</v>
      </c>
      <c r="B51" s="12" t="s">
        <v>50</v>
      </c>
      <c r="C51" s="23"/>
      <c r="D51" s="14" t="s">
        <v>48</v>
      </c>
      <c r="E51" s="15" t="s">
        <v>9</v>
      </c>
    </row>
    <row r="52">
      <c r="A52" s="7">
        <v>0.18680555555555556</v>
      </c>
      <c r="B52" s="12" t="s">
        <v>49</v>
      </c>
      <c r="C52" s="23"/>
      <c r="D52" s="14" t="s">
        <v>46</v>
      </c>
      <c r="E52" s="15" t="s">
        <v>13</v>
      </c>
    </row>
    <row r="53">
      <c r="A53" s="7">
        <v>0.19722222222222222</v>
      </c>
      <c r="B53" s="12" t="s">
        <v>50</v>
      </c>
      <c r="C53" s="23"/>
      <c r="D53" s="14" t="s">
        <v>47</v>
      </c>
      <c r="E53" s="15" t="s">
        <v>9</v>
      </c>
    </row>
    <row r="54">
      <c r="A54" s="7">
        <v>0.19722222222222222</v>
      </c>
      <c r="B54" s="12" t="s">
        <v>46</v>
      </c>
      <c r="C54" s="23"/>
      <c r="D54" s="14" t="s">
        <v>48</v>
      </c>
      <c r="E54" s="15" t="s">
        <v>13</v>
      </c>
    </row>
    <row r="55">
      <c r="A55" s="7">
        <v>0.20694444444444443</v>
      </c>
      <c r="B55" s="12" t="s">
        <v>49</v>
      </c>
      <c r="C55" s="23"/>
      <c r="D55" s="14" t="s">
        <v>47</v>
      </c>
      <c r="E55" s="15" t="s">
        <v>9</v>
      </c>
    </row>
    <row r="56">
      <c r="A56" s="7">
        <v>0.20694444444444443</v>
      </c>
      <c r="B56" s="12" t="s">
        <v>46</v>
      </c>
      <c r="C56" s="23"/>
      <c r="D56" s="14" t="s">
        <v>50</v>
      </c>
      <c r="E56" s="15" t="s">
        <v>13</v>
      </c>
    </row>
    <row r="57">
      <c r="A57" s="7">
        <v>0.21736111111111112</v>
      </c>
      <c r="B57" s="12" t="s">
        <v>47</v>
      </c>
      <c r="C57" s="23"/>
      <c r="D57" s="14" t="s">
        <v>46</v>
      </c>
      <c r="E57" s="15" t="s">
        <v>9</v>
      </c>
    </row>
    <row r="58">
      <c r="A58" s="7">
        <v>0.21736111111111112</v>
      </c>
      <c r="B58" s="12" t="s">
        <v>49</v>
      </c>
      <c r="C58" s="23"/>
      <c r="D58" s="14" t="s">
        <v>48</v>
      </c>
      <c r="E58" s="15" t="s">
        <v>13</v>
      </c>
    </row>
    <row r="59">
      <c r="A59" s="7">
        <v>0.22777777777777777</v>
      </c>
      <c r="B59" s="12" t="s">
        <v>47</v>
      </c>
      <c r="C59" s="23"/>
      <c r="D59" s="14" t="s">
        <v>48</v>
      </c>
      <c r="E59" s="15" t="s">
        <v>9</v>
      </c>
    </row>
    <row r="60">
      <c r="A60" s="7">
        <v>0.22777777777777777</v>
      </c>
      <c r="B60" s="12" t="s">
        <v>49</v>
      </c>
      <c r="C60" s="23"/>
      <c r="D60" s="14" t="s">
        <v>50</v>
      </c>
      <c r="E60" s="15" t="s">
        <v>13</v>
      </c>
    </row>
    <row r="61">
      <c r="A61" s="7">
        <v>0.2375</v>
      </c>
      <c r="B61" s="12" t="s">
        <v>48</v>
      </c>
      <c r="C61" s="23"/>
      <c r="D61" s="14" t="s">
        <v>50</v>
      </c>
      <c r="E61" s="15" t="s">
        <v>9</v>
      </c>
    </row>
    <row r="62">
      <c r="A62" s="7">
        <v>0.2375</v>
      </c>
      <c r="B62" s="12" t="s">
        <v>46</v>
      </c>
      <c r="C62" s="23"/>
      <c r="D62" s="14" t="s">
        <v>49</v>
      </c>
      <c r="E62" s="15" t="s">
        <v>13</v>
      </c>
    </row>
    <row r="63">
      <c r="A63" s="7">
        <v>0.24791666666666667</v>
      </c>
      <c r="B63" s="12" t="s">
        <v>47</v>
      </c>
      <c r="C63" s="23"/>
      <c r="D63" s="14" t="s">
        <v>50</v>
      </c>
      <c r="E63" s="15" t="s">
        <v>9</v>
      </c>
    </row>
    <row r="64">
      <c r="A64" s="7">
        <v>0.24791666666666667</v>
      </c>
      <c r="B64" s="12" t="s">
        <v>48</v>
      </c>
      <c r="C64" s="23"/>
      <c r="D64" s="14" t="s">
        <v>46</v>
      </c>
      <c r="E64" s="15" t="s">
        <v>13</v>
      </c>
    </row>
    <row r="65">
      <c r="A65" s="7">
        <v>0.25833333333333336</v>
      </c>
      <c r="B65" s="12" t="s">
        <v>47</v>
      </c>
      <c r="C65" s="23"/>
      <c r="D65" s="14" t="s">
        <v>49</v>
      </c>
      <c r="E65" s="15" t="s">
        <v>9</v>
      </c>
    </row>
    <row r="66">
      <c r="A66" s="7">
        <v>0.25833333333333336</v>
      </c>
      <c r="B66" s="12" t="s">
        <v>50</v>
      </c>
      <c r="C66" s="23"/>
      <c r="D66" s="14" t="s">
        <v>46</v>
      </c>
      <c r="E66" s="15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51</v>
      </c>
      <c r="C69" s="21"/>
      <c r="D69" s="10" t="s">
        <v>52</v>
      </c>
      <c r="E69" s="15" t="s">
        <v>29</v>
      </c>
    </row>
    <row r="70">
      <c r="A70" s="7">
        <v>0.16666666666666666</v>
      </c>
      <c r="B70" s="12" t="s">
        <v>53</v>
      </c>
      <c r="C70" s="21"/>
      <c r="D70" s="14" t="s">
        <v>54</v>
      </c>
      <c r="E70" s="15" t="s">
        <v>33</v>
      </c>
    </row>
    <row r="71">
      <c r="A71" s="7">
        <v>0.1763888888888889</v>
      </c>
      <c r="B71" s="12" t="s">
        <v>53</v>
      </c>
      <c r="C71" s="21"/>
      <c r="D71" s="14" t="s">
        <v>52</v>
      </c>
      <c r="E71" s="15" t="s">
        <v>29</v>
      </c>
    </row>
    <row r="72">
      <c r="A72" s="7">
        <v>0.1763888888888889</v>
      </c>
      <c r="B72" s="12" t="s">
        <v>55</v>
      </c>
      <c r="C72" s="21"/>
      <c r="D72" s="14" t="s">
        <v>54</v>
      </c>
      <c r="E72" s="15" t="s">
        <v>33</v>
      </c>
    </row>
    <row r="73">
      <c r="A73" s="7">
        <v>0.18680555555555556</v>
      </c>
      <c r="B73" s="12" t="s">
        <v>55</v>
      </c>
      <c r="C73" s="21"/>
      <c r="D73" s="14" t="s">
        <v>53</v>
      </c>
      <c r="E73" s="15" t="s">
        <v>29</v>
      </c>
    </row>
    <row r="74">
      <c r="A74" s="7">
        <v>0.18680555555555556</v>
      </c>
      <c r="B74" s="12" t="s">
        <v>54</v>
      </c>
      <c r="C74" s="21"/>
      <c r="D74" s="14" t="s">
        <v>51</v>
      </c>
      <c r="E74" s="15" t="s">
        <v>33</v>
      </c>
    </row>
    <row r="75">
      <c r="A75" s="7">
        <v>0.19722222222222222</v>
      </c>
      <c r="B75" s="12" t="s">
        <v>55</v>
      </c>
      <c r="C75" s="21"/>
      <c r="D75" s="14" t="s">
        <v>52</v>
      </c>
      <c r="E75" s="15" t="s">
        <v>29</v>
      </c>
    </row>
    <row r="76">
      <c r="A76" s="7">
        <v>0.19722222222222222</v>
      </c>
      <c r="B76" s="12" t="s">
        <v>51</v>
      </c>
      <c r="C76" s="21"/>
      <c r="D76" s="14" t="s">
        <v>53</v>
      </c>
      <c r="E76" s="15" t="s">
        <v>33</v>
      </c>
    </row>
    <row r="77">
      <c r="A77" s="7">
        <v>0.20694444444444443</v>
      </c>
      <c r="B77" s="12" t="s">
        <v>54</v>
      </c>
      <c r="C77" s="21"/>
      <c r="D77" s="14" t="s">
        <v>52</v>
      </c>
      <c r="E77" s="15" t="s">
        <v>29</v>
      </c>
    </row>
    <row r="78">
      <c r="A78" s="7">
        <v>0.20694444444444443</v>
      </c>
      <c r="B78" s="12" t="s">
        <v>51</v>
      </c>
      <c r="C78" s="21"/>
      <c r="D78" s="14" t="s">
        <v>55</v>
      </c>
      <c r="E78" s="15" t="s">
        <v>33</v>
      </c>
    </row>
    <row r="79">
      <c r="A79" s="7">
        <v>0.21736111111111112</v>
      </c>
      <c r="B79" s="12" t="s">
        <v>52</v>
      </c>
      <c r="C79" s="21"/>
      <c r="D79" s="14" t="s">
        <v>51</v>
      </c>
      <c r="E79" s="15" t="s">
        <v>29</v>
      </c>
    </row>
    <row r="80">
      <c r="A80" s="7">
        <v>0.21736111111111112</v>
      </c>
      <c r="B80" s="12" t="s">
        <v>54</v>
      </c>
      <c r="C80" s="21"/>
      <c r="D80" s="14" t="s">
        <v>53</v>
      </c>
      <c r="E80" s="15" t="s">
        <v>33</v>
      </c>
    </row>
    <row r="81">
      <c r="A81" s="7">
        <v>0.22777777777777777</v>
      </c>
      <c r="B81" s="12" t="s">
        <v>52</v>
      </c>
      <c r="C81" s="21"/>
      <c r="D81" s="14" t="s">
        <v>53</v>
      </c>
      <c r="E81" s="15" t="s">
        <v>29</v>
      </c>
    </row>
    <row r="82">
      <c r="A82" s="7">
        <v>0.22777777777777777</v>
      </c>
      <c r="B82" s="12" t="s">
        <v>54</v>
      </c>
      <c r="C82" s="21"/>
      <c r="D82" s="14" t="s">
        <v>55</v>
      </c>
      <c r="E82" s="15" t="s">
        <v>33</v>
      </c>
    </row>
    <row r="83">
      <c r="A83" s="7">
        <v>0.2375</v>
      </c>
      <c r="B83" s="12" t="s">
        <v>53</v>
      </c>
      <c r="C83" s="21"/>
      <c r="D83" s="14" t="s">
        <v>55</v>
      </c>
      <c r="E83" s="15" t="s">
        <v>29</v>
      </c>
    </row>
    <row r="84">
      <c r="A84" s="7">
        <v>0.2375</v>
      </c>
      <c r="B84" s="12" t="s">
        <v>51</v>
      </c>
      <c r="C84" s="21"/>
      <c r="D84" s="14" t="s">
        <v>54</v>
      </c>
      <c r="E84" s="15" t="s">
        <v>33</v>
      </c>
    </row>
    <row r="85">
      <c r="A85" s="7">
        <v>0.24791666666666667</v>
      </c>
      <c r="B85" s="12" t="s">
        <v>52</v>
      </c>
      <c r="C85" s="21"/>
      <c r="D85" s="14" t="s">
        <v>55</v>
      </c>
      <c r="E85" s="15" t="s">
        <v>29</v>
      </c>
    </row>
    <row r="86">
      <c r="A86" s="7">
        <v>0.24791666666666667</v>
      </c>
      <c r="B86" s="12" t="s">
        <v>53</v>
      </c>
      <c r="C86" s="21"/>
      <c r="D86" s="14" t="s">
        <v>51</v>
      </c>
      <c r="E86" s="15" t="s">
        <v>33</v>
      </c>
    </row>
    <row r="87">
      <c r="A87" s="7">
        <v>0.25833333333333336</v>
      </c>
      <c r="B87" s="12" t="s">
        <v>52</v>
      </c>
      <c r="C87" s="21"/>
      <c r="D87" s="14" t="s">
        <v>54</v>
      </c>
      <c r="E87" s="15" t="s">
        <v>29</v>
      </c>
    </row>
    <row r="88">
      <c r="A88" s="24">
        <v>0.25833333333333336</v>
      </c>
      <c r="B88" s="12" t="s">
        <v>55</v>
      </c>
      <c r="C88" s="21"/>
      <c r="D88" s="14" t="s">
        <v>51</v>
      </c>
      <c r="E88" s="15" t="s">
        <v>33</v>
      </c>
    </row>
    <row r="89">
      <c r="A89" s="25"/>
      <c r="B89" s="26" t="s">
        <v>56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57</v>
      </c>
      <c r="C91" s="32"/>
      <c r="D91" s="31" t="s">
        <v>58</v>
      </c>
      <c r="E91" s="33" t="s">
        <v>9</v>
      </c>
    </row>
    <row r="92">
      <c r="A92" s="30">
        <v>0.3333333333333333</v>
      </c>
      <c r="B92" s="31" t="s">
        <v>59</v>
      </c>
      <c r="C92" s="32"/>
      <c r="D92" s="31" t="s">
        <v>60</v>
      </c>
      <c r="E92" s="34" t="s">
        <v>13</v>
      </c>
    </row>
    <row r="93">
      <c r="A93" s="30">
        <v>0.34305555555555556</v>
      </c>
      <c r="B93" s="31" t="s">
        <v>59</v>
      </c>
      <c r="C93" s="32"/>
      <c r="D93" s="31" t="s">
        <v>58</v>
      </c>
      <c r="E93" s="34" t="s">
        <v>9</v>
      </c>
    </row>
    <row r="94">
      <c r="A94" s="30">
        <v>0.34305555555555556</v>
      </c>
      <c r="B94" s="31" t="s">
        <v>61</v>
      </c>
      <c r="C94" s="32"/>
      <c r="D94" s="31" t="s">
        <v>60</v>
      </c>
      <c r="E94" s="34" t="s">
        <v>13</v>
      </c>
    </row>
    <row r="95">
      <c r="A95" s="30">
        <v>0.35347222222222224</v>
      </c>
      <c r="B95" s="31" t="s">
        <v>61</v>
      </c>
      <c r="C95" s="32"/>
      <c r="D95" s="31" t="s">
        <v>59</v>
      </c>
      <c r="E95" s="34" t="s">
        <v>9</v>
      </c>
    </row>
    <row r="96">
      <c r="A96" s="30">
        <v>0.35347222222222224</v>
      </c>
      <c r="B96" s="31" t="s">
        <v>60</v>
      </c>
      <c r="C96" s="32"/>
      <c r="D96" s="31" t="s">
        <v>57</v>
      </c>
      <c r="E96" s="34" t="s">
        <v>13</v>
      </c>
    </row>
    <row r="97">
      <c r="A97" s="30">
        <v>0.3638888888888889</v>
      </c>
      <c r="B97" s="31" t="s">
        <v>61</v>
      </c>
      <c r="C97" s="32"/>
      <c r="D97" s="31" t="s">
        <v>58</v>
      </c>
      <c r="E97" s="34" t="s">
        <v>9</v>
      </c>
    </row>
    <row r="98">
      <c r="A98" s="30">
        <v>0.3638888888888889</v>
      </c>
      <c r="B98" s="31" t="s">
        <v>57</v>
      </c>
      <c r="C98" s="32"/>
      <c r="D98" s="31" t="s">
        <v>59</v>
      </c>
      <c r="E98" s="34" t="s">
        <v>13</v>
      </c>
    </row>
    <row r="99">
      <c r="A99" s="30">
        <v>0.3736111111111111</v>
      </c>
      <c r="B99" s="31" t="s">
        <v>60</v>
      </c>
      <c r="C99" s="32"/>
      <c r="D99" s="31" t="s">
        <v>58</v>
      </c>
      <c r="E99" s="34" t="s">
        <v>9</v>
      </c>
    </row>
    <row r="100">
      <c r="A100" s="30">
        <v>0.3736111111111111</v>
      </c>
      <c r="B100" s="31" t="s">
        <v>57</v>
      </c>
      <c r="C100" s="32"/>
      <c r="D100" s="31" t="s">
        <v>61</v>
      </c>
      <c r="E100" s="34" t="s">
        <v>13</v>
      </c>
    </row>
    <row r="101">
      <c r="A101" s="30">
        <v>0.3840277777777778</v>
      </c>
      <c r="B101" s="31" t="s">
        <v>58</v>
      </c>
      <c r="C101" s="32"/>
      <c r="D101" s="31" t="s">
        <v>57</v>
      </c>
      <c r="E101" s="34" t="s">
        <v>9</v>
      </c>
    </row>
    <row r="102">
      <c r="A102" s="30">
        <v>0.3840277777777778</v>
      </c>
      <c r="B102" s="31" t="s">
        <v>60</v>
      </c>
      <c r="C102" s="32"/>
      <c r="D102" s="31" t="s">
        <v>59</v>
      </c>
      <c r="E102" s="34" t="s">
        <v>13</v>
      </c>
    </row>
    <row r="103">
      <c r="A103" s="30">
        <v>0.39444444444444443</v>
      </c>
      <c r="B103" s="31" t="s">
        <v>58</v>
      </c>
      <c r="C103" s="32"/>
      <c r="D103" s="31" t="s">
        <v>59</v>
      </c>
      <c r="E103" s="34" t="s">
        <v>9</v>
      </c>
    </row>
    <row r="104">
      <c r="A104" s="30">
        <v>0.39444444444444443</v>
      </c>
      <c r="B104" s="31" t="s">
        <v>60</v>
      </c>
      <c r="C104" s="32"/>
      <c r="D104" s="31" t="s">
        <v>61</v>
      </c>
      <c r="E104" s="34" t="s">
        <v>13</v>
      </c>
    </row>
    <row r="105">
      <c r="A105" s="30">
        <v>0.4041666666666667</v>
      </c>
      <c r="B105" s="31" t="s">
        <v>59</v>
      </c>
      <c r="C105" s="32"/>
      <c r="D105" s="31" t="s">
        <v>61</v>
      </c>
      <c r="E105" s="34" t="s">
        <v>9</v>
      </c>
    </row>
    <row r="106">
      <c r="A106" s="30">
        <v>0.4041666666666667</v>
      </c>
      <c r="B106" s="31" t="s">
        <v>57</v>
      </c>
      <c r="C106" s="32"/>
      <c r="D106" s="31" t="s">
        <v>60</v>
      </c>
      <c r="E106" s="34" t="s">
        <v>13</v>
      </c>
    </row>
    <row r="107">
      <c r="A107" s="30">
        <v>0.41458333333333336</v>
      </c>
      <c r="B107" s="31" t="s">
        <v>58</v>
      </c>
      <c r="C107" s="32"/>
      <c r="D107" s="31" t="s">
        <v>61</v>
      </c>
      <c r="E107" s="34" t="s">
        <v>9</v>
      </c>
    </row>
    <row r="108">
      <c r="A108" s="30">
        <v>0.41458333333333336</v>
      </c>
      <c r="B108" s="31" t="s">
        <v>59</v>
      </c>
      <c r="C108" s="32"/>
      <c r="D108" s="31" t="s">
        <v>57</v>
      </c>
      <c r="E108" s="34" t="s">
        <v>13</v>
      </c>
    </row>
    <row r="109">
      <c r="A109" s="30">
        <v>0.425</v>
      </c>
      <c r="B109" s="31" t="s">
        <v>58</v>
      </c>
      <c r="C109" s="32"/>
      <c r="D109" s="31" t="s">
        <v>60</v>
      </c>
      <c r="E109" s="34" t="s">
        <v>9</v>
      </c>
    </row>
    <row r="110">
      <c r="A110" s="30">
        <v>0.425</v>
      </c>
      <c r="B110" s="31" t="s">
        <v>61</v>
      </c>
      <c r="C110" s="32"/>
      <c r="D110" s="31" t="s">
        <v>57</v>
      </c>
      <c r="E110" s="34" t="s">
        <v>13</v>
      </c>
    </row>
    <row r="111">
      <c r="A111" s="35"/>
      <c r="B111" s="36" t="s">
        <v>56</v>
      </c>
      <c r="C111" s="37"/>
      <c r="D111" s="38"/>
      <c r="E111" s="39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62</v>
      </c>
      <c r="C113" s="29"/>
      <c r="D113" s="31" t="s">
        <v>63</v>
      </c>
      <c r="E113" s="15" t="s">
        <v>29</v>
      </c>
    </row>
    <row r="114">
      <c r="A114" s="30">
        <v>0.3333333333333333</v>
      </c>
      <c r="B114" s="31" t="s">
        <v>64</v>
      </c>
      <c r="C114" s="29"/>
      <c r="D114" s="31" t="s">
        <v>65</v>
      </c>
      <c r="E114" s="15" t="s">
        <v>33</v>
      </c>
    </row>
    <row r="115">
      <c r="A115" s="30">
        <v>0.34305555555555556</v>
      </c>
      <c r="B115" s="31" t="s">
        <v>64</v>
      </c>
      <c r="C115" s="29"/>
      <c r="D115" s="31" t="s">
        <v>63</v>
      </c>
      <c r="E115" s="15" t="s">
        <v>29</v>
      </c>
    </row>
    <row r="116">
      <c r="A116" s="30">
        <v>0.34305555555555556</v>
      </c>
      <c r="B116" s="31" t="s">
        <v>66</v>
      </c>
      <c r="C116" s="29"/>
      <c r="D116" s="31" t="s">
        <v>65</v>
      </c>
      <c r="E116" s="15" t="s">
        <v>33</v>
      </c>
    </row>
    <row r="117">
      <c r="A117" s="30">
        <v>0.35347222222222224</v>
      </c>
      <c r="B117" s="31" t="s">
        <v>66</v>
      </c>
      <c r="C117" s="29"/>
      <c r="D117" s="31" t="s">
        <v>64</v>
      </c>
      <c r="E117" s="15" t="s">
        <v>29</v>
      </c>
    </row>
    <row r="118">
      <c r="A118" s="30">
        <v>0.35347222222222224</v>
      </c>
      <c r="B118" s="31" t="s">
        <v>65</v>
      </c>
      <c r="C118" s="29"/>
      <c r="D118" s="31" t="s">
        <v>62</v>
      </c>
      <c r="E118" s="15" t="s">
        <v>33</v>
      </c>
    </row>
    <row r="119">
      <c r="A119" s="30">
        <v>0.3638888888888889</v>
      </c>
      <c r="B119" s="31" t="s">
        <v>66</v>
      </c>
      <c r="C119" s="29"/>
      <c r="D119" s="31" t="s">
        <v>63</v>
      </c>
      <c r="E119" s="15" t="s">
        <v>29</v>
      </c>
    </row>
    <row r="120">
      <c r="A120" s="30">
        <v>0.3638888888888889</v>
      </c>
      <c r="B120" s="31" t="s">
        <v>62</v>
      </c>
      <c r="C120" s="29"/>
      <c r="D120" s="31" t="s">
        <v>64</v>
      </c>
      <c r="E120" s="15" t="s">
        <v>33</v>
      </c>
    </row>
    <row r="121">
      <c r="A121" s="30">
        <v>0.3736111111111111</v>
      </c>
      <c r="B121" s="31" t="s">
        <v>65</v>
      </c>
      <c r="C121" s="29"/>
      <c r="D121" s="31" t="s">
        <v>63</v>
      </c>
      <c r="E121" s="15" t="s">
        <v>29</v>
      </c>
    </row>
    <row r="122">
      <c r="A122" s="30">
        <v>0.3736111111111111</v>
      </c>
      <c r="B122" s="31" t="s">
        <v>62</v>
      </c>
      <c r="C122" s="29"/>
      <c r="D122" s="31" t="s">
        <v>66</v>
      </c>
      <c r="E122" s="15" t="s">
        <v>33</v>
      </c>
    </row>
    <row r="123">
      <c r="A123" s="30">
        <v>0.3840277777777778</v>
      </c>
      <c r="B123" s="31" t="s">
        <v>63</v>
      </c>
      <c r="C123" s="29"/>
      <c r="D123" s="31" t="s">
        <v>62</v>
      </c>
      <c r="E123" s="15" t="s">
        <v>29</v>
      </c>
    </row>
    <row r="124">
      <c r="A124" s="30">
        <v>0.3840277777777778</v>
      </c>
      <c r="B124" s="31" t="s">
        <v>65</v>
      </c>
      <c r="C124" s="29"/>
      <c r="D124" s="31" t="s">
        <v>64</v>
      </c>
      <c r="E124" s="15" t="s">
        <v>33</v>
      </c>
    </row>
    <row r="125">
      <c r="A125" s="30">
        <v>0.39444444444444443</v>
      </c>
      <c r="B125" s="31" t="s">
        <v>63</v>
      </c>
      <c r="C125" s="29"/>
      <c r="D125" s="31" t="s">
        <v>64</v>
      </c>
      <c r="E125" s="15" t="s">
        <v>29</v>
      </c>
    </row>
    <row r="126">
      <c r="A126" s="30">
        <v>0.39444444444444443</v>
      </c>
      <c r="B126" s="31" t="s">
        <v>65</v>
      </c>
      <c r="C126" s="29"/>
      <c r="D126" s="31" t="s">
        <v>66</v>
      </c>
      <c r="E126" s="15" t="s">
        <v>33</v>
      </c>
    </row>
    <row r="127">
      <c r="A127" s="30">
        <v>0.4041666666666667</v>
      </c>
      <c r="B127" s="31" t="s">
        <v>64</v>
      </c>
      <c r="C127" s="29"/>
      <c r="D127" s="31" t="s">
        <v>66</v>
      </c>
      <c r="E127" s="15" t="s">
        <v>29</v>
      </c>
    </row>
    <row r="128">
      <c r="A128" s="30">
        <v>0.4041666666666667</v>
      </c>
      <c r="B128" s="31" t="s">
        <v>62</v>
      </c>
      <c r="C128" s="29"/>
      <c r="D128" s="31" t="s">
        <v>65</v>
      </c>
      <c r="E128" s="15" t="s">
        <v>33</v>
      </c>
    </row>
    <row r="129">
      <c r="A129" s="30">
        <v>0.41458333333333336</v>
      </c>
      <c r="B129" s="31" t="s">
        <v>63</v>
      </c>
      <c r="C129" s="29"/>
      <c r="D129" s="31" t="s">
        <v>66</v>
      </c>
      <c r="E129" s="15" t="s">
        <v>29</v>
      </c>
    </row>
    <row r="130">
      <c r="A130" s="30">
        <v>0.41458333333333336</v>
      </c>
      <c r="B130" s="31" t="s">
        <v>64</v>
      </c>
      <c r="C130" s="29"/>
      <c r="D130" s="31" t="s">
        <v>62</v>
      </c>
      <c r="E130" s="15" t="s">
        <v>33</v>
      </c>
    </row>
    <row r="131">
      <c r="A131" s="30">
        <v>0.425</v>
      </c>
      <c r="B131" s="31" t="s">
        <v>63</v>
      </c>
      <c r="C131" s="29"/>
      <c r="D131" s="31" t="s">
        <v>65</v>
      </c>
      <c r="E131" s="15" t="s">
        <v>29</v>
      </c>
    </row>
    <row r="132">
      <c r="A132" s="30">
        <v>0.425</v>
      </c>
      <c r="B132" s="31" t="s">
        <v>66</v>
      </c>
      <c r="C132" s="29"/>
      <c r="D132" s="31" t="s">
        <v>62</v>
      </c>
      <c r="E132" s="15" t="s">
        <v>33</v>
      </c>
    </row>
    <row r="133">
      <c r="A133" s="35"/>
      <c r="B133" s="36" t="s">
        <v>67</v>
      </c>
      <c r="C133" s="37"/>
      <c r="D133" s="38"/>
      <c r="E133" s="39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68</v>
      </c>
      <c r="C135" s="40"/>
      <c r="D135" s="31" t="s">
        <v>69</v>
      </c>
      <c r="E135" s="34" t="s">
        <v>9</v>
      </c>
    </row>
    <row r="136">
      <c r="A136" s="30">
        <v>0.4375</v>
      </c>
      <c r="B136" s="31" t="s">
        <v>70</v>
      </c>
      <c r="C136" s="40"/>
      <c r="D136" s="31" t="s">
        <v>71</v>
      </c>
      <c r="E136" s="34" t="s">
        <v>13</v>
      </c>
    </row>
    <row r="137">
      <c r="A137" s="30">
        <v>0.44722222222222224</v>
      </c>
      <c r="B137" s="31" t="s">
        <v>70</v>
      </c>
      <c r="C137" s="32"/>
      <c r="D137" s="31" t="s">
        <v>69</v>
      </c>
      <c r="E137" s="34" t="s">
        <v>9</v>
      </c>
    </row>
    <row r="138">
      <c r="A138" s="30">
        <v>0.44722222222222224</v>
      </c>
      <c r="B138" s="31" t="s">
        <v>72</v>
      </c>
      <c r="C138" s="40"/>
      <c r="D138" s="31" t="s">
        <v>71</v>
      </c>
      <c r="E138" s="34" t="s">
        <v>13</v>
      </c>
    </row>
    <row r="139">
      <c r="A139" s="30">
        <v>0.4576388888888889</v>
      </c>
      <c r="B139" s="31" t="s">
        <v>72</v>
      </c>
      <c r="C139" s="40"/>
      <c r="D139" s="31" t="s">
        <v>70</v>
      </c>
      <c r="E139" s="34" t="s">
        <v>9</v>
      </c>
    </row>
    <row r="140">
      <c r="A140" s="30">
        <v>0.4576388888888889</v>
      </c>
      <c r="B140" s="31" t="s">
        <v>71</v>
      </c>
      <c r="C140" s="40"/>
      <c r="D140" s="31" t="s">
        <v>68</v>
      </c>
      <c r="E140" s="34" t="s">
        <v>13</v>
      </c>
    </row>
    <row r="141">
      <c r="A141" s="30">
        <v>0.46805555555555556</v>
      </c>
      <c r="B141" s="31" t="s">
        <v>72</v>
      </c>
      <c r="C141" s="40"/>
      <c r="D141" s="31" t="s">
        <v>69</v>
      </c>
      <c r="E141" s="34" t="s">
        <v>9</v>
      </c>
    </row>
    <row r="142">
      <c r="A142" s="30">
        <v>0.46805555555555556</v>
      </c>
      <c r="B142" s="31" t="s">
        <v>68</v>
      </c>
      <c r="C142" s="40"/>
      <c r="D142" s="31" t="s">
        <v>70</v>
      </c>
      <c r="E142" s="34" t="s">
        <v>13</v>
      </c>
    </row>
    <row r="143">
      <c r="A143" s="30">
        <v>0.4777777777777778</v>
      </c>
      <c r="B143" s="31" t="s">
        <v>71</v>
      </c>
      <c r="C143" s="40"/>
      <c r="D143" s="31" t="s">
        <v>69</v>
      </c>
      <c r="E143" s="34" t="s">
        <v>9</v>
      </c>
    </row>
    <row r="144">
      <c r="A144" s="30">
        <v>0.4777777777777778</v>
      </c>
      <c r="B144" s="31" t="s">
        <v>68</v>
      </c>
      <c r="C144" s="40"/>
      <c r="D144" s="31" t="s">
        <v>72</v>
      </c>
      <c r="E144" s="34" t="s">
        <v>13</v>
      </c>
    </row>
    <row r="145">
      <c r="A145" s="30">
        <v>0.48819444444444443</v>
      </c>
      <c r="B145" s="31" t="s">
        <v>69</v>
      </c>
      <c r="C145" s="40"/>
      <c r="D145" s="31" t="s">
        <v>68</v>
      </c>
      <c r="E145" s="34" t="s">
        <v>9</v>
      </c>
    </row>
    <row r="146">
      <c r="A146" s="30">
        <v>0.48819444444444443</v>
      </c>
      <c r="B146" s="31" t="s">
        <v>71</v>
      </c>
      <c r="C146" s="40"/>
      <c r="D146" s="31" t="s">
        <v>70</v>
      </c>
      <c r="E146" s="34" t="s">
        <v>13</v>
      </c>
    </row>
    <row r="147">
      <c r="A147" s="30">
        <v>0.4986111111111111</v>
      </c>
      <c r="B147" s="31" t="s">
        <v>69</v>
      </c>
      <c r="C147" s="32"/>
      <c r="D147" s="31" t="s">
        <v>70</v>
      </c>
      <c r="E147" s="34" t="s">
        <v>9</v>
      </c>
    </row>
    <row r="148">
      <c r="A148" s="30">
        <v>0.4986111111111111</v>
      </c>
      <c r="B148" s="31" t="s">
        <v>71</v>
      </c>
      <c r="C148" s="32"/>
      <c r="D148" s="31" t="s">
        <v>72</v>
      </c>
      <c r="E148" s="34" t="s">
        <v>13</v>
      </c>
    </row>
    <row r="149">
      <c r="A149" s="30">
        <v>0.5083333333333333</v>
      </c>
      <c r="B149" s="31" t="s">
        <v>70</v>
      </c>
      <c r="C149" s="32"/>
      <c r="D149" s="31" t="s">
        <v>72</v>
      </c>
      <c r="E149" s="34" t="s">
        <v>9</v>
      </c>
    </row>
    <row r="150">
      <c r="A150" s="30">
        <v>0.5083333333333333</v>
      </c>
      <c r="B150" s="31" t="s">
        <v>68</v>
      </c>
      <c r="C150" s="32"/>
      <c r="D150" s="31" t="s">
        <v>71</v>
      </c>
      <c r="E150" s="34" t="s">
        <v>13</v>
      </c>
    </row>
    <row r="151">
      <c r="A151" s="30">
        <v>0.51875</v>
      </c>
      <c r="B151" s="31" t="s">
        <v>69</v>
      </c>
      <c r="C151" s="32"/>
      <c r="D151" s="31" t="s">
        <v>72</v>
      </c>
      <c r="E151" s="34" t="s">
        <v>9</v>
      </c>
    </row>
    <row r="152">
      <c r="A152" s="30">
        <v>0.51875</v>
      </c>
      <c r="B152" s="31" t="s">
        <v>70</v>
      </c>
      <c r="C152" s="32"/>
      <c r="D152" s="31" t="s">
        <v>68</v>
      </c>
      <c r="E152" s="34" t="s">
        <v>13</v>
      </c>
    </row>
    <row r="153">
      <c r="A153" s="30">
        <v>0.5291666666666667</v>
      </c>
      <c r="B153" s="31" t="s">
        <v>69</v>
      </c>
      <c r="C153" s="32"/>
      <c r="D153" s="31" t="s">
        <v>71</v>
      </c>
      <c r="E153" s="34" t="s">
        <v>9</v>
      </c>
    </row>
    <row r="154">
      <c r="A154" s="30">
        <v>0.5291666666666667</v>
      </c>
      <c r="B154" s="31" t="s">
        <v>72</v>
      </c>
      <c r="C154" s="32"/>
      <c r="D154" s="31" t="s">
        <v>68</v>
      </c>
      <c r="E154" s="34" t="s">
        <v>13</v>
      </c>
    </row>
    <row r="155">
      <c r="A155" s="35"/>
      <c r="B155" s="36" t="s">
        <v>67</v>
      </c>
      <c r="C155" s="37"/>
      <c r="D155" s="38"/>
      <c r="E155" s="39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73</v>
      </c>
      <c r="C157" s="29"/>
      <c r="D157" s="31" t="s">
        <v>74</v>
      </c>
      <c r="E157" s="15" t="s">
        <v>29</v>
      </c>
    </row>
    <row r="158">
      <c r="A158" s="30">
        <v>0.4375</v>
      </c>
      <c r="B158" s="31" t="s">
        <v>75</v>
      </c>
      <c r="C158" s="29"/>
      <c r="D158" s="31" t="s">
        <v>76</v>
      </c>
      <c r="E158" s="15" t="s">
        <v>33</v>
      </c>
    </row>
    <row r="159">
      <c r="A159" s="30">
        <v>0.44722222222222224</v>
      </c>
      <c r="B159" s="31" t="s">
        <v>75</v>
      </c>
      <c r="C159" s="29"/>
      <c r="D159" s="31" t="s">
        <v>74</v>
      </c>
      <c r="E159" s="15" t="s">
        <v>29</v>
      </c>
    </row>
    <row r="160">
      <c r="A160" s="30">
        <v>0.44722222222222224</v>
      </c>
      <c r="B160" s="31" t="s">
        <v>77</v>
      </c>
      <c r="C160" s="29"/>
      <c r="D160" s="31" t="s">
        <v>76</v>
      </c>
      <c r="E160" s="15" t="s">
        <v>33</v>
      </c>
    </row>
    <row r="161">
      <c r="A161" s="30">
        <v>0.4576388888888889</v>
      </c>
      <c r="B161" s="31" t="s">
        <v>77</v>
      </c>
      <c r="C161" s="29"/>
      <c r="D161" s="31" t="s">
        <v>75</v>
      </c>
      <c r="E161" s="15" t="s">
        <v>29</v>
      </c>
    </row>
    <row r="162">
      <c r="A162" s="30">
        <v>0.4576388888888889</v>
      </c>
      <c r="B162" s="31" t="s">
        <v>76</v>
      </c>
      <c r="C162" s="29"/>
      <c r="D162" s="31" t="s">
        <v>73</v>
      </c>
      <c r="E162" s="15" t="s">
        <v>33</v>
      </c>
    </row>
    <row r="163">
      <c r="A163" s="30">
        <v>0.46805555555555556</v>
      </c>
      <c r="B163" s="31" t="s">
        <v>77</v>
      </c>
      <c r="C163" s="29"/>
      <c r="D163" s="31" t="s">
        <v>74</v>
      </c>
      <c r="E163" s="15" t="s">
        <v>29</v>
      </c>
    </row>
    <row r="164">
      <c r="A164" s="30">
        <v>0.46805555555555556</v>
      </c>
      <c r="B164" s="31" t="s">
        <v>73</v>
      </c>
      <c r="C164" s="29"/>
      <c r="D164" s="31" t="s">
        <v>75</v>
      </c>
      <c r="E164" s="15" t="s">
        <v>33</v>
      </c>
    </row>
    <row r="165">
      <c r="A165" s="30">
        <v>0.4777777777777778</v>
      </c>
      <c r="B165" s="31" t="s">
        <v>76</v>
      </c>
      <c r="C165" s="29"/>
      <c r="D165" s="31" t="s">
        <v>74</v>
      </c>
      <c r="E165" s="15" t="s">
        <v>29</v>
      </c>
    </row>
    <row r="166">
      <c r="A166" s="30">
        <v>0.4777777777777778</v>
      </c>
      <c r="B166" s="31" t="s">
        <v>73</v>
      </c>
      <c r="C166" s="29"/>
      <c r="D166" s="31" t="s">
        <v>77</v>
      </c>
      <c r="E166" s="15" t="s">
        <v>33</v>
      </c>
    </row>
    <row r="167">
      <c r="A167" s="30">
        <v>0.48819444444444443</v>
      </c>
      <c r="B167" s="31" t="s">
        <v>74</v>
      </c>
      <c r="C167" s="29"/>
      <c r="D167" s="31" t="s">
        <v>73</v>
      </c>
      <c r="E167" s="15" t="s">
        <v>29</v>
      </c>
    </row>
    <row r="168">
      <c r="A168" s="30">
        <v>0.48819444444444443</v>
      </c>
      <c r="B168" s="31" t="s">
        <v>76</v>
      </c>
      <c r="C168" s="29"/>
      <c r="D168" s="31" t="s">
        <v>75</v>
      </c>
      <c r="E168" s="15" t="s">
        <v>33</v>
      </c>
    </row>
    <row r="169">
      <c r="A169" s="30">
        <v>0.4986111111111111</v>
      </c>
      <c r="B169" s="31" t="s">
        <v>74</v>
      </c>
      <c r="C169" s="29"/>
      <c r="D169" s="31" t="s">
        <v>75</v>
      </c>
      <c r="E169" s="15" t="s">
        <v>29</v>
      </c>
    </row>
    <row r="170">
      <c r="A170" s="30">
        <v>0.4986111111111111</v>
      </c>
      <c r="B170" s="31" t="s">
        <v>76</v>
      </c>
      <c r="C170" s="29"/>
      <c r="D170" s="31" t="s">
        <v>77</v>
      </c>
      <c r="E170" s="15" t="s">
        <v>33</v>
      </c>
    </row>
    <row r="171">
      <c r="A171" s="30">
        <v>0.5083333333333333</v>
      </c>
      <c r="B171" s="31" t="s">
        <v>75</v>
      </c>
      <c r="C171" s="29"/>
      <c r="D171" s="31" t="s">
        <v>77</v>
      </c>
      <c r="E171" s="15" t="s">
        <v>29</v>
      </c>
    </row>
    <row r="172">
      <c r="A172" s="30">
        <v>0.5083333333333333</v>
      </c>
      <c r="B172" s="31" t="s">
        <v>73</v>
      </c>
      <c r="C172" s="29"/>
      <c r="D172" s="31" t="s">
        <v>76</v>
      </c>
      <c r="E172" s="15" t="s">
        <v>33</v>
      </c>
    </row>
    <row r="173">
      <c r="A173" s="30">
        <v>0.51875</v>
      </c>
      <c r="B173" s="31" t="s">
        <v>74</v>
      </c>
      <c r="C173" s="29"/>
      <c r="D173" s="31" t="s">
        <v>77</v>
      </c>
      <c r="E173" s="15" t="s">
        <v>29</v>
      </c>
    </row>
    <row r="174">
      <c r="A174" s="30">
        <v>0.51875</v>
      </c>
      <c r="B174" s="31" t="s">
        <v>75</v>
      </c>
      <c r="C174" s="29"/>
      <c r="D174" s="31" t="s">
        <v>73</v>
      </c>
      <c r="E174" s="15" t="s">
        <v>33</v>
      </c>
    </row>
    <row r="175">
      <c r="A175" s="30">
        <v>0.5291666666666667</v>
      </c>
      <c r="B175" s="31" t="s">
        <v>74</v>
      </c>
      <c r="C175" s="29"/>
      <c r="D175" s="31" t="s">
        <v>76</v>
      </c>
      <c r="E175" s="15" t="s">
        <v>29</v>
      </c>
    </row>
    <row r="176">
      <c r="A176" s="30">
        <v>0.5291666666666667</v>
      </c>
      <c r="B176" s="31" t="s">
        <v>77</v>
      </c>
      <c r="C176" s="29"/>
      <c r="D176" s="31" t="s">
        <v>73</v>
      </c>
      <c r="E176" s="15" t="s">
        <v>33</v>
      </c>
    </row>
    <row r="177">
      <c r="A177" s="35"/>
      <c r="B177" s="36" t="s">
        <v>78</v>
      </c>
      <c r="C177" s="37"/>
      <c r="D177" s="38"/>
      <c r="E177" s="39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79</v>
      </c>
      <c r="C179" s="32"/>
      <c r="D179" s="31" t="s">
        <v>80</v>
      </c>
      <c r="E179" s="34" t="s">
        <v>9</v>
      </c>
    </row>
    <row r="180">
      <c r="A180" s="30">
        <v>0.5416666666666666</v>
      </c>
      <c r="B180" s="31" t="s">
        <v>81</v>
      </c>
      <c r="C180" s="32"/>
      <c r="D180" s="31" t="s">
        <v>82</v>
      </c>
      <c r="E180" s="34" t="s">
        <v>13</v>
      </c>
    </row>
    <row r="181">
      <c r="A181" s="30">
        <v>0.5513888888888889</v>
      </c>
      <c r="B181" s="31" t="s">
        <v>81</v>
      </c>
      <c r="C181" s="39"/>
      <c r="D181" s="31" t="s">
        <v>80</v>
      </c>
      <c r="E181" s="34" t="s">
        <v>9</v>
      </c>
    </row>
    <row r="182">
      <c r="A182" s="30">
        <v>0.5513888888888889</v>
      </c>
      <c r="B182" s="31" t="s">
        <v>83</v>
      </c>
      <c r="C182" s="39"/>
      <c r="D182" s="31" t="s">
        <v>82</v>
      </c>
      <c r="E182" s="34" t="s">
        <v>13</v>
      </c>
    </row>
    <row r="183">
      <c r="A183" s="30">
        <v>0.5618055555555556</v>
      </c>
      <c r="B183" s="31" t="s">
        <v>83</v>
      </c>
      <c r="C183" s="39"/>
      <c r="D183" s="31" t="s">
        <v>81</v>
      </c>
      <c r="E183" s="34" t="s">
        <v>9</v>
      </c>
    </row>
    <row r="184">
      <c r="A184" s="30">
        <v>0.5618055555555556</v>
      </c>
      <c r="B184" s="31" t="s">
        <v>82</v>
      </c>
      <c r="C184" s="39"/>
      <c r="D184" s="31" t="s">
        <v>79</v>
      </c>
      <c r="E184" s="34" t="s">
        <v>13</v>
      </c>
    </row>
    <row r="185">
      <c r="A185" s="30">
        <v>0.5722222222222222</v>
      </c>
      <c r="B185" s="31" t="s">
        <v>83</v>
      </c>
      <c r="C185" s="39"/>
      <c r="D185" s="31" t="s">
        <v>80</v>
      </c>
      <c r="E185" s="34" t="s">
        <v>9</v>
      </c>
    </row>
    <row r="186">
      <c r="A186" s="30">
        <v>0.5722222222222222</v>
      </c>
      <c r="B186" s="31" t="s">
        <v>79</v>
      </c>
      <c r="C186" s="39"/>
      <c r="D186" s="31" t="s">
        <v>81</v>
      </c>
      <c r="E186" s="34" t="s">
        <v>13</v>
      </c>
    </row>
    <row r="187">
      <c r="A187" s="30">
        <v>0.5819444444444445</v>
      </c>
      <c r="B187" s="31" t="s">
        <v>82</v>
      </c>
      <c r="C187" s="39"/>
      <c r="D187" s="31" t="s">
        <v>80</v>
      </c>
      <c r="E187" s="34" t="s">
        <v>9</v>
      </c>
    </row>
    <row r="188">
      <c r="A188" s="30">
        <v>0.5819444444444445</v>
      </c>
      <c r="B188" s="31" t="s">
        <v>79</v>
      </c>
      <c r="C188" s="39"/>
      <c r="D188" s="31" t="s">
        <v>83</v>
      </c>
      <c r="E188" s="34" t="s">
        <v>13</v>
      </c>
    </row>
    <row r="189">
      <c r="A189" s="30">
        <v>0.5923611111111111</v>
      </c>
      <c r="B189" s="31" t="s">
        <v>80</v>
      </c>
      <c r="C189" s="39"/>
      <c r="D189" s="31" t="s">
        <v>79</v>
      </c>
      <c r="E189" s="34" t="s">
        <v>9</v>
      </c>
    </row>
    <row r="190">
      <c r="A190" s="30">
        <v>0.5923611111111111</v>
      </c>
      <c r="B190" s="31" t="s">
        <v>82</v>
      </c>
      <c r="C190" s="39"/>
      <c r="D190" s="31" t="s">
        <v>81</v>
      </c>
      <c r="E190" s="34" t="s">
        <v>13</v>
      </c>
    </row>
    <row r="191">
      <c r="A191" s="30">
        <v>0.6027777777777777</v>
      </c>
      <c r="B191" s="31" t="s">
        <v>80</v>
      </c>
      <c r="C191" s="39"/>
      <c r="D191" s="31" t="s">
        <v>81</v>
      </c>
      <c r="E191" s="34" t="s">
        <v>9</v>
      </c>
    </row>
    <row r="192">
      <c r="A192" s="30">
        <v>0.6027777777777777</v>
      </c>
      <c r="B192" s="31" t="s">
        <v>82</v>
      </c>
      <c r="C192" s="39"/>
      <c r="D192" s="31" t="s">
        <v>83</v>
      </c>
      <c r="E192" s="34" t="s">
        <v>13</v>
      </c>
    </row>
    <row r="193">
      <c r="A193" s="30">
        <v>0.6125</v>
      </c>
      <c r="B193" s="31" t="s">
        <v>81</v>
      </c>
      <c r="C193" s="39"/>
      <c r="D193" s="31" t="s">
        <v>83</v>
      </c>
      <c r="E193" s="34" t="s">
        <v>9</v>
      </c>
    </row>
    <row r="194">
      <c r="A194" s="30">
        <v>0.6125</v>
      </c>
      <c r="B194" s="31" t="s">
        <v>79</v>
      </c>
      <c r="C194" s="39"/>
      <c r="D194" s="31" t="s">
        <v>82</v>
      </c>
      <c r="E194" s="34" t="s">
        <v>13</v>
      </c>
    </row>
    <row r="195">
      <c r="A195" s="30">
        <v>0.6229166666666667</v>
      </c>
      <c r="B195" s="31" t="s">
        <v>80</v>
      </c>
      <c r="C195" s="39"/>
      <c r="D195" s="31" t="s">
        <v>83</v>
      </c>
      <c r="E195" s="34" t="s">
        <v>9</v>
      </c>
    </row>
    <row r="196">
      <c r="A196" s="30">
        <v>0.6229166666666667</v>
      </c>
      <c r="B196" s="31" t="s">
        <v>81</v>
      </c>
      <c r="C196" s="39"/>
      <c r="D196" s="31" t="s">
        <v>79</v>
      </c>
      <c r="E196" s="34" t="s">
        <v>13</v>
      </c>
    </row>
    <row r="197">
      <c r="A197" s="30">
        <v>0.6333333333333333</v>
      </c>
      <c r="B197" s="31" t="s">
        <v>80</v>
      </c>
      <c r="C197" s="39"/>
      <c r="D197" s="31" t="s">
        <v>82</v>
      </c>
      <c r="E197" s="34" t="s">
        <v>9</v>
      </c>
    </row>
    <row r="198">
      <c r="A198" s="30">
        <v>0.6333333333333333</v>
      </c>
      <c r="B198" s="31" t="s">
        <v>83</v>
      </c>
      <c r="C198" s="39"/>
      <c r="D198" s="31" t="s">
        <v>79</v>
      </c>
      <c r="E198" s="34" t="s">
        <v>13</v>
      </c>
    </row>
    <row r="199">
      <c r="A199" s="35"/>
      <c r="B199" s="36" t="s">
        <v>78</v>
      </c>
      <c r="C199" s="37"/>
      <c r="D199" s="38"/>
      <c r="E199" s="39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84</v>
      </c>
      <c r="C201" s="29"/>
      <c r="D201" s="31" t="s">
        <v>85</v>
      </c>
      <c r="E201" s="15" t="s">
        <v>29</v>
      </c>
    </row>
    <row r="202">
      <c r="A202" s="30">
        <v>0.5416666666666666</v>
      </c>
      <c r="B202" s="31" t="s">
        <v>86</v>
      </c>
      <c r="C202" s="29"/>
      <c r="D202" s="31" t="s">
        <v>87</v>
      </c>
      <c r="E202" s="15" t="s">
        <v>33</v>
      </c>
    </row>
    <row r="203">
      <c r="A203" s="30">
        <v>0.5513888888888889</v>
      </c>
      <c r="B203" s="31" t="s">
        <v>86</v>
      </c>
      <c r="C203" s="29"/>
      <c r="D203" s="31" t="s">
        <v>85</v>
      </c>
      <c r="E203" s="15" t="s">
        <v>29</v>
      </c>
    </row>
    <row r="204">
      <c r="A204" s="30">
        <v>0.5513888888888889</v>
      </c>
      <c r="B204" s="31" t="s">
        <v>88</v>
      </c>
      <c r="C204" s="29"/>
      <c r="D204" s="31" t="s">
        <v>87</v>
      </c>
      <c r="E204" s="15" t="s">
        <v>33</v>
      </c>
    </row>
    <row r="205">
      <c r="A205" s="30">
        <v>0.5618055555555556</v>
      </c>
      <c r="B205" s="31" t="s">
        <v>88</v>
      </c>
      <c r="C205" s="29"/>
      <c r="D205" s="31" t="s">
        <v>86</v>
      </c>
      <c r="E205" s="15" t="s">
        <v>29</v>
      </c>
    </row>
    <row r="206">
      <c r="A206" s="30">
        <v>0.5618055555555556</v>
      </c>
      <c r="B206" s="31" t="s">
        <v>87</v>
      </c>
      <c r="C206" s="29"/>
      <c r="D206" s="31" t="s">
        <v>84</v>
      </c>
      <c r="E206" s="15" t="s">
        <v>33</v>
      </c>
    </row>
    <row r="207">
      <c r="A207" s="30">
        <v>0.5722222222222222</v>
      </c>
      <c r="B207" s="31" t="s">
        <v>88</v>
      </c>
      <c r="C207" s="29"/>
      <c r="D207" s="31" t="s">
        <v>85</v>
      </c>
      <c r="E207" s="15" t="s">
        <v>29</v>
      </c>
    </row>
    <row r="208">
      <c r="A208" s="30">
        <v>0.5722222222222222</v>
      </c>
      <c r="B208" s="31" t="s">
        <v>84</v>
      </c>
      <c r="C208" s="29"/>
      <c r="D208" s="31" t="s">
        <v>86</v>
      </c>
      <c r="E208" s="15" t="s">
        <v>33</v>
      </c>
    </row>
    <row r="209">
      <c r="A209" s="30">
        <v>0.5819444444444445</v>
      </c>
      <c r="B209" s="31" t="s">
        <v>87</v>
      </c>
      <c r="C209" s="29"/>
      <c r="D209" s="31" t="s">
        <v>85</v>
      </c>
      <c r="E209" s="15" t="s">
        <v>29</v>
      </c>
    </row>
    <row r="210">
      <c r="A210" s="30">
        <v>0.5819444444444445</v>
      </c>
      <c r="B210" s="31" t="s">
        <v>84</v>
      </c>
      <c r="C210" s="29"/>
      <c r="D210" s="31" t="s">
        <v>88</v>
      </c>
      <c r="E210" s="15" t="s">
        <v>33</v>
      </c>
    </row>
    <row r="211">
      <c r="A211" s="30">
        <v>0.5923611111111111</v>
      </c>
      <c r="B211" s="31" t="s">
        <v>85</v>
      </c>
      <c r="C211" s="29"/>
      <c r="D211" s="31" t="s">
        <v>84</v>
      </c>
      <c r="E211" s="15" t="s">
        <v>29</v>
      </c>
    </row>
    <row r="212">
      <c r="A212" s="30">
        <v>0.5923611111111111</v>
      </c>
      <c r="B212" s="31" t="s">
        <v>87</v>
      </c>
      <c r="C212" s="29"/>
      <c r="D212" s="31" t="s">
        <v>86</v>
      </c>
      <c r="E212" s="15" t="s">
        <v>33</v>
      </c>
    </row>
    <row r="213">
      <c r="A213" s="30">
        <v>0.6027777777777777</v>
      </c>
      <c r="B213" s="31" t="s">
        <v>85</v>
      </c>
      <c r="C213" s="29"/>
      <c r="D213" s="31" t="s">
        <v>86</v>
      </c>
      <c r="E213" s="15" t="s">
        <v>29</v>
      </c>
    </row>
    <row r="214">
      <c r="A214" s="30">
        <v>0.6027777777777777</v>
      </c>
      <c r="B214" s="31" t="s">
        <v>87</v>
      </c>
      <c r="C214" s="29"/>
      <c r="D214" s="31" t="s">
        <v>88</v>
      </c>
      <c r="E214" s="15" t="s">
        <v>33</v>
      </c>
    </row>
    <row r="215">
      <c r="A215" s="30">
        <v>0.6125</v>
      </c>
      <c r="B215" s="31" t="s">
        <v>86</v>
      </c>
      <c r="C215" s="29"/>
      <c r="D215" s="31" t="s">
        <v>88</v>
      </c>
      <c r="E215" s="15" t="s">
        <v>29</v>
      </c>
    </row>
    <row r="216">
      <c r="A216" s="30">
        <v>0.6125</v>
      </c>
      <c r="B216" s="31" t="s">
        <v>84</v>
      </c>
      <c r="C216" s="29"/>
      <c r="D216" s="31" t="s">
        <v>87</v>
      </c>
      <c r="E216" s="15" t="s">
        <v>33</v>
      </c>
    </row>
    <row r="217">
      <c r="A217" s="30">
        <v>0.6229166666666667</v>
      </c>
      <c r="B217" s="31" t="s">
        <v>85</v>
      </c>
      <c r="C217" s="29"/>
      <c r="D217" s="31" t="s">
        <v>88</v>
      </c>
      <c r="E217" s="15" t="s">
        <v>29</v>
      </c>
    </row>
    <row r="218">
      <c r="A218" s="30">
        <v>0.6229166666666667</v>
      </c>
      <c r="B218" s="31" t="s">
        <v>86</v>
      </c>
      <c r="C218" s="29"/>
      <c r="D218" s="31" t="s">
        <v>84</v>
      </c>
      <c r="E218" s="15" t="s">
        <v>33</v>
      </c>
    </row>
    <row r="219">
      <c r="A219" s="30">
        <v>0.6333333333333333</v>
      </c>
      <c r="B219" s="31" t="s">
        <v>85</v>
      </c>
      <c r="C219" s="29"/>
      <c r="D219" s="31" t="s">
        <v>87</v>
      </c>
      <c r="E219" s="15" t="s">
        <v>29</v>
      </c>
    </row>
    <row r="220">
      <c r="A220" s="30">
        <v>0.6333333333333333</v>
      </c>
      <c r="B220" s="31" t="s">
        <v>88</v>
      </c>
      <c r="C220" s="29"/>
      <c r="D220" s="31" t="s">
        <v>84</v>
      </c>
      <c r="E220" s="15" t="s">
        <v>33</v>
      </c>
    </row>
    <row r="221">
      <c r="A221" s="35"/>
      <c r="B221" s="36" t="s">
        <v>89</v>
      </c>
      <c r="C221" s="37"/>
      <c r="D221" s="38"/>
      <c r="E221" s="39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90</v>
      </c>
      <c r="C223" s="41"/>
      <c r="D223" s="31" t="s">
        <v>91</v>
      </c>
      <c r="E223" s="34" t="s">
        <v>9</v>
      </c>
    </row>
    <row r="224">
      <c r="A224" s="30">
        <v>0.6458333333333334</v>
      </c>
      <c r="B224" s="31" t="s">
        <v>92</v>
      </c>
      <c r="C224" s="41"/>
      <c r="D224" s="31" t="s">
        <v>93</v>
      </c>
      <c r="E224" s="34" t="s">
        <v>13</v>
      </c>
    </row>
    <row r="225">
      <c r="A225" s="30">
        <v>0.6555555555555556</v>
      </c>
      <c r="B225" s="31" t="s">
        <v>92</v>
      </c>
      <c r="C225" s="41"/>
      <c r="D225" s="31" t="s">
        <v>91</v>
      </c>
      <c r="E225" s="34" t="s">
        <v>9</v>
      </c>
    </row>
    <row r="226">
      <c r="A226" s="30">
        <v>0.6555555555555556</v>
      </c>
      <c r="B226" s="31" t="s">
        <v>94</v>
      </c>
      <c r="C226" s="41"/>
      <c r="D226" s="31" t="s">
        <v>93</v>
      </c>
      <c r="E226" s="34" t="s">
        <v>13</v>
      </c>
    </row>
    <row r="227">
      <c r="A227" s="30">
        <v>0.6659722222222222</v>
      </c>
      <c r="B227" s="31" t="s">
        <v>94</v>
      </c>
      <c r="C227" s="41"/>
      <c r="D227" s="31" t="s">
        <v>92</v>
      </c>
      <c r="E227" s="34" t="s">
        <v>9</v>
      </c>
    </row>
    <row r="228">
      <c r="A228" s="30">
        <v>0.6659722222222222</v>
      </c>
      <c r="B228" s="31" t="s">
        <v>93</v>
      </c>
      <c r="C228" s="41"/>
      <c r="D228" s="31" t="s">
        <v>90</v>
      </c>
      <c r="E228" s="34" t="s">
        <v>13</v>
      </c>
    </row>
    <row r="229">
      <c r="A229" s="30">
        <v>0.6763888888888889</v>
      </c>
      <c r="B229" s="31" t="s">
        <v>94</v>
      </c>
      <c r="C229" s="41"/>
      <c r="D229" s="31" t="s">
        <v>91</v>
      </c>
      <c r="E229" s="34" t="s">
        <v>9</v>
      </c>
    </row>
    <row r="230">
      <c r="A230" s="30">
        <v>0.6763888888888889</v>
      </c>
      <c r="B230" s="31" t="s">
        <v>90</v>
      </c>
      <c r="C230" s="41"/>
      <c r="D230" s="31" t="s">
        <v>92</v>
      </c>
      <c r="E230" s="34" t="s">
        <v>13</v>
      </c>
    </row>
    <row r="231">
      <c r="A231" s="30">
        <v>0.6861111111111111</v>
      </c>
      <c r="B231" s="31" t="s">
        <v>93</v>
      </c>
      <c r="C231" s="41"/>
      <c r="D231" s="31" t="s">
        <v>91</v>
      </c>
      <c r="E231" s="34" t="s">
        <v>9</v>
      </c>
    </row>
    <row r="232">
      <c r="A232" s="30">
        <v>0.6861111111111111</v>
      </c>
      <c r="B232" s="31" t="s">
        <v>90</v>
      </c>
      <c r="C232" s="41"/>
      <c r="D232" s="31" t="s">
        <v>94</v>
      </c>
      <c r="E232" s="34" t="s">
        <v>13</v>
      </c>
    </row>
    <row r="233">
      <c r="A233" s="30">
        <v>0.6965277777777777</v>
      </c>
      <c r="B233" s="31" t="s">
        <v>91</v>
      </c>
      <c r="C233" s="41"/>
      <c r="D233" s="31" t="s">
        <v>90</v>
      </c>
      <c r="E233" s="34" t="s">
        <v>9</v>
      </c>
    </row>
    <row r="234">
      <c r="A234" s="30">
        <v>0.6965277777777777</v>
      </c>
      <c r="B234" s="31" t="s">
        <v>93</v>
      </c>
      <c r="C234" s="41"/>
      <c r="D234" s="31" t="s">
        <v>92</v>
      </c>
      <c r="E234" s="34" t="s">
        <v>13</v>
      </c>
    </row>
    <row r="235">
      <c r="A235" s="30">
        <v>0.7069444444444445</v>
      </c>
      <c r="B235" s="31" t="s">
        <v>91</v>
      </c>
      <c r="C235" s="39"/>
      <c r="D235" s="31" t="s">
        <v>92</v>
      </c>
      <c r="E235" s="34" t="s">
        <v>9</v>
      </c>
    </row>
    <row r="236">
      <c r="A236" s="30">
        <v>0.7069444444444445</v>
      </c>
      <c r="B236" s="31" t="s">
        <v>93</v>
      </c>
      <c r="C236" s="39"/>
      <c r="D236" s="31" t="s">
        <v>94</v>
      </c>
      <c r="E236" s="34" t="s">
        <v>13</v>
      </c>
    </row>
    <row r="237">
      <c r="A237" s="30">
        <v>0.7166666666666667</v>
      </c>
      <c r="B237" s="31" t="s">
        <v>92</v>
      </c>
      <c r="C237" s="39"/>
      <c r="D237" s="31" t="s">
        <v>94</v>
      </c>
      <c r="E237" s="34" t="s">
        <v>9</v>
      </c>
    </row>
    <row r="238">
      <c r="A238" s="30">
        <v>0.7166666666666667</v>
      </c>
      <c r="B238" s="31" t="s">
        <v>90</v>
      </c>
      <c r="C238" s="39"/>
      <c r="D238" s="31" t="s">
        <v>93</v>
      </c>
      <c r="E238" s="34" t="s">
        <v>13</v>
      </c>
    </row>
    <row r="239">
      <c r="A239" s="30">
        <v>0.7270833333333333</v>
      </c>
      <c r="B239" s="31" t="s">
        <v>91</v>
      </c>
      <c r="C239" s="39"/>
      <c r="D239" s="31" t="s">
        <v>94</v>
      </c>
      <c r="E239" s="34" t="s">
        <v>9</v>
      </c>
    </row>
    <row r="240">
      <c r="A240" s="30">
        <v>0.7270833333333333</v>
      </c>
      <c r="B240" s="31" t="s">
        <v>92</v>
      </c>
      <c r="C240" s="39"/>
      <c r="D240" s="31" t="s">
        <v>90</v>
      </c>
      <c r="E240" s="34" t="s">
        <v>13</v>
      </c>
    </row>
    <row r="241">
      <c r="A241" s="30">
        <v>0.7375</v>
      </c>
      <c r="B241" s="31" t="s">
        <v>91</v>
      </c>
      <c r="C241" s="39"/>
      <c r="D241" s="31" t="s">
        <v>93</v>
      </c>
      <c r="E241" s="34" t="s">
        <v>9</v>
      </c>
    </row>
    <row r="242">
      <c r="A242" s="30">
        <v>0.7375</v>
      </c>
      <c r="B242" s="31" t="s">
        <v>94</v>
      </c>
      <c r="C242" s="39"/>
      <c r="D242" s="31" t="s">
        <v>90</v>
      </c>
      <c r="E242" s="34" t="s">
        <v>13</v>
      </c>
    </row>
    <row r="243">
      <c r="A243" s="35"/>
      <c r="B243" s="36" t="s">
        <v>89</v>
      </c>
      <c r="C243" s="37"/>
      <c r="D243" s="38"/>
      <c r="E243" s="39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95</v>
      </c>
      <c r="C245" s="29"/>
      <c r="D245" s="31" t="s">
        <v>96</v>
      </c>
      <c r="E245" s="15" t="s">
        <v>29</v>
      </c>
    </row>
    <row r="246">
      <c r="A246" s="30">
        <v>0.6458333333333334</v>
      </c>
      <c r="B246" s="31" t="s">
        <v>97</v>
      </c>
      <c r="C246" s="29"/>
      <c r="D246" s="31" t="s">
        <v>98</v>
      </c>
      <c r="E246" s="15" t="s">
        <v>33</v>
      </c>
    </row>
    <row r="247">
      <c r="A247" s="30">
        <v>0.6555555555555556</v>
      </c>
      <c r="B247" s="31" t="s">
        <v>97</v>
      </c>
      <c r="C247" s="29"/>
      <c r="D247" s="31" t="s">
        <v>96</v>
      </c>
      <c r="E247" s="15" t="s">
        <v>29</v>
      </c>
    </row>
    <row r="248">
      <c r="A248" s="30">
        <v>0.6555555555555556</v>
      </c>
      <c r="B248" s="31" t="s">
        <v>99</v>
      </c>
      <c r="C248" s="29"/>
      <c r="D248" s="31" t="s">
        <v>98</v>
      </c>
      <c r="E248" s="15" t="s">
        <v>33</v>
      </c>
    </row>
    <row r="249">
      <c r="A249" s="30">
        <v>0.6659722222222222</v>
      </c>
      <c r="B249" s="31" t="s">
        <v>99</v>
      </c>
      <c r="C249" s="29"/>
      <c r="D249" s="31" t="s">
        <v>97</v>
      </c>
      <c r="E249" s="15" t="s">
        <v>29</v>
      </c>
    </row>
    <row r="250">
      <c r="A250" s="30">
        <v>0.6659722222222222</v>
      </c>
      <c r="B250" s="31" t="s">
        <v>98</v>
      </c>
      <c r="C250" s="29"/>
      <c r="D250" s="31" t="s">
        <v>95</v>
      </c>
      <c r="E250" s="15" t="s">
        <v>33</v>
      </c>
    </row>
    <row r="251">
      <c r="A251" s="30">
        <v>0.6763888888888889</v>
      </c>
      <c r="B251" s="31" t="s">
        <v>99</v>
      </c>
      <c r="C251" s="29"/>
      <c r="D251" s="31" t="s">
        <v>96</v>
      </c>
      <c r="E251" s="15" t="s">
        <v>29</v>
      </c>
    </row>
    <row r="252">
      <c r="A252" s="30">
        <v>0.6763888888888889</v>
      </c>
      <c r="B252" s="31" t="s">
        <v>95</v>
      </c>
      <c r="C252" s="29"/>
      <c r="D252" s="31" t="s">
        <v>97</v>
      </c>
      <c r="E252" s="15" t="s">
        <v>33</v>
      </c>
    </row>
    <row r="253">
      <c r="A253" s="30">
        <v>0.6861111111111111</v>
      </c>
      <c r="B253" s="31" t="s">
        <v>98</v>
      </c>
      <c r="C253" s="29"/>
      <c r="D253" s="31" t="s">
        <v>96</v>
      </c>
      <c r="E253" s="15" t="s">
        <v>29</v>
      </c>
    </row>
    <row r="254">
      <c r="A254" s="30">
        <v>0.6861111111111111</v>
      </c>
      <c r="B254" s="31" t="s">
        <v>95</v>
      </c>
      <c r="C254" s="29"/>
      <c r="D254" s="31" t="s">
        <v>99</v>
      </c>
      <c r="E254" s="15" t="s">
        <v>33</v>
      </c>
    </row>
    <row r="255">
      <c r="A255" s="30">
        <v>0.6965277777777777</v>
      </c>
      <c r="B255" s="31" t="s">
        <v>96</v>
      </c>
      <c r="C255" s="29"/>
      <c r="D255" s="31" t="s">
        <v>95</v>
      </c>
      <c r="E255" s="15" t="s">
        <v>29</v>
      </c>
    </row>
    <row r="256">
      <c r="A256" s="30">
        <v>0.6965277777777777</v>
      </c>
      <c r="B256" s="31" t="s">
        <v>98</v>
      </c>
      <c r="C256" s="29"/>
      <c r="D256" s="31" t="s">
        <v>97</v>
      </c>
      <c r="E256" s="15" t="s">
        <v>33</v>
      </c>
    </row>
    <row r="257">
      <c r="A257" s="30">
        <v>0.7069444444444445</v>
      </c>
      <c r="B257" s="31" t="s">
        <v>96</v>
      </c>
      <c r="C257" s="29"/>
      <c r="D257" s="31" t="s">
        <v>97</v>
      </c>
      <c r="E257" s="15" t="s">
        <v>29</v>
      </c>
    </row>
    <row r="258">
      <c r="A258" s="30">
        <v>0.7069444444444445</v>
      </c>
      <c r="B258" s="31" t="s">
        <v>98</v>
      </c>
      <c r="C258" s="29"/>
      <c r="D258" s="31" t="s">
        <v>99</v>
      </c>
      <c r="E258" s="15" t="s">
        <v>33</v>
      </c>
    </row>
    <row r="259">
      <c r="A259" s="30">
        <v>0.7166666666666667</v>
      </c>
      <c r="B259" s="31" t="s">
        <v>97</v>
      </c>
      <c r="C259" s="29"/>
      <c r="D259" s="31" t="s">
        <v>99</v>
      </c>
      <c r="E259" s="15" t="s">
        <v>29</v>
      </c>
    </row>
    <row r="260">
      <c r="A260" s="30">
        <v>0.7166666666666667</v>
      </c>
      <c r="B260" s="31" t="s">
        <v>95</v>
      </c>
      <c r="C260" s="29"/>
      <c r="D260" s="31" t="s">
        <v>98</v>
      </c>
      <c r="E260" s="15" t="s">
        <v>33</v>
      </c>
    </row>
    <row r="261">
      <c r="A261" s="30">
        <v>0.7270833333333333</v>
      </c>
      <c r="B261" s="31" t="s">
        <v>96</v>
      </c>
      <c r="C261" s="29"/>
      <c r="D261" s="31" t="s">
        <v>99</v>
      </c>
      <c r="E261" s="15" t="s">
        <v>29</v>
      </c>
    </row>
    <row r="262">
      <c r="A262" s="30">
        <v>0.7270833333333333</v>
      </c>
      <c r="B262" s="31" t="s">
        <v>97</v>
      </c>
      <c r="C262" s="29"/>
      <c r="D262" s="31" t="s">
        <v>95</v>
      </c>
      <c r="E262" s="15" t="s">
        <v>33</v>
      </c>
    </row>
    <row r="263">
      <c r="A263" s="30">
        <v>0.7375</v>
      </c>
      <c r="B263" s="31" t="s">
        <v>96</v>
      </c>
      <c r="C263" s="29"/>
      <c r="D263" s="31" t="s">
        <v>98</v>
      </c>
      <c r="E263" s="15" t="s">
        <v>29</v>
      </c>
    </row>
    <row r="264">
      <c r="A264" s="30">
        <v>0.7375</v>
      </c>
      <c r="B264" s="31" t="s">
        <v>99</v>
      </c>
      <c r="C264" s="29"/>
      <c r="D264" s="31" t="s">
        <v>95</v>
      </c>
      <c r="E264" s="15" t="s">
        <v>33</v>
      </c>
    </row>
    <row r="265">
      <c r="A265" s="35"/>
      <c r="B265" s="36" t="s">
        <v>100</v>
      </c>
      <c r="C265" s="37"/>
      <c r="D265" s="38"/>
      <c r="E265" s="39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101</v>
      </c>
      <c r="C267" s="39"/>
      <c r="D267" s="31" t="s">
        <v>102</v>
      </c>
      <c r="E267" s="34" t="s">
        <v>9</v>
      </c>
    </row>
    <row r="268">
      <c r="A268" s="30">
        <v>0.75</v>
      </c>
      <c r="B268" s="31" t="s">
        <v>103</v>
      </c>
      <c r="C268" s="39"/>
      <c r="D268" s="31" t="s">
        <v>104</v>
      </c>
      <c r="E268" s="34" t="s">
        <v>13</v>
      </c>
    </row>
    <row r="269">
      <c r="A269" s="30">
        <v>0.7597222222222222</v>
      </c>
      <c r="B269" s="31" t="s">
        <v>103</v>
      </c>
      <c r="C269" s="39"/>
      <c r="D269" s="31" t="s">
        <v>102</v>
      </c>
      <c r="E269" s="34" t="s">
        <v>9</v>
      </c>
    </row>
    <row r="270">
      <c r="A270" s="30">
        <v>0.7597222222222222</v>
      </c>
      <c r="B270" s="31" t="s">
        <v>105</v>
      </c>
      <c r="C270" s="39"/>
      <c r="D270" s="31" t="s">
        <v>104</v>
      </c>
      <c r="E270" s="34" t="s">
        <v>13</v>
      </c>
    </row>
    <row r="271">
      <c r="A271" s="30">
        <v>0.7701388888888889</v>
      </c>
      <c r="B271" s="31" t="s">
        <v>105</v>
      </c>
      <c r="C271" s="39"/>
      <c r="D271" s="31" t="s">
        <v>103</v>
      </c>
      <c r="E271" s="34" t="s">
        <v>9</v>
      </c>
    </row>
    <row r="272">
      <c r="A272" s="30">
        <v>0.7701388888888889</v>
      </c>
      <c r="B272" s="31" t="s">
        <v>104</v>
      </c>
      <c r="C272" s="39"/>
      <c r="D272" s="31" t="s">
        <v>101</v>
      </c>
      <c r="E272" s="34" t="s">
        <v>13</v>
      </c>
    </row>
    <row r="273">
      <c r="A273" s="30">
        <v>0.7805555555555556</v>
      </c>
      <c r="B273" s="31" t="s">
        <v>105</v>
      </c>
      <c r="C273" s="39"/>
      <c r="D273" s="31" t="s">
        <v>102</v>
      </c>
      <c r="E273" s="34" t="s">
        <v>9</v>
      </c>
    </row>
    <row r="274">
      <c r="A274" s="30">
        <v>0.7805555555555556</v>
      </c>
      <c r="B274" s="31" t="s">
        <v>101</v>
      </c>
      <c r="C274" s="39"/>
      <c r="D274" s="31" t="s">
        <v>103</v>
      </c>
      <c r="E274" s="34" t="s">
        <v>13</v>
      </c>
    </row>
    <row r="275">
      <c r="A275" s="30">
        <v>0.7902777777777777</v>
      </c>
      <c r="B275" s="31" t="s">
        <v>104</v>
      </c>
      <c r="C275" s="39"/>
      <c r="D275" s="31" t="s">
        <v>102</v>
      </c>
      <c r="E275" s="34" t="s">
        <v>9</v>
      </c>
    </row>
    <row r="276">
      <c r="A276" s="30">
        <v>0.7902777777777777</v>
      </c>
      <c r="B276" s="31" t="s">
        <v>101</v>
      </c>
      <c r="C276" s="39"/>
      <c r="D276" s="31" t="s">
        <v>105</v>
      </c>
      <c r="E276" s="34" t="s">
        <v>13</v>
      </c>
    </row>
    <row r="277">
      <c r="A277" s="30">
        <v>0.8006944444444445</v>
      </c>
      <c r="B277" s="31" t="s">
        <v>102</v>
      </c>
      <c r="C277" s="39"/>
      <c r="D277" s="31" t="s">
        <v>101</v>
      </c>
      <c r="E277" s="34" t="s">
        <v>9</v>
      </c>
    </row>
    <row r="278">
      <c r="A278" s="30">
        <v>0.8006944444444445</v>
      </c>
      <c r="B278" s="31" t="s">
        <v>104</v>
      </c>
      <c r="C278" s="39"/>
      <c r="D278" s="31" t="s">
        <v>103</v>
      </c>
      <c r="E278" s="34" t="s">
        <v>13</v>
      </c>
    </row>
    <row r="279">
      <c r="A279" s="30">
        <v>0.8111111111111111</v>
      </c>
      <c r="B279" s="31" t="s">
        <v>102</v>
      </c>
      <c r="C279" s="39"/>
      <c r="D279" s="31" t="s">
        <v>103</v>
      </c>
      <c r="E279" s="34" t="s">
        <v>9</v>
      </c>
    </row>
    <row r="280">
      <c r="A280" s="30">
        <v>0.8111111111111111</v>
      </c>
      <c r="B280" s="31" t="s">
        <v>104</v>
      </c>
      <c r="C280" s="39"/>
      <c r="D280" s="31" t="s">
        <v>105</v>
      </c>
      <c r="E280" s="34" t="s">
        <v>13</v>
      </c>
    </row>
    <row r="281">
      <c r="A281" s="30">
        <v>0.8208333333333333</v>
      </c>
      <c r="B281" s="31" t="s">
        <v>103</v>
      </c>
      <c r="C281" s="39"/>
      <c r="D281" s="31" t="s">
        <v>105</v>
      </c>
      <c r="E281" s="34" t="s">
        <v>9</v>
      </c>
    </row>
    <row r="282">
      <c r="A282" s="30">
        <v>0.8208333333333333</v>
      </c>
      <c r="B282" s="31" t="s">
        <v>101</v>
      </c>
      <c r="C282" s="39"/>
      <c r="D282" s="31" t="s">
        <v>104</v>
      </c>
      <c r="E282" s="34" t="s">
        <v>13</v>
      </c>
    </row>
    <row r="283">
      <c r="A283" s="30">
        <v>0.83125</v>
      </c>
      <c r="B283" s="31" t="s">
        <v>102</v>
      </c>
      <c r="C283" s="39"/>
      <c r="D283" s="31" t="s">
        <v>105</v>
      </c>
      <c r="E283" s="34" t="s">
        <v>9</v>
      </c>
    </row>
    <row r="284">
      <c r="A284" s="30">
        <v>0.83125</v>
      </c>
      <c r="B284" s="31" t="s">
        <v>103</v>
      </c>
      <c r="C284" s="39"/>
      <c r="D284" s="31" t="s">
        <v>101</v>
      </c>
      <c r="E284" s="34" t="s">
        <v>13</v>
      </c>
    </row>
    <row r="285">
      <c r="A285" s="30">
        <v>0.8416666666666667</v>
      </c>
      <c r="B285" s="31" t="s">
        <v>102</v>
      </c>
      <c r="C285" s="39"/>
      <c r="D285" s="31" t="s">
        <v>104</v>
      </c>
      <c r="E285" s="34" t="s">
        <v>9</v>
      </c>
    </row>
    <row r="286">
      <c r="A286" s="30">
        <v>0.8416666666666667</v>
      </c>
      <c r="B286" s="31" t="s">
        <v>105</v>
      </c>
      <c r="C286" s="39"/>
      <c r="D286" s="31" t="s">
        <v>101</v>
      </c>
      <c r="E286" s="34" t="s">
        <v>13</v>
      </c>
    </row>
    <row r="287">
      <c r="A287" s="35"/>
      <c r="B287" s="36" t="s">
        <v>100</v>
      </c>
      <c r="C287" s="37"/>
      <c r="D287" s="38"/>
      <c r="E287" s="39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106</v>
      </c>
      <c r="C289" s="29"/>
      <c r="D289" s="31" t="s">
        <v>107</v>
      </c>
      <c r="E289" s="34" t="s">
        <v>29</v>
      </c>
    </row>
    <row r="290">
      <c r="A290" s="30">
        <v>0.75</v>
      </c>
      <c r="B290" s="31" t="s">
        <v>108</v>
      </c>
      <c r="C290" s="29"/>
      <c r="D290" s="31" t="s">
        <v>109</v>
      </c>
      <c r="E290" s="34" t="s">
        <v>33</v>
      </c>
    </row>
    <row r="291">
      <c r="A291" s="30">
        <v>0.7597222222222222</v>
      </c>
      <c r="B291" s="31" t="s">
        <v>108</v>
      </c>
      <c r="C291" s="29"/>
      <c r="D291" s="31" t="s">
        <v>107</v>
      </c>
      <c r="E291" s="34" t="s">
        <v>29</v>
      </c>
    </row>
    <row r="292">
      <c r="A292" s="30">
        <v>0.7597222222222222</v>
      </c>
      <c r="B292" s="31" t="s">
        <v>110</v>
      </c>
      <c r="C292" s="29"/>
      <c r="D292" s="31" t="s">
        <v>109</v>
      </c>
      <c r="E292" s="34" t="s">
        <v>33</v>
      </c>
    </row>
    <row r="293">
      <c r="A293" s="30">
        <v>0.7701388888888889</v>
      </c>
      <c r="B293" s="31" t="s">
        <v>110</v>
      </c>
      <c r="C293" s="29"/>
      <c r="D293" s="31" t="s">
        <v>108</v>
      </c>
      <c r="E293" s="34" t="s">
        <v>29</v>
      </c>
    </row>
    <row r="294">
      <c r="A294" s="30">
        <v>0.7701388888888889</v>
      </c>
      <c r="B294" s="31" t="s">
        <v>109</v>
      </c>
      <c r="C294" s="29"/>
      <c r="D294" s="31" t="s">
        <v>106</v>
      </c>
      <c r="E294" s="34" t="s">
        <v>33</v>
      </c>
    </row>
    <row r="295">
      <c r="A295" s="30">
        <v>0.7805555555555556</v>
      </c>
      <c r="B295" s="31" t="s">
        <v>110</v>
      </c>
      <c r="C295" s="29"/>
      <c r="D295" s="31" t="s">
        <v>107</v>
      </c>
      <c r="E295" s="34" t="s">
        <v>29</v>
      </c>
    </row>
    <row r="296">
      <c r="A296" s="30">
        <v>0.7805555555555556</v>
      </c>
      <c r="B296" s="31" t="s">
        <v>106</v>
      </c>
      <c r="C296" s="29"/>
      <c r="D296" s="31" t="s">
        <v>108</v>
      </c>
      <c r="E296" s="34" t="s">
        <v>33</v>
      </c>
    </row>
    <row r="297">
      <c r="A297" s="30">
        <v>0.7902777777777777</v>
      </c>
      <c r="B297" s="31" t="s">
        <v>109</v>
      </c>
      <c r="C297" s="29"/>
      <c r="D297" s="31" t="s">
        <v>107</v>
      </c>
      <c r="E297" s="34" t="s">
        <v>29</v>
      </c>
    </row>
    <row r="298">
      <c r="A298" s="30">
        <v>0.7902777777777777</v>
      </c>
      <c r="B298" s="31" t="s">
        <v>106</v>
      </c>
      <c r="C298" s="29"/>
      <c r="D298" s="31" t="s">
        <v>110</v>
      </c>
      <c r="E298" s="34" t="s">
        <v>33</v>
      </c>
    </row>
    <row r="299">
      <c r="A299" s="30">
        <v>0.8006944444444445</v>
      </c>
      <c r="B299" s="31" t="s">
        <v>107</v>
      </c>
      <c r="C299" s="29"/>
      <c r="D299" s="31" t="s">
        <v>106</v>
      </c>
      <c r="E299" s="34" t="s">
        <v>29</v>
      </c>
    </row>
    <row r="300">
      <c r="A300" s="30">
        <v>0.8006944444444445</v>
      </c>
      <c r="B300" s="31" t="s">
        <v>109</v>
      </c>
      <c r="C300" s="29"/>
      <c r="D300" s="31" t="s">
        <v>108</v>
      </c>
      <c r="E300" s="34" t="s">
        <v>33</v>
      </c>
    </row>
    <row r="301">
      <c r="A301" s="30">
        <v>0.8111111111111111</v>
      </c>
      <c r="B301" s="31" t="s">
        <v>107</v>
      </c>
      <c r="C301" s="29"/>
      <c r="D301" s="31" t="s">
        <v>108</v>
      </c>
      <c r="E301" s="34" t="s">
        <v>29</v>
      </c>
    </row>
    <row r="302">
      <c r="A302" s="30">
        <v>0.8111111111111111</v>
      </c>
      <c r="B302" s="31" t="s">
        <v>109</v>
      </c>
      <c r="C302" s="29"/>
      <c r="D302" s="31" t="s">
        <v>110</v>
      </c>
      <c r="E302" s="34" t="s">
        <v>33</v>
      </c>
    </row>
    <row r="303">
      <c r="A303" s="30">
        <v>0.8208333333333333</v>
      </c>
      <c r="B303" s="31" t="s">
        <v>108</v>
      </c>
      <c r="C303" s="29"/>
      <c r="D303" s="31" t="s">
        <v>110</v>
      </c>
      <c r="E303" s="34" t="s">
        <v>29</v>
      </c>
    </row>
    <row r="304">
      <c r="A304" s="30">
        <v>0.8208333333333333</v>
      </c>
      <c r="B304" s="31" t="s">
        <v>106</v>
      </c>
      <c r="C304" s="29"/>
      <c r="D304" s="31" t="s">
        <v>109</v>
      </c>
      <c r="E304" s="34" t="s">
        <v>33</v>
      </c>
    </row>
    <row r="305">
      <c r="A305" s="30">
        <v>0.83125</v>
      </c>
      <c r="B305" s="31" t="s">
        <v>107</v>
      </c>
      <c r="C305" s="29"/>
      <c r="D305" s="31" t="s">
        <v>110</v>
      </c>
      <c r="E305" s="34" t="s">
        <v>29</v>
      </c>
    </row>
    <row r="306">
      <c r="A306" s="30">
        <v>0.83125</v>
      </c>
      <c r="B306" s="31" t="s">
        <v>108</v>
      </c>
      <c r="C306" s="29"/>
      <c r="D306" s="31" t="s">
        <v>106</v>
      </c>
      <c r="E306" s="34" t="s">
        <v>33</v>
      </c>
    </row>
    <row r="307">
      <c r="A307" s="30">
        <v>0.8416666666666667</v>
      </c>
      <c r="B307" s="31" t="s">
        <v>107</v>
      </c>
      <c r="C307" s="29"/>
      <c r="D307" s="31" t="s">
        <v>109</v>
      </c>
      <c r="E307" s="34" t="s">
        <v>29</v>
      </c>
    </row>
    <row r="308">
      <c r="A308" s="30">
        <v>0.8416666666666667</v>
      </c>
      <c r="B308" s="31" t="s">
        <v>110</v>
      </c>
      <c r="C308" s="29"/>
      <c r="D308" s="31" t="s">
        <v>106</v>
      </c>
      <c r="E308" s="34" t="s">
        <v>33</v>
      </c>
    </row>
    <row r="309">
      <c r="A309" s="35"/>
      <c r="B309" s="36" t="s">
        <v>111</v>
      </c>
      <c r="C309" s="37"/>
      <c r="D309" s="38"/>
      <c r="E309" s="39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112</v>
      </c>
      <c r="C311" s="41"/>
      <c r="D311" s="31" t="s">
        <v>113</v>
      </c>
      <c r="E311" s="34" t="s">
        <v>9</v>
      </c>
    </row>
    <row r="312">
      <c r="A312" s="30">
        <v>0.8541666666666666</v>
      </c>
      <c r="B312" s="31" t="s">
        <v>114</v>
      </c>
      <c r="C312" s="41"/>
      <c r="D312" s="31" t="s">
        <v>115</v>
      </c>
      <c r="E312" s="34" t="s">
        <v>13</v>
      </c>
    </row>
    <row r="313">
      <c r="A313" s="30">
        <v>0.8638888888888889</v>
      </c>
      <c r="B313" s="31" t="s">
        <v>114</v>
      </c>
      <c r="C313" s="41"/>
      <c r="D313" s="31" t="s">
        <v>113</v>
      </c>
      <c r="E313" s="34" t="s">
        <v>9</v>
      </c>
    </row>
    <row r="314">
      <c r="A314" s="30">
        <v>0.8638888888888889</v>
      </c>
      <c r="B314" s="31" t="s">
        <v>116</v>
      </c>
      <c r="C314" s="41"/>
      <c r="D314" s="31" t="s">
        <v>115</v>
      </c>
      <c r="E314" s="34" t="s">
        <v>13</v>
      </c>
    </row>
    <row r="315">
      <c r="A315" s="30">
        <v>0.8743055555555556</v>
      </c>
      <c r="B315" s="31" t="s">
        <v>116</v>
      </c>
      <c r="C315" s="41"/>
      <c r="D315" s="31" t="s">
        <v>114</v>
      </c>
      <c r="E315" s="34" t="s">
        <v>9</v>
      </c>
    </row>
    <row r="316">
      <c r="A316" s="30">
        <v>0.8743055555555556</v>
      </c>
      <c r="B316" s="31" t="s">
        <v>115</v>
      </c>
      <c r="C316" s="41"/>
      <c r="D316" s="31" t="s">
        <v>112</v>
      </c>
      <c r="E316" s="34" t="s">
        <v>13</v>
      </c>
    </row>
    <row r="317">
      <c r="A317" s="30">
        <v>0.8847222222222222</v>
      </c>
      <c r="B317" s="31" t="s">
        <v>116</v>
      </c>
      <c r="C317" s="41"/>
      <c r="D317" s="31" t="s">
        <v>113</v>
      </c>
      <c r="E317" s="34" t="s">
        <v>9</v>
      </c>
    </row>
    <row r="318">
      <c r="A318" s="30">
        <v>0.8847222222222222</v>
      </c>
      <c r="B318" s="31" t="s">
        <v>112</v>
      </c>
      <c r="C318" s="41"/>
      <c r="D318" s="31" t="s">
        <v>114</v>
      </c>
      <c r="E318" s="34" t="s">
        <v>13</v>
      </c>
    </row>
    <row r="319">
      <c r="A319" s="30">
        <v>0.8944444444444445</v>
      </c>
      <c r="B319" s="31" t="s">
        <v>115</v>
      </c>
      <c r="C319" s="41"/>
      <c r="D319" s="31" t="s">
        <v>113</v>
      </c>
      <c r="E319" s="34" t="s">
        <v>9</v>
      </c>
    </row>
    <row r="320">
      <c r="A320" s="30">
        <v>0.8944444444444445</v>
      </c>
      <c r="B320" s="31" t="s">
        <v>112</v>
      </c>
      <c r="C320" s="41"/>
      <c r="D320" s="31" t="s">
        <v>116</v>
      </c>
      <c r="E320" s="34" t="s">
        <v>13</v>
      </c>
    </row>
    <row r="321">
      <c r="A321" s="30">
        <v>0.9048611111111111</v>
      </c>
      <c r="B321" s="31" t="s">
        <v>113</v>
      </c>
      <c r="C321" s="41"/>
      <c r="D321" s="31" t="s">
        <v>112</v>
      </c>
      <c r="E321" s="34" t="s">
        <v>9</v>
      </c>
    </row>
    <row r="322">
      <c r="A322" s="30">
        <v>0.9048611111111111</v>
      </c>
      <c r="B322" s="31" t="s">
        <v>115</v>
      </c>
      <c r="C322" s="41"/>
      <c r="D322" s="31" t="s">
        <v>114</v>
      </c>
      <c r="E322" s="34" t="s">
        <v>13</v>
      </c>
    </row>
    <row r="323">
      <c r="A323" s="30">
        <v>0.9152777777777777</v>
      </c>
      <c r="B323" s="31" t="s">
        <v>113</v>
      </c>
      <c r="C323" s="39"/>
      <c r="D323" s="31" t="s">
        <v>114</v>
      </c>
      <c r="E323" s="34" t="s">
        <v>9</v>
      </c>
    </row>
    <row r="324">
      <c r="A324" s="30">
        <v>0.9152777777777777</v>
      </c>
      <c r="B324" s="31" t="s">
        <v>115</v>
      </c>
      <c r="C324" s="39"/>
      <c r="D324" s="31" t="s">
        <v>116</v>
      </c>
      <c r="E324" s="34" t="s">
        <v>13</v>
      </c>
    </row>
    <row r="325">
      <c r="A325" s="30">
        <v>0.925</v>
      </c>
      <c r="B325" s="31" t="s">
        <v>114</v>
      </c>
      <c r="C325" s="39"/>
      <c r="D325" s="31" t="s">
        <v>116</v>
      </c>
      <c r="E325" s="34" t="s">
        <v>9</v>
      </c>
    </row>
    <row r="326">
      <c r="A326" s="30">
        <v>0.925</v>
      </c>
      <c r="B326" s="31" t="s">
        <v>112</v>
      </c>
      <c r="C326" s="39"/>
      <c r="D326" s="31" t="s">
        <v>115</v>
      </c>
      <c r="E326" s="34" t="s">
        <v>13</v>
      </c>
    </row>
    <row r="327">
      <c r="A327" s="30">
        <v>0.9354166666666667</v>
      </c>
      <c r="B327" s="31" t="s">
        <v>113</v>
      </c>
      <c r="C327" s="39"/>
      <c r="D327" s="31" t="s">
        <v>116</v>
      </c>
      <c r="E327" s="34" t="s">
        <v>9</v>
      </c>
    </row>
    <row r="328">
      <c r="A328" s="30">
        <v>0.9354166666666667</v>
      </c>
      <c r="B328" s="31" t="s">
        <v>114</v>
      </c>
      <c r="C328" s="39"/>
      <c r="D328" s="31" t="s">
        <v>112</v>
      </c>
      <c r="E328" s="34" t="s">
        <v>13</v>
      </c>
    </row>
    <row r="329">
      <c r="A329" s="30">
        <v>0.9458333333333333</v>
      </c>
      <c r="B329" s="31" t="s">
        <v>113</v>
      </c>
      <c r="C329" s="39"/>
      <c r="D329" s="31" t="s">
        <v>115</v>
      </c>
      <c r="E329" s="34" t="s">
        <v>9</v>
      </c>
    </row>
    <row r="330">
      <c r="A330" s="30">
        <v>0.9458333333333333</v>
      </c>
      <c r="B330" s="31" t="s">
        <v>116</v>
      </c>
      <c r="C330" s="39"/>
      <c r="D330" s="31" t="s">
        <v>112</v>
      </c>
      <c r="E330" s="34" t="s">
        <v>13</v>
      </c>
    </row>
    <row r="331">
      <c r="A331" s="35"/>
      <c r="B331" s="36" t="s">
        <v>111</v>
      </c>
      <c r="C331" s="37"/>
      <c r="D331" s="38"/>
      <c r="E331" s="39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117</v>
      </c>
      <c r="C333" s="29"/>
      <c r="D333" s="31" t="s">
        <v>118</v>
      </c>
      <c r="E333" s="34" t="s">
        <v>29</v>
      </c>
    </row>
    <row r="334">
      <c r="A334" s="30">
        <v>0.8541666666666666</v>
      </c>
      <c r="B334" s="31" t="s">
        <v>119</v>
      </c>
      <c r="C334" s="29"/>
      <c r="D334" s="31" t="s">
        <v>120</v>
      </c>
      <c r="E334" s="34" t="s">
        <v>33</v>
      </c>
    </row>
    <row r="335">
      <c r="A335" s="30">
        <v>0.8638888888888889</v>
      </c>
      <c r="B335" s="31" t="s">
        <v>119</v>
      </c>
      <c r="C335" s="29"/>
      <c r="D335" s="31" t="s">
        <v>118</v>
      </c>
      <c r="E335" s="34" t="s">
        <v>29</v>
      </c>
    </row>
    <row r="336">
      <c r="A336" s="30">
        <v>0.8638888888888889</v>
      </c>
      <c r="B336" s="31" t="s">
        <v>121</v>
      </c>
      <c r="C336" s="29"/>
      <c r="D336" s="31" t="s">
        <v>120</v>
      </c>
      <c r="E336" s="34" t="s">
        <v>33</v>
      </c>
    </row>
    <row r="337">
      <c r="A337" s="30">
        <v>0.8743055555555556</v>
      </c>
      <c r="B337" s="31" t="s">
        <v>121</v>
      </c>
      <c r="C337" s="29"/>
      <c r="D337" s="31" t="s">
        <v>119</v>
      </c>
      <c r="E337" s="34" t="s">
        <v>29</v>
      </c>
    </row>
    <row r="338">
      <c r="A338" s="30">
        <v>0.8743055555555556</v>
      </c>
      <c r="B338" s="31" t="s">
        <v>120</v>
      </c>
      <c r="C338" s="29"/>
      <c r="D338" s="31" t="s">
        <v>117</v>
      </c>
      <c r="E338" s="34" t="s">
        <v>33</v>
      </c>
    </row>
    <row r="339">
      <c r="A339" s="30">
        <v>0.8847222222222222</v>
      </c>
      <c r="B339" s="31" t="s">
        <v>121</v>
      </c>
      <c r="C339" s="29"/>
      <c r="D339" s="31" t="s">
        <v>118</v>
      </c>
      <c r="E339" s="34" t="s">
        <v>29</v>
      </c>
    </row>
    <row r="340">
      <c r="A340" s="30">
        <v>0.8847222222222222</v>
      </c>
      <c r="B340" s="31" t="s">
        <v>117</v>
      </c>
      <c r="C340" s="29"/>
      <c r="D340" s="31" t="s">
        <v>119</v>
      </c>
      <c r="E340" s="34" t="s">
        <v>33</v>
      </c>
    </row>
    <row r="341">
      <c r="A341" s="30">
        <v>0.8944444444444445</v>
      </c>
      <c r="B341" s="31" t="s">
        <v>120</v>
      </c>
      <c r="C341" s="29"/>
      <c r="D341" s="31" t="s">
        <v>118</v>
      </c>
      <c r="E341" s="34" t="s">
        <v>29</v>
      </c>
    </row>
    <row r="342">
      <c r="A342" s="30">
        <v>0.8944444444444445</v>
      </c>
      <c r="B342" s="31" t="s">
        <v>117</v>
      </c>
      <c r="C342" s="29"/>
      <c r="D342" s="31" t="s">
        <v>121</v>
      </c>
      <c r="E342" s="34" t="s">
        <v>33</v>
      </c>
    </row>
    <row r="343">
      <c r="A343" s="30">
        <v>0.9048611111111111</v>
      </c>
      <c r="B343" s="31" t="s">
        <v>118</v>
      </c>
      <c r="C343" s="29"/>
      <c r="D343" s="31" t="s">
        <v>117</v>
      </c>
      <c r="E343" s="34" t="s">
        <v>29</v>
      </c>
    </row>
    <row r="344">
      <c r="A344" s="30">
        <v>0.9048611111111111</v>
      </c>
      <c r="B344" s="31" t="s">
        <v>120</v>
      </c>
      <c r="C344" s="29"/>
      <c r="D344" s="31" t="s">
        <v>119</v>
      </c>
      <c r="E344" s="34" t="s">
        <v>33</v>
      </c>
    </row>
    <row r="345">
      <c r="A345" s="30">
        <v>0.9152777777777777</v>
      </c>
      <c r="B345" s="31" t="s">
        <v>118</v>
      </c>
      <c r="C345" s="29"/>
      <c r="D345" s="31" t="s">
        <v>119</v>
      </c>
      <c r="E345" s="34" t="s">
        <v>29</v>
      </c>
    </row>
    <row r="346">
      <c r="A346" s="30">
        <v>0.9152777777777777</v>
      </c>
      <c r="B346" s="31" t="s">
        <v>120</v>
      </c>
      <c r="C346" s="29"/>
      <c r="D346" s="31" t="s">
        <v>121</v>
      </c>
      <c r="E346" s="34" t="s">
        <v>33</v>
      </c>
    </row>
    <row r="347">
      <c r="A347" s="30">
        <v>0.925</v>
      </c>
      <c r="B347" s="31" t="s">
        <v>119</v>
      </c>
      <c r="C347" s="29"/>
      <c r="D347" s="31" t="s">
        <v>121</v>
      </c>
      <c r="E347" s="34" t="s">
        <v>29</v>
      </c>
    </row>
    <row r="348">
      <c r="A348" s="30">
        <v>0.925</v>
      </c>
      <c r="B348" s="31" t="s">
        <v>117</v>
      </c>
      <c r="C348" s="29"/>
      <c r="D348" s="31" t="s">
        <v>120</v>
      </c>
      <c r="E348" s="34" t="s">
        <v>33</v>
      </c>
    </row>
    <row r="349">
      <c r="A349" s="30">
        <v>0.9354166666666667</v>
      </c>
      <c r="B349" s="31" t="s">
        <v>118</v>
      </c>
      <c r="C349" s="29"/>
      <c r="D349" s="31" t="s">
        <v>121</v>
      </c>
      <c r="E349" s="34" t="s">
        <v>29</v>
      </c>
    </row>
    <row r="350">
      <c r="A350" s="30">
        <v>0.9354166666666667</v>
      </c>
      <c r="B350" s="31" t="s">
        <v>119</v>
      </c>
      <c r="C350" s="29"/>
      <c r="D350" s="31" t="s">
        <v>117</v>
      </c>
      <c r="E350" s="34" t="s">
        <v>33</v>
      </c>
    </row>
    <row r="351">
      <c r="A351" s="30">
        <v>0.9458333333333333</v>
      </c>
      <c r="B351" s="31" t="s">
        <v>118</v>
      </c>
      <c r="C351" s="29"/>
      <c r="D351" s="31" t="s">
        <v>120</v>
      </c>
      <c r="E351" s="34" t="s">
        <v>29</v>
      </c>
    </row>
    <row r="352">
      <c r="A352" s="30">
        <v>0.9458333333333333</v>
      </c>
      <c r="B352" s="31" t="s">
        <v>121</v>
      </c>
      <c r="C352" s="29"/>
      <c r="D352" s="31" t="s">
        <v>117</v>
      </c>
      <c r="E352" s="34" t="s">
        <v>33</v>
      </c>
    </row>
    <row r="353">
      <c r="A353" s="35"/>
      <c r="B353" s="36" t="s">
        <v>122</v>
      </c>
      <c r="C353" s="37"/>
      <c r="D353" s="38"/>
      <c r="E353" s="39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123</v>
      </c>
      <c r="C355" s="39"/>
      <c r="D355" s="31" t="s">
        <v>124</v>
      </c>
      <c r="E355" s="34" t="s">
        <v>9</v>
      </c>
    </row>
    <row r="356">
      <c r="A356" s="30">
        <v>0.9583333333333334</v>
      </c>
      <c r="B356" s="31" t="s">
        <v>125</v>
      </c>
      <c r="C356" s="39"/>
      <c r="D356" s="31" t="s">
        <v>126</v>
      </c>
      <c r="E356" s="34" t="s">
        <v>13</v>
      </c>
    </row>
    <row r="357">
      <c r="A357" s="30">
        <v>0.9680555555555556</v>
      </c>
      <c r="B357" s="31" t="s">
        <v>125</v>
      </c>
      <c r="C357" s="39"/>
      <c r="D357" s="31" t="s">
        <v>124</v>
      </c>
      <c r="E357" s="34" t="s">
        <v>9</v>
      </c>
    </row>
    <row r="358">
      <c r="A358" s="30">
        <v>0.9680555555555556</v>
      </c>
      <c r="B358" s="31" t="s">
        <v>127</v>
      </c>
      <c r="C358" s="39"/>
      <c r="D358" s="31" t="s">
        <v>126</v>
      </c>
      <c r="E358" s="34" t="s">
        <v>13</v>
      </c>
    </row>
    <row r="359">
      <c r="A359" s="30">
        <v>0.9784722222222222</v>
      </c>
      <c r="B359" s="31" t="s">
        <v>127</v>
      </c>
      <c r="C359" s="39"/>
      <c r="D359" s="31" t="s">
        <v>125</v>
      </c>
      <c r="E359" s="34" t="s">
        <v>9</v>
      </c>
    </row>
    <row r="360">
      <c r="A360" s="30">
        <v>0.9784722222222222</v>
      </c>
      <c r="B360" s="31" t="s">
        <v>126</v>
      </c>
      <c r="C360" s="39"/>
      <c r="D360" s="31" t="s">
        <v>123</v>
      </c>
      <c r="E360" s="34" t="s">
        <v>13</v>
      </c>
    </row>
    <row r="361">
      <c r="A361" s="30">
        <v>0.9888888888888889</v>
      </c>
      <c r="B361" s="31" t="s">
        <v>127</v>
      </c>
      <c r="C361" s="39"/>
      <c r="D361" s="31" t="s">
        <v>124</v>
      </c>
      <c r="E361" s="34" t="s">
        <v>9</v>
      </c>
    </row>
    <row r="362">
      <c r="A362" s="30">
        <v>0.9888888888888889</v>
      </c>
      <c r="B362" s="31" t="s">
        <v>123</v>
      </c>
      <c r="C362" s="39"/>
      <c r="D362" s="31" t="s">
        <v>125</v>
      </c>
      <c r="E362" s="34" t="s">
        <v>13</v>
      </c>
    </row>
    <row r="363">
      <c r="A363" s="30">
        <v>0.9986111111111111</v>
      </c>
      <c r="B363" s="31" t="s">
        <v>126</v>
      </c>
      <c r="C363" s="39"/>
      <c r="D363" s="31" t="s">
        <v>124</v>
      </c>
      <c r="E363" s="34" t="s">
        <v>9</v>
      </c>
    </row>
    <row r="364">
      <c r="A364" s="30">
        <v>0.9986111111111111</v>
      </c>
      <c r="B364" s="31" t="s">
        <v>123</v>
      </c>
      <c r="C364" s="39"/>
      <c r="D364" s="31" t="s">
        <v>127</v>
      </c>
      <c r="E364" s="34" t="s">
        <v>13</v>
      </c>
    </row>
    <row r="365">
      <c r="A365" s="30">
        <v>0.009027777777777777</v>
      </c>
      <c r="B365" s="31" t="s">
        <v>124</v>
      </c>
      <c r="C365" s="39"/>
      <c r="D365" s="31" t="s">
        <v>123</v>
      </c>
      <c r="E365" s="34" t="s">
        <v>9</v>
      </c>
    </row>
    <row r="366">
      <c r="A366" s="30">
        <v>0.009027777777777777</v>
      </c>
      <c r="B366" s="31" t="s">
        <v>126</v>
      </c>
      <c r="C366" s="39"/>
      <c r="D366" s="31" t="s">
        <v>125</v>
      </c>
      <c r="E366" s="34" t="s">
        <v>13</v>
      </c>
    </row>
    <row r="367">
      <c r="A367" s="30">
        <v>0.019444444444444445</v>
      </c>
      <c r="B367" s="31" t="s">
        <v>124</v>
      </c>
      <c r="C367" s="39"/>
      <c r="D367" s="31" t="s">
        <v>125</v>
      </c>
      <c r="E367" s="34" t="s">
        <v>9</v>
      </c>
    </row>
    <row r="368">
      <c r="A368" s="30">
        <v>0.019444444444444445</v>
      </c>
      <c r="B368" s="31" t="s">
        <v>126</v>
      </c>
      <c r="C368" s="39"/>
      <c r="D368" s="31" t="s">
        <v>127</v>
      </c>
      <c r="E368" s="34" t="s">
        <v>13</v>
      </c>
    </row>
    <row r="369">
      <c r="A369" s="30">
        <v>0.029166666666666667</v>
      </c>
      <c r="B369" s="31" t="s">
        <v>125</v>
      </c>
      <c r="C369" s="39"/>
      <c r="D369" s="31" t="s">
        <v>127</v>
      </c>
      <c r="E369" s="34" t="s">
        <v>9</v>
      </c>
    </row>
    <row r="370">
      <c r="A370" s="30">
        <v>0.029166666666666667</v>
      </c>
      <c r="B370" s="31" t="s">
        <v>123</v>
      </c>
      <c r="C370" s="39"/>
      <c r="D370" s="31" t="s">
        <v>126</v>
      </c>
      <c r="E370" s="34" t="s">
        <v>13</v>
      </c>
    </row>
    <row r="371">
      <c r="A371" s="30">
        <v>0.03958333333333333</v>
      </c>
      <c r="B371" s="31" t="s">
        <v>124</v>
      </c>
      <c r="C371" s="39"/>
      <c r="D371" s="31" t="s">
        <v>127</v>
      </c>
      <c r="E371" s="34" t="s">
        <v>9</v>
      </c>
    </row>
    <row r="372">
      <c r="A372" s="30">
        <v>0.03958333333333333</v>
      </c>
      <c r="B372" s="31" t="s">
        <v>125</v>
      </c>
      <c r="C372" s="39"/>
      <c r="D372" s="31" t="s">
        <v>123</v>
      </c>
      <c r="E372" s="34" t="s">
        <v>13</v>
      </c>
    </row>
    <row r="373">
      <c r="A373" s="30">
        <v>0.05</v>
      </c>
      <c r="B373" s="31" t="s">
        <v>124</v>
      </c>
      <c r="C373" s="39"/>
      <c r="D373" s="31" t="s">
        <v>126</v>
      </c>
      <c r="E373" s="34" t="s">
        <v>9</v>
      </c>
    </row>
    <row r="374">
      <c r="A374" s="30">
        <v>0.05</v>
      </c>
      <c r="B374" s="31" t="s">
        <v>127</v>
      </c>
      <c r="C374" s="39"/>
      <c r="D374" s="31" t="s">
        <v>123</v>
      </c>
      <c r="E374" s="34" t="s">
        <v>13</v>
      </c>
    </row>
    <row r="375">
      <c r="A375" s="25"/>
      <c r="B375" s="36" t="s">
        <v>122</v>
      </c>
      <c r="C375" s="37"/>
      <c r="D375" s="38"/>
      <c r="E375" s="39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128</v>
      </c>
      <c r="C377" s="29"/>
      <c r="D377" s="31" t="s">
        <v>129</v>
      </c>
      <c r="E377" s="34" t="s">
        <v>29</v>
      </c>
    </row>
    <row r="378">
      <c r="A378" s="30">
        <v>0.9583333333333334</v>
      </c>
      <c r="B378" s="31" t="s">
        <v>130</v>
      </c>
      <c r="C378" s="29"/>
      <c r="D378" s="31" t="s">
        <v>131</v>
      </c>
      <c r="E378" s="34" t="s">
        <v>33</v>
      </c>
    </row>
    <row r="379">
      <c r="A379" s="30">
        <v>0.9680555555555556</v>
      </c>
      <c r="B379" s="31" t="s">
        <v>130</v>
      </c>
      <c r="C379" s="29"/>
      <c r="D379" s="31" t="s">
        <v>129</v>
      </c>
      <c r="E379" s="34" t="s">
        <v>29</v>
      </c>
    </row>
    <row r="380">
      <c r="A380" s="30">
        <v>0.9680555555555556</v>
      </c>
      <c r="B380" s="31" t="s">
        <v>132</v>
      </c>
      <c r="C380" s="29"/>
      <c r="D380" s="31" t="s">
        <v>131</v>
      </c>
      <c r="E380" s="34" t="s">
        <v>33</v>
      </c>
    </row>
    <row r="381">
      <c r="A381" s="30">
        <v>0.9784722222222222</v>
      </c>
      <c r="B381" s="31" t="s">
        <v>132</v>
      </c>
      <c r="C381" s="29"/>
      <c r="D381" s="31" t="s">
        <v>130</v>
      </c>
      <c r="E381" s="34" t="s">
        <v>29</v>
      </c>
    </row>
    <row r="382">
      <c r="A382" s="30">
        <v>0.9784722222222222</v>
      </c>
      <c r="B382" s="31" t="s">
        <v>131</v>
      </c>
      <c r="C382" s="29"/>
      <c r="D382" s="31" t="s">
        <v>128</v>
      </c>
      <c r="E382" s="34" t="s">
        <v>33</v>
      </c>
    </row>
    <row r="383">
      <c r="A383" s="30">
        <v>0.9888888888888889</v>
      </c>
      <c r="B383" s="31" t="s">
        <v>132</v>
      </c>
      <c r="C383" s="29"/>
      <c r="D383" s="31" t="s">
        <v>129</v>
      </c>
      <c r="E383" s="34" t="s">
        <v>29</v>
      </c>
    </row>
    <row r="384">
      <c r="A384" s="30">
        <v>0.9888888888888889</v>
      </c>
      <c r="B384" s="31" t="s">
        <v>128</v>
      </c>
      <c r="C384" s="29"/>
      <c r="D384" s="31" t="s">
        <v>130</v>
      </c>
      <c r="E384" s="34" t="s">
        <v>33</v>
      </c>
    </row>
    <row r="385">
      <c r="A385" s="30">
        <v>0.9986111111111111</v>
      </c>
      <c r="B385" s="31" t="s">
        <v>131</v>
      </c>
      <c r="C385" s="29"/>
      <c r="D385" s="31" t="s">
        <v>129</v>
      </c>
      <c r="E385" s="34" t="s">
        <v>29</v>
      </c>
    </row>
    <row r="386">
      <c r="A386" s="30">
        <v>0.9986111111111111</v>
      </c>
      <c r="B386" s="31" t="s">
        <v>128</v>
      </c>
      <c r="C386" s="29"/>
      <c r="D386" s="31" t="s">
        <v>132</v>
      </c>
      <c r="E386" s="34" t="s">
        <v>33</v>
      </c>
    </row>
    <row r="387">
      <c r="A387" s="30">
        <v>0.009027777777777777</v>
      </c>
      <c r="B387" s="31" t="s">
        <v>129</v>
      </c>
      <c r="C387" s="29"/>
      <c r="D387" s="31" t="s">
        <v>128</v>
      </c>
      <c r="E387" s="34" t="s">
        <v>29</v>
      </c>
    </row>
    <row r="388">
      <c r="A388" s="30">
        <v>0.009027777777777777</v>
      </c>
      <c r="B388" s="31" t="s">
        <v>131</v>
      </c>
      <c r="C388" s="29"/>
      <c r="D388" s="31" t="s">
        <v>130</v>
      </c>
      <c r="E388" s="34" t="s">
        <v>33</v>
      </c>
    </row>
    <row r="389">
      <c r="A389" s="30">
        <v>0.019444444444444445</v>
      </c>
      <c r="B389" s="31" t="s">
        <v>129</v>
      </c>
      <c r="C389" s="29"/>
      <c r="D389" s="31" t="s">
        <v>130</v>
      </c>
      <c r="E389" s="34" t="s">
        <v>29</v>
      </c>
    </row>
    <row r="390">
      <c r="A390" s="30">
        <v>0.019444444444444445</v>
      </c>
      <c r="B390" s="31" t="s">
        <v>131</v>
      </c>
      <c r="C390" s="29"/>
      <c r="D390" s="31" t="s">
        <v>132</v>
      </c>
      <c r="E390" s="34" t="s">
        <v>33</v>
      </c>
    </row>
    <row r="391">
      <c r="A391" s="30">
        <v>0.029166666666666667</v>
      </c>
      <c r="B391" s="31" t="s">
        <v>130</v>
      </c>
      <c r="C391" s="29"/>
      <c r="D391" s="31" t="s">
        <v>132</v>
      </c>
      <c r="E391" s="34" t="s">
        <v>29</v>
      </c>
    </row>
    <row r="392">
      <c r="A392" s="30">
        <v>0.029166666666666667</v>
      </c>
      <c r="B392" s="31" t="s">
        <v>128</v>
      </c>
      <c r="C392" s="29"/>
      <c r="D392" s="31" t="s">
        <v>131</v>
      </c>
      <c r="E392" s="34" t="s">
        <v>33</v>
      </c>
    </row>
    <row r="393">
      <c r="A393" s="30">
        <v>0.03958333333333333</v>
      </c>
      <c r="B393" s="31" t="s">
        <v>129</v>
      </c>
      <c r="C393" s="29"/>
      <c r="D393" s="31" t="s">
        <v>132</v>
      </c>
      <c r="E393" s="34" t="s">
        <v>29</v>
      </c>
    </row>
    <row r="394">
      <c r="A394" s="30">
        <v>0.03958333333333333</v>
      </c>
      <c r="B394" s="31" t="s">
        <v>130</v>
      </c>
      <c r="C394" s="29"/>
      <c r="D394" s="31" t="s">
        <v>128</v>
      </c>
      <c r="E394" s="34" t="s">
        <v>33</v>
      </c>
    </row>
    <row r="395">
      <c r="A395" s="30">
        <v>0.05</v>
      </c>
      <c r="B395" s="31" t="s">
        <v>129</v>
      </c>
      <c r="C395" s="29"/>
      <c r="D395" s="31" t="s">
        <v>131</v>
      </c>
      <c r="E395" s="34" t="s">
        <v>29</v>
      </c>
    </row>
    <row r="396">
      <c r="A396" s="30">
        <v>0.05</v>
      </c>
      <c r="B396" s="31" t="s">
        <v>132</v>
      </c>
      <c r="C396" s="29"/>
      <c r="D396" s="31" t="s">
        <v>128</v>
      </c>
      <c r="E396" s="34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25"/>
    <hyperlink r:id="rId4" ref="E26"/>
    <hyperlink r:id="rId5" ref="E47"/>
    <hyperlink r:id="rId6" ref="E91"/>
  </hyperlinks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133</v>
      </c>
      <c r="C3" s="43"/>
      <c r="D3" s="10" t="s">
        <v>134</v>
      </c>
      <c r="E3" s="15" t="s">
        <v>9</v>
      </c>
    </row>
    <row r="4">
      <c r="A4" s="7">
        <v>0.0625</v>
      </c>
      <c r="B4" s="12" t="s">
        <v>135</v>
      </c>
      <c r="C4" s="44"/>
      <c r="D4" s="14" t="s">
        <v>136</v>
      </c>
      <c r="E4" s="15" t="s">
        <v>13</v>
      </c>
    </row>
    <row r="5">
      <c r="A5" s="7">
        <v>0.07222222222222222</v>
      </c>
      <c r="B5" s="12" t="s">
        <v>135</v>
      </c>
      <c r="C5" s="44"/>
      <c r="D5" s="14" t="s">
        <v>134</v>
      </c>
      <c r="E5" s="15" t="s">
        <v>9</v>
      </c>
    </row>
    <row r="6">
      <c r="A6" s="7">
        <v>0.07222222222222222</v>
      </c>
      <c r="B6" s="12" t="s">
        <v>137</v>
      </c>
      <c r="C6" s="44"/>
      <c r="D6" s="14" t="s">
        <v>136</v>
      </c>
      <c r="E6" s="15" t="s">
        <v>13</v>
      </c>
    </row>
    <row r="7">
      <c r="A7" s="7">
        <v>0.08263888888888889</v>
      </c>
      <c r="B7" s="12" t="s">
        <v>137</v>
      </c>
      <c r="C7" s="44"/>
      <c r="D7" s="14" t="s">
        <v>135</v>
      </c>
      <c r="E7" s="15" t="s">
        <v>9</v>
      </c>
    </row>
    <row r="8">
      <c r="A8" s="7">
        <v>0.08263888888888889</v>
      </c>
      <c r="B8" s="12" t="s">
        <v>136</v>
      </c>
      <c r="C8" s="44"/>
      <c r="D8" s="14" t="s">
        <v>133</v>
      </c>
      <c r="E8" s="15" t="s">
        <v>13</v>
      </c>
    </row>
    <row r="9">
      <c r="A9" s="7">
        <v>0.09305555555555556</v>
      </c>
      <c r="B9" s="12" t="s">
        <v>137</v>
      </c>
      <c r="C9" s="44"/>
      <c r="D9" s="14" t="s">
        <v>134</v>
      </c>
      <c r="E9" s="15" t="s">
        <v>9</v>
      </c>
    </row>
    <row r="10">
      <c r="A10" s="7">
        <v>0.09305555555555556</v>
      </c>
      <c r="B10" s="12" t="s">
        <v>133</v>
      </c>
      <c r="C10" s="44"/>
      <c r="D10" s="14" t="s">
        <v>135</v>
      </c>
      <c r="E10" s="15" t="s">
        <v>13</v>
      </c>
    </row>
    <row r="11">
      <c r="A11" s="7">
        <v>0.10277777777777777</v>
      </c>
      <c r="B11" s="12" t="s">
        <v>136</v>
      </c>
      <c r="C11" s="44"/>
      <c r="D11" s="14" t="s">
        <v>134</v>
      </c>
      <c r="E11" s="15" t="s">
        <v>9</v>
      </c>
    </row>
    <row r="12">
      <c r="A12" s="7">
        <v>0.10277777777777777</v>
      </c>
      <c r="B12" s="12" t="s">
        <v>133</v>
      </c>
      <c r="C12" s="44"/>
      <c r="D12" s="14" t="s">
        <v>137</v>
      </c>
      <c r="E12" s="15" t="s">
        <v>13</v>
      </c>
    </row>
    <row r="13">
      <c r="A13" s="7">
        <v>0.11319444444444444</v>
      </c>
      <c r="B13" s="12" t="s">
        <v>134</v>
      </c>
      <c r="C13" s="44"/>
      <c r="D13" s="14" t="s">
        <v>133</v>
      </c>
      <c r="E13" s="15" t="s">
        <v>9</v>
      </c>
    </row>
    <row r="14">
      <c r="A14" s="7">
        <v>0.11319444444444444</v>
      </c>
      <c r="B14" s="12" t="s">
        <v>136</v>
      </c>
      <c r="C14" s="44"/>
      <c r="D14" s="14" t="s">
        <v>135</v>
      </c>
      <c r="E14" s="15" t="s">
        <v>13</v>
      </c>
    </row>
    <row r="15">
      <c r="A15" s="7">
        <v>0.12361111111111112</v>
      </c>
      <c r="B15" s="12" t="s">
        <v>134</v>
      </c>
      <c r="C15" s="23"/>
      <c r="D15" s="14" t="s">
        <v>135</v>
      </c>
      <c r="E15" s="15" t="s">
        <v>9</v>
      </c>
    </row>
    <row r="16">
      <c r="A16" s="7">
        <v>0.12361111111111112</v>
      </c>
      <c r="B16" s="12" t="s">
        <v>136</v>
      </c>
      <c r="C16" s="23"/>
      <c r="D16" s="14" t="s">
        <v>137</v>
      </c>
      <c r="E16" s="15" t="s">
        <v>13</v>
      </c>
    </row>
    <row r="17">
      <c r="A17" s="7">
        <v>0.13333333333333333</v>
      </c>
      <c r="B17" s="12" t="s">
        <v>135</v>
      </c>
      <c r="C17" s="23"/>
      <c r="D17" s="14" t="s">
        <v>137</v>
      </c>
      <c r="E17" s="15" t="s">
        <v>9</v>
      </c>
    </row>
    <row r="18">
      <c r="A18" s="7">
        <v>0.13333333333333333</v>
      </c>
      <c r="B18" s="12" t="s">
        <v>133</v>
      </c>
      <c r="C18" s="23"/>
      <c r="D18" s="14" t="s">
        <v>136</v>
      </c>
      <c r="E18" s="15" t="s">
        <v>13</v>
      </c>
    </row>
    <row r="19">
      <c r="A19" s="7">
        <v>0.14375</v>
      </c>
      <c r="B19" s="12" t="s">
        <v>134</v>
      </c>
      <c r="C19" s="23"/>
      <c r="D19" s="14" t="s">
        <v>137</v>
      </c>
      <c r="E19" s="15" t="s">
        <v>9</v>
      </c>
    </row>
    <row r="20">
      <c r="A20" s="7">
        <v>0.14375</v>
      </c>
      <c r="B20" s="12" t="s">
        <v>135</v>
      </c>
      <c r="C20" s="23"/>
      <c r="D20" s="14" t="s">
        <v>133</v>
      </c>
      <c r="E20" s="15" t="s">
        <v>13</v>
      </c>
    </row>
    <row r="21">
      <c r="A21" s="7">
        <v>0.15416666666666667</v>
      </c>
      <c r="B21" s="12" t="s">
        <v>134</v>
      </c>
      <c r="C21" s="23"/>
      <c r="D21" s="14" t="s">
        <v>136</v>
      </c>
      <c r="E21" s="15" t="s">
        <v>9</v>
      </c>
    </row>
    <row r="22">
      <c r="A22" s="7">
        <v>0.15416666666666667</v>
      </c>
      <c r="B22" s="12" t="s">
        <v>137</v>
      </c>
      <c r="C22" s="23"/>
      <c r="D22" s="14" t="s">
        <v>133</v>
      </c>
      <c r="E22" s="15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138</v>
      </c>
      <c r="C25" s="21"/>
      <c r="D25" s="10" t="s">
        <v>139</v>
      </c>
      <c r="E25" s="15" t="s">
        <v>29</v>
      </c>
    </row>
    <row r="26">
      <c r="A26" s="7">
        <v>0.0625</v>
      </c>
      <c r="B26" s="12" t="s">
        <v>140</v>
      </c>
      <c r="C26" s="21"/>
      <c r="D26" s="14" t="s">
        <v>141</v>
      </c>
      <c r="E26" s="15" t="s">
        <v>33</v>
      </c>
    </row>
    <row r="27">
      <c r="A27" s="7">
        <v>0.07222222222222222</v>
      </c>
      <c r="B27" s="12" t="s">
        <v>140</v>
      </c>
      <c r="C27" s="21"/>
      <c r="D27" s="14" t="s">
        <v>139</v>
      </c>
      <c r="E27" s="15" t="s">
        <v>29</v>
      </c>
    </row>
    <row r="28">
      <c r="A28" s="7">
        <v>0.07222222222222222</v>
      </c>
      <c r="B28" s="12" t="s">
        <v>142</v>
      </c>
      <c r="C28" s="21"/>
      <c r="D28" s="14" t="s">
        <v>141</v>
      </c>
      <c r="E28" s="15" t="s">
        <v>33</v>
      </c>
    </row>
    <row r="29">
      <c r="A29" s="7">
        <v>0.08263888888888889</v>
      </c>
      <c r="B29" s="12" t="s">
        <v>142</v>
      </c>
      <c r="C29" s="21"/>
      <c r="D29" s="14" t="s">
        <v>140</v>
      </c>
      <c r="E29" s="15" t="s">
        <v>29</v>
      </c>
    </row>
    <row r="30">
      <c r="A30" s="7">
        <v>0.08263888888888889</v>
      </c>
      <c r="B30" s="12" t="s">
        <v>141</v>
      </c>
      <c r="C30" s="21"/>
      <c r="D30" s="14" t="s">
        <v>138</v>
      </c>
      <c r="E30" s="15" t="s">
        <v>33</v>
      </c>
    </row>
    <row r="31">
      <c r="A31" s="7">
        <v>0.09305555555555556</v>
      </c>
      <c r="B31" s="12" t="s">
        <v>142</v>
      </c>
      <c r="C31" s="21"/>
      <c r="D31" s="14" t="s">
        <v>139</v>
      </c>
      <c r="E31" s="15" t="s">
        <v>29</v>
      </c>
    </row>
    <row r="32">
      <c r="A32" s="7">
        <v>0.09305555555555556</v>
      </c>
      <c r="B32" s="12" t="s">
        <v>138</v>
      </c>
      <c r="C32" s="21"/>
      <c r="D32" s="14" t="s">
        <v>140</v>
      </c>
      <c r="E32" s="15" t="s">
        <v>33</v>
      </c>
    </row>
    <row r="33">
      <c r="A33" s="7">
        <v>0.10277777777777777</v>
      </c>
      <c r="B33" s="12" t="s">
        <v>141</v>
      </c>
      <c r="C33" s="21"/>
      <c r="D33" s="14" t="s">
        <v>139</v>
      </c>
      <c r="E33" s="15" t="s">
        <v>29</v>
      </c>
    </row>
    <row r="34">
      <c r="A34" s="7">
        <v>0.10277777777777777</v>
      </c>
      <c r="B34" s="12" t="s">
        <v>138</v>
      </c>
      <c r="C34" s="21"/>
      <c r="D34" s="14" t="s">
        <v>142</v>
      </c>
      <c r="E34" s="15" t="s">
        <v>33</v>
      </c>
    </row>
    <row r="35">
      <c r="A35" s="7">
        <v>0.11319444444444444</v>
      </c>
      <c r="B35" s="12" t="s">
        <v>139</v>
      </c>
      <c r="C35" s="21"/>
      <c r="D35" s="14" t="s">
        <v>138</v>
      </c>
      <c r="E35" s="15" t="s">
        <v>29</v>
      </c>
    </row>
    <row r="36">
      <c r="A36" s="7">
        <v>0.11319444444444444</v>
      </c>
      <c r="B36" s="12" t="s">
        <v>141</v>
      </c>
      <c r="C36" s="21"/>
      <c r="D36" s="14" t="s">
        <v>140</v>
      </c>
      <c r="E36" s="15" t="s">
        <v>33</v>
      </c>
    </row>
    <row r="37">
      <c r="A37" s="7">
        <v>0.12361111111111112</v>
      </c>
      <c r="B37" s="12" t="s">
        <v>139</v>
      </c>
      <c r="C37" s="21"/>
      <c r="D37" s="14" t="s">
        <v>140</v>
      </c>
      <c r="E37" s="15" t="s">
        <v>29</v>
      </c>
    </row>
    <row r="38">
      <c r="A38" s="7">
        <v>0.12361111111111112</v>
      </c>
      <c r="B38" s="12" t="s">
        <v>141</v>
      </c>
      <c r="C38" s="21"/>
      <c r="D38" s="14" t="s">
        <v>142</v>
      </c>
      <c r="E38" s="15" t="s">
        <v>33</v>
      </c>
    </row>
    <row r="39">
      <c r="A39" s="7">
        <v>0.13333333333333333</v>
      </c>
      <c r="B39" s="12" t="s">
        <v>140</v>
      </c>
      <c r="C39" s="21"/>
      <c r="D39" s="14" t="s">
        <v>142</v>
      </c>
      <c r="E39" s="15" t="s">
        <v>29</v>
      </c>
    </row>
    <row r="40">
      <c r="A40" s="7">
        <v>0.13333333333333333</v>
      </c>
      <c r="B40" s="12" t="s">
        <v>138</v>
      </c>
      <c r="C40" s="21"/>
      <c r="D40" s="14" t="s">
        <v>141</v>
      </c>
      <c r="E40" s="15" t="s">
        <v>33</v>
      </c>
    </row>
    <row r="41">
      <c r="A41" s="7">
        <v>0.14375</v>
      </c>
      <c r="B41" s="12" t="s">
        <v>139</v>
      </c>
      <c r="C41" s="21"/>
      <c r="D41" s="14" t="s">
        <v>142</v>
      </c>
      <c r="E41" s="15" t="s">
        <v>29</v>
      </c>
    </row>
    <row r="42">
      <c r="A42" s="7">
        <v>0.14375</v>
      </c>
      <c r="B42" s="12" t="s">
        <v>140</v>
      </c>
      <c r="C42" s="21"/>
      <c r="D42" s="14" t="s">
        <v>138</v>
      </c>
      <c r="E42" s="15" t="s">
        <v>33</v>
      </c>
    </row>
    <row r="43">
      <c r="A43" s="7">
        <v>0.15416666666666667</v>
      </c>
      <c r="B43" s="12" t="s">
        <v>139</v>
      </c>
      <c r="C43" s="21"/>
      <c r="D43" s="14" t="s">
        <v>141</v>
      </c>
      <c r="E43" s="15" t="s">
        <v>29</v>
      </c>
    </row>
    <row r="44">
      <c r="A44" s="7">
        <v>0.15416666666666667</v>
      </c>
      <c r="B44" s="12" t="s">
        <v>142</v>
      </c>
      <c r="C44" s="21"/>
      <c r="D44" s="14" t="s">
        <v>138</v>
      </c>
      <c r="E44" s="15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143</v>
      </c>
      <c r="C47" s="22"/>
      <c r="D47" s="10" t="s">
        <v>144</v>
      </c>
      <c r="E47" s="15" t="s">
        <v>9</v>
      </c>
    </row>
    <row r="48">
      <c r="A48" s="7">
        <v>0.16666666666666666</v>
      </c>
      <c r="B48" s="12" t="s">
        <v>145</v>
      </c>
      <c r="C48" s="23"/>
      <c r="D48" s="14" t="s">
        <v>146</v>
      </c>
      <c r="E48" s="15" t="s">
        <v>13</v>
      </c>
    </row>
    <row r="49">
      <c r="A49" s="7">
        <v>0.1763888888888889</v>
      </c>
      <c r="B49" s="12" t="s">
        <v>145</v>
      </c>
      <c r="C49" s="23"/>
      <c r="D49" s="14" t="s">
        <v>144</v>
      </c>
      <c r="E49" s="15" t="s">
        <v>9</v>
      </c>
    </row>
    <row r="50">
      <c r="A50" s="7">
        <v>0.1763888888888889</v>
      </c>
      <c r="B50" s="12" t="s">
        <v>49</v>
      </c>
      <c r="C50" s="23"/>
      <c r="D50" s="14" t="s">
        <v>146</v>
      </c>
      <c r="E50" s="15" t="s">
        <v>13</v>
      </c>
    </row>
    <row r="51">
      <c r="A51" s="7">
        <v>0.18680555555555556</v>
      </c>
      <c r="B51" s="12" t="s">
        <v>49</v>
      </c>
      <c r="C51" s="23"/>
      <c r="D51" s="14" t="s">
        <v>145</v>
      </c>
      <c r="E51" s="15" t="s">
        <v>9</v>
      </c>
    </row>
    <row r="52">
      <c r="A52" s="7">
        <v>0.18680555555555556</v>
      </c>
      <c r="B52" s="12" t="s">
        <v>146</v>
      </c>
      <c r="C52" s="23"/>
      <c r="D52" s="14" t="s">
        <v>143</v>
      </c>
      <c r="E52" s="15" t="s">
        <v>13</v>
      </c>
    </row>
    <row r="53">
      <c r="A53" s="7">
        <v>0.19722222222222222</v>
      </c>
      <c r="B53" s="12" t="s">
        <v>49</v>
      </c>
      <c r="C53" s="23"/>
      <c r="D53" s="14" t="s">
        <v>144</v>
      </c>
      <c r="E53" s="15" t="s">
        <v>9</v>
      </c>
    </row>
    <row r="54">
      <c r="A54" s="7">
        <v>0.19722222222222222</v>
      </c>
      <c r="B54" s="12" t="s">
        <v>143</v>
      </c>
      <c r="C54" s="23"/>
      <c r="D54" s="14" t="s">
        <v>145</v>
      </c>
      <c r="E54" s="15" t="s">
        <v>13</v>
      </c>
    </row>
    <row r="55">
      <c r="A55" s="7">
        <v>0.20694444444444443</v>
      </c>
      <c r="B55" s="12" t="s">
        <v>146</v>
      </c>
      <c r="C55" s="23"/>
      <c r="D55" s="14" t="s">
        <v>144</v>
      </c>
      <c r="E55" s="15" t="s">
        <v>9</v>
      </c>
    </row>
    <row r="56">
      <c r="A56" s="7">
        <v>0.20694444444444443</v>
      </c>
      <c r="B56" s="12" t="s">
        <v>143</v>
      </c>
      <c r="C56" s="23"/>
      <c r="D56" s="14" t="s">
        <v>49</v>
      </c>
      <c r="E56" s="15" t="s">
        <v>13</v>
      </c>
    </row>
    <row r="57">
      <c r="A57" s="7">
        <v>0.21736111111111112</v>
      </c>
      <c r="B57" s="12" t="s">
        <v>144</v>
      </c>
      <c r="C57" s="23"/>
      <c r="D57" s="14" t="s">
        <v>143</v>
      </c>
      <c r="E57" s="15" t="s">
        <v>9</v>
      </c>
    </row>
    <row r="58">
      <c r="A58" s="7">
        <v>0.21736111111111112</v>
      </c>
      <c r="B58" s="12" t="s">
        <v>146</v>
      </c>
      <c r="C58" s="23"/>
      <c r="D58" s="14" t="s">
        <v>145</v>
      </c>
      <c r="E58" s="15" t="s">
        <v>13</v>
      </c>
    </row>
    <row r="59">
      <c r="A59" s="7">
        <v>0.22777777777777777</v>
      </c>
      <c r="B59" s="12" t="s">
        <v>144</v>
      </c>
      <c r="C59" s="23"/>
      <c r="D59" s="14" t="s">
        <v>145</v>
      </c>
      <c r="E59" s="15" t="s">
        <v>9</v>
      </c>
    </row>
    <row r="60">
      <c r="A60" s="7">
        <v>0.22777777777777777</v>
      </c>
      <c r="B60" s="12" t="s">
        <v>146</v>
      </c>
      <c r="C60" s="23"/>
      <c r="D60" s="14" t="s">
        <v>49</v>
      </c>
      <c r="E60" s="15" t="s">
        <v>13</v>
      </c>
    </row>
    <row r="61">
      <c r="A61" s="7">
        <v>0.2375</v>
      </c>
      <c r="B61" s="12" t="s">
        <v>145</v>
      </c>
      <c r="C61" s="23"/>
      <c r="D61" s="14" t="s">
        <v>49</v>
      </c>
      <c r="E61" s="15" t="s">
        <v>9</v>
      </c>
    </row>
    <row r="62">
      <c r="A62" s="7">
        <v>0.2375</v>
      </c>
      <c r="B62" s="12" t="s">
        <v>143</v>
      </c>
      <c r="C62" s="23"/>
      <c r="D62" s="14" t="s">
        <v>146</v>
      </c>
      <c r="E62" s="15" t="s">
        <v>13</v>
      </c>
    </row>
    <row r="63">
      <c r="A63" s="7">
        <v>0.24791666666666667</v>
      </c>
      <c r="B63" s="12" t="s">
        <v>144</v>
      </c>
      <c r="C63" s="23"/>
      <c r="D63" s="14" t="s">
        <v>49</v>
      </c>
      <c r="E63" s="15" t="s">
        <v>9</v>
      </c>
    </row>
    <row r="64">
      <c r="A64" s="7">
        <v>0.24791666666666667</v>
      </c>
      <c r="B64" s="12" t="s">
        <v>145</v>
      </c>
      <c r="C64" s="23"/>
      <c r="D64" s="14" t="s">
        <v>143</v>
      </c>
      <c r="E64" s="15" t="s">
        <v>13</v>
      </c>
    </row>
    <row r="65">
      <c r="A65" s="7">
        <v>0.25833333333333336</v>
      </c>
      <c r="B65" s="12" t="s">
        <v>144</v>
      </c>
      <c r="C65" s="23"/>
      <c r="D65" s="14" t="s">
        <v>146</v>
      </c>
      <c r="E65" s="15" t="s">
        <v>9</v>
      </c>
    </row>
    <row r="66">
      <c r="A66" s="7">
        <v>0.25833333333333336</v>
      </c>
      <c r="B66" s="12" t="s">
        <v>49</v>
      </c>
      <c r="C66" s="23"/>
      <c r="D66" s="14" t="s">
        <v>143</v>
      </c>
      <c r="E66" s="15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147</v>
      </c>
      <c r="C69" s="21"/>
      <c r="D69" s="10" t="s">
        <v>148</v>
      </c>
      <c r="E69" s="15" t="s">
        <v>29</v>
      </c>
    </row>
    <row r="70">
      <c r="A70" s="7">
        <v>0.16666666666666666</v>
      </c>
      <c r="B70" s="12" t="s">
        <v>149</v>
      </c>
      <c r="C70" s="21"/>
      <c r="D70" s="14" t="s">
        <v>150</v>
      </c>
      <c r="E70" s="15" t="s">
        <v>33</v>
      </c>
    </row>
    <row r="71">
      <c r="A71" s="7">
        <v>0.1763888888888889</v>
      </c>
      <c r="B71" s="12" t="s">
        <v>149</v>
      </c>
      <c r="C71" s="21"/>
      <c r="D71" s="14" t="s">
        <v>148</v>
      </c>
      <c r="E71" s="15" t="s">
        <v>29</v>
      </c>
    </row>
    <row r="72">
      <c r="A72" s="7">
        <v>0.1763888888888889</v>
      </c>
      <c r="B72" s="12" t="s">
        <v>151</v>
      </c>
      <c r="C72" s="21"/>
      <c r="D72" s="14" t="s">
        <v>150</v>
      </c>
      <c r="E72" s="15" t="s">
        <v>33</v>
      </c>
    </row>
    <row r="73">
      <c r="A73" s="7">
        <v>0.18680555555555556</v>
      </c>
      <c r="B73" s="12" t="s">
        <v>151</v>
      </c>
      <c r="C73" s="21"/>
      <c r="D73" s="14" t="s">
        <v>149</v>
      </c>
      <c r="E73" s="15" t="s">
        <v>29</v>
      </c>
    </row>
    <row r="74">
      <c r="A74" s="7">
        <v>0.18680555555555556</v>
      </c>
      <c r="B74" s="12" t="s">
        <v>150</v>
      </c>
      <c r="C74" s="21"/>
      <c r="D74" s="14" t="s">
        <v>147</v>
      </c>
      <c r="E74" s="15" t="s">
        <v>33</v>
      </c>
    </row>
    <row r="75">
      <c r="A75" s="7">
        <v>0.19722222222222222</v>
      </c>
      <c r="B75" s="12" t="s">
        <v>151</v>
      </c>
      <c r="C75" s="21"/>
      <c r="D75" s="14" t="s">
        <v>148</v>
      </c>
      <c r="E75" s="15" t="s">
        <v>29</v>
      </c>
    </row>
    <row r="76">
      <c r="A76" s="7">
        <v>0.19722222222222222</v>
      </c>
      <c r="B76" s="12" t="s">
        <v>147</v>
      </c>
      <c r="C76" s="21"/>
      <c r="D76" s="14" t="s">
        <v>149</v>
      </c>
      <c r="E76" s="15" t="s">
        <v>33</v>
      </c>
    </row>
    <row r="77">
      <c r="A77" s="7">
        <v>0.20694444444444443</v>
      </c>
      <c r="B77" s="12" t="s">
        <v>150</v>
      </c>
      <c r="C77" s="21"/>
      <c r="D77" s="14" t="s">
        <v>148</v>
      </c>
      <c r="E77" s="15" t="s">
        <v>29</v>
      </c>
    </row>
    <row r="78">
      <c r="A78" s="7">
        <v>0.20694444444444443</v>
      </c>
      <c r="B78" s="12" t="s">
        <v>147</v>
      </c>
      <c r="C78" s="21"/>
      <c r="D78" s="14" t="s">
        <v>151</v>
      </c>
      <c r="E78" s="15" t="s">
        <v>33</v>
      </c>
    </row>
    <row r="79">
      <c r="A79" s="7">
        <v>0.21736111111111112</v>
      </c>
      <c r="B79" s="12" t="s">
        <v>148</v>
      </c>
      <c r="C79" s="21"/>
      <c r="D79" s="14" t="s">
        <v>147</v>
      </c>
      <c r="E79" s="15" t="s">
        <v>29</v>
      </c>
    </row>
    <row r="80">
      <c r="A80" s="7">
        <v>0.21736111111111112</v>
      </c>
      <c r="B80" s="12" t="s">
        <v>150</v>
      </c>
      <c r="C80" s="21"/>
      <c r="D80" s="14" t="s">
        <v>149</v>
      </c>
      <c r="E80" s="15" t="s">
        <v>33</v>
      </c>
    </row>
    <row r="81">
      <c r="A81" s="7">
        <v>0.22777777777777777</v>
      </c>
      <c r="B81" s="12" t="s">
        <v>148</v>
      </c>
      <c r="C81" s="21"/>
      <c r="D81" s="14" t="s">
        <v>149</v>
      </c>
      <c r="E81" s="15" t="s">
        <v>29</v>
      </c>
    </row>
    <row r="82">
      <c r="A82" s="7">
        <v>0.22777777777777777</v>
      </c>
      <c r="B82" s="12" t="s">
        <v>150</v>
      </c>
      <c r="C82" s="21"/>
      <c r="D82" s="14" t="s">
        <v>151</v>
      </c>
      <c r="E82" s="15" t="s">
        <v>33</v>
      </c>
    </row>
    <row r="83">
      <c r="A83" s="7">
        <v>0.2375</v>
      </c>
      <c r="B83" s="12" t="s">
        <v>149</v>
      </c>
      <c r="C83" s="21"/>
      <c r="D83" s="14" t="s">
        <v>151</v>
      </c>
      <c r="E83" s="15" t="s">
        <v>29</v>
      </c>
    </row>
    <row r="84">
      <c r="A84" s="7">
        <v>0.2375</v>
      </c>
      <c r="B84" s="12" t="s">
        <v>147</v>
      </c>
      <c r="C84" s="21"/>
      <c r="D84" s="14" t="s">
        <v>150</v>
      </c>
      <c r="E84" s="15" t="s">
        <v>33</v>
      </c>
    </row>
    <row r="85">
      <c r="A85" s="7">
        <v>0.24791666666666667</v>
      </c>
      <c r="B85" s="12" t="s">
        <v>148</v>
      </c>
      <c r="C85" s="21"/>
      <c r="D85" s="14" t="s">
        <v>151</v>
      </c>
      <c r="E85" s="15" t="s">
        <v>29</v>
      </c>
    </row>
    <row r="86">
      <c r="A86" s="7">
        <v>0.24791666666666667</v>
      </c>
      <c r="B86" s="12" t="s">
        <v>149</v>
      </c>
      <c r="C86" s="21"/>
      <c r="D86" s="14" t="s">
        <v>147</v>
      </c>
      <c r="E86" s="15" t="s">
        <v>33</v>
      </c>
    </row>
    <row r="87">
      <c r="A87" s="7">
        <v>0.25833333333333336</v>
      </c>
      <c r="B87" s="12" t="s">
        <v>148</v>
      </c>
      <c r="C87" s="21"/>
      <c r="D87" s="14" t="s">
        <v>150</v>
      </c>
      <c r="E87" s="15" t="s">
        <v>29</v>
      </c>
    </row>
    <row r="88">
      <c r="A88" s="24">
        <v>0.25833333333333336</v>
      </c>
      <c r="B88" s="12" t="s">
        <v>151</v>
      </c>
      <c r="C88" s="21"/>
      <c r="D88" s="14" t="s">
        <v>147</v>
      </c>
      <c r="E88" s="15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152</v>
      </c>
      <c r="C3" s="9" t="s">
        <v>43</v>
      </c>
      <c r="D3" s="10" t="s">
        <v>153</v>
      </c>
      <c r="E3" s="11" t="s">
        <v>9</v>
      </c>
    </row>
    <row r="4">
      <c r="A4" s="7">
        <v>0.0625</v>
      </c>
      <c r="B4" s="12" t="s">
        <v>154</v>
      </c>
      <c r="C4" s="13" t="s">
        <v>155</v>
      </c>
      <c r="D4" s="14" t="s">
        <v>156</v>
      </c>
      <c r="E4" s="11" t="s">
        <v>13</v>
      </c>
    </row>
    <row r="5">
      <c r="A5" s="7">
        <v>0.07222222222222222</v>
      </c>
      <c r="B5" s="12" t="s">
        <v>154</v>
      </c>
      <c r="C5" s="13" t="s">
        <v>157</v>
      </c>
      <c r="D5" s="14" t="s">
        <v>153</v>
      </c>
      <c r="E5" s="11" t="s">
        <v>9</v>
      </c>
    </row>
    <row r="6">
      <c r="A6" s="7">
        <v>0.07222222222222222</v>
      </c>
      <c r="B6" s="12" t="s">
        <v>6</v>
      </c>
      <c r="C6" s="13" t="s">
        <v>16</v>
      </c>
      <c r="D6" s="14" t="s">
        <v>156</v>
      </c>
      <c r="E6" s="11" t="s">
        <v>13</v>
      </c>
    </row>
    <row r="7">
      <c r="A7" s="7">
        <v>0.08263888888888889</v>
      </c>
      <c r="B7" s="12" t="s">
        <v>6</v>
      </c>
      <c r="C7" s="13" t="s">
        <v>155</v>
      </c>
      <c r="D7" s="14" t="s">
        <v>154</v>
      </c>
      <c r="E7" s="11" t="s">
        <v>9</v>
      </c>
    </row>
    <row r="8">
      <c r="A8" s="7">
        <v>0.08263888888888889</v>
      </c>
      <c r="B8" s="12" t="s">
        <v>156</v>
      </c>
      <c r="C8" s="13" t="s">
        <v>24</v>
      </c>
      <c r="D8" s="14" t="s">
        <v>152</v>
      </c>
      <c r="E8" s="11" t="s">
        <v>13</v>
      </c>
    </row>
    <row r="9">
      <c r="A9" s="7">
        <v>0.09305555555555556</v>
      </c>
      <c r="B9" s="12" t="s">
        <v>6</v>
      </c>
      <c r="C9" s="13" t="s">
        <v>158</v>
      </c>
      <c r="D9" s="14" t="s">
        <v>153</v>
      </c>
      <c r="E9" s="11" t="s">
        <v>9</v>
      </c>
    </row>
    <row r="10">
      <c r="A10" s="7">
        <v>0.09305555555555556</v>
      </c>
      <c r="B10" s="12" t="s">
        <v>152</v>
      </c>
      <c r="C10" s="13" t="s">
        <v>159</v>
      </c>
      <c r="D10" s="14" t="s">
        <v>154</v>
      </c>
      <c r="E10" s="11" t="s">
        <v>13</v>
      </c>
    </row>
    <row r="11">
      <c r="A11" s="7">
        <v>0.10277777777777777</v>
      </c>
      <c r="B11" s="12" t="s">
        <v>156</v>
      </c>
      <c r="C11" s="13" t="s">
        <v>160</v>
      </c>
      <c r="D11" s="14" t="s">
        <v>153</v>
      </c>
      <c r="E11" s="11" t="s">
        <v>9</v>
      </c>
    </row>
    <row r="12">
      <c r="A12" s="7">
        <v>0.10277777777777777</v>
      </c>
      <c r="B12" s="12" t="s">
        <v>152</v>
      </c>
      <c r="C12" s="13" t="s">
        <v>161</v>
      </c>
      <c r="D12" s="14" t="s">
        <v>6</v>
      </c>
      <c r="E12" s="11" t="s">
        <v>13</v>
      </c>
    </row>
    <row r="13">
      <c r="A13" s="7">
        <v>0.11319444444444444</v>
      </c>
      <c r="B13" s="12" t="s">
        <v>153</v>
      </c>
      <c r="C13" s="13" t="s">
        <v>162</v>
      </c>
      <c r="D13" s="14" t="s">
        <v>152</v>
      </c>
      <c r="E13" s="11" t="s">
        <v>9</v>
      </c>
    </row>
    <row r="14">
      <c r="A14" s="7">
        <v>0.11319444444444444</v>
      </c>
      <c r="B14" s="12" t="s">
        <v>156</v>
      </c>
      <c r="C14" s="13" t="s">
        <v>7</v>
      </c>
      <c r="D14" s="14" t="s">
        <v>154</v>
      </c>
      <c r="E14" s="11" t="s">
        <v>13</v>
      </c>
    </row>
    <row r="15">
      <c r="A15" s="7">
        <v>0.12361111111111112</v>
      </c>
      <c r="B15" s="12" t="s">
        <v>153</v>
      </c>
      <c r="C15" s="16" t="s">
        <v>163</v>
      </c>
      <c r="D15" s="14" t="s">
        <v>154</v>
      </c>
      <c r="E15" s="11" t="s">
        <v>9</v>
      </c>
    </row>
    <row r="16">
      <c r="A16" s="7">
        <v>0.12361111111111112</v>
      </c>
      <c r="B16" s="12" t="s">
        <v>156</v>
      </c>
      <c r="C16" s="16" t="s">
        <v>164</v>
      </c>
      <c r="D16" s="14" t="s">
        <v>6</v>
      </c>
      <c r="E16" s="11" t="s">
        <v>13</v>
      </c>
    </row>
    <row r="17">
      <c r="A17" s="7">
        <v>0.13333333333333333</v>
      </c>
      <c r="B17" s="12" t="s">
        <v>154</v>
      </c>
      <c r="C17" s="16" t="s">
        <v>19</v>
      </c>
      <c r="D17" s="14" t="s">
        <v>6</v>
      </c>
      <c r="E17" s="11" t="s">
        <v>9</v>
      </c>
    </row>
    <row r="18">
      <c r="A18" s="7">
        <v>0.13333333333333333</v>
      </c>
      <c r="B18" s="12" t="s">
        <v>152</v>
      </c>
      <c r="C18" s="16" t="s">
        <v>158</v>
      </c>
      <c r="D18" s="14" t="s">
        <v>156</v>
      </c>
      <c r="E18" s="11" t="s">
        <v>13</v>
      </c>
    </row>
    <row r="19">
      <c r="A19" s="7">
        <v>0.14375</v>
      </c>
      <c r="B19" s="12" t="s">
        <v>153</v>
      </c>
      <c r="C19" s="16" t="s">
        <v>165</v>
      </c>
      <c r="D19" s="14" t="s">
        <v>6</v>
      </c>
      <c r="E19" s="11" t="s">
        <v>9</v>
      </c>
    </row>
    <row r="20">
      <c r="A20" s="7">
        <v>0.14375</v>
      </c>
      <c r="B20" s="12" t="s">
        <v>154</v>
      </c>
      <c r="C20" s="16" t="s">
        <v>24</v>
      </c>
      <c r="D20" s="14" t="s">
        <v>152</v>
      </c>
      <c r="E20" s="11" t="s">
        <v>13</v>
      </c>
    </row>
    <row r="21">
      <c r="A21" s="7">
        <v>0.15416666666666667</v>
      </c>
      <c r="B21" s="12" t="s">
        <v>153</v>
      </c>
      <c r="C21" s="16" t="s">
        <v>166</v>
      </c>
      <c r="D21" s="14" t="s">
        <v>156</v>
      </c>
      <c r="E21" s="11" t="s">
        <v>9</v>
      </c>
    </row>
    <row r="22">
      <c r="A22" s="7">
        <v>0.15416666666666667</v>
      </c>
      <c r="B22" s="12" t="s">
        <v>6</v>
      </c>
      <c r="C22" s="16" t="s">
        <v>155</v>
      </c>
      <c r="D22" s="14" t="s">
        <v>152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167</v>
      </c>
      <c r="C25" s="45" t="s">
        <v>168</v>
      </c>
      <c r="D25" s="10" t="s">
        <v>169</v>
      </c>
      <c r="E25" s="11" t="s">
        <v>29</v>
      </c>
    </row>
    <row r="26">
      <c r="A26" s="7">
        <v>0.0625</v>
      </c>
      <c r="B26" s="12" t="s">
        <v>170</v>
      </c>
      <c r="C26" s="45" t="s">
        <v>171</v>
      </c>
      <c r="D26" s="14" t="s">
        <v>172</v>
      </c>
      <c r="E26" s="11" t="s">
        <v>33</v>
      </c>
    </row>
    <row r="27">
      <c r="A27" s="7">
        <v>0.07222222222222222</v>
      </c>
      <c r="B27" s="12" t="s">
        <v>170</v>
      </c>
      <c r="C27" s="45" t="s">
        <v>173</v>
      </c>
      <c r="D27" s="14" t="s">
        <v>169</v>
      </c>
      <c r="E27" s="11" t="s">
        <v>29</v>
      </c>
    </row>
    <row r="28">
      <c r="A28" s="7">
        <v>0.07222222222222222</v>
      </c>
      <c r="B28" s="12" t="s">
        <v>174</v>
      </c>
      <c r="C28" s="45" t="s">
        <v>175</v>
      </c>
      <c r="D28" s="14" t="s">
        <v>172</v>
      </c>
      <c r="E28" s="11" t="s">
        <v>33</v>
      </c>
    </row>
    <row r="29">
      <c r="A29" s="7">
        <v>0.08263888888888889</v>
      </c>
      <c r="B29" s="12" t="s">
        <v>174</v>
      </c>
      <c r="C29" s="45" t="s">
        <v>18</v>
      </c>
      <c r="D29" s="14" t="s">
        <v>170</v>
      </c>
      <c r="E29" s="11" t="s">
        <v>29</v>
      </c>
    </row>
    <row r="30">
      <c r="A30" s="7">
        <v>0.08263888888888889</v>
      </c>
      <c r="B30" s="12" t="s">
        <v>172</v>
      </c>
      <c r="C30" s="45" t="s">
        <v>176</v>
      </c>
      <c r="D30" s="14" t="s">
        <v>167</v>
      </c>
      <c r="E30" s="11" t="s">
        <v>33</v>
      </c>
    </row>
    <row r="31">
      <c r="A31" s="7">
        <v>0.09305555555555556</v>
      </c>
      <c r="B31" s="12" t="s">
        <v>174</v>
      </c>
      <c r="C31" s="45" t="s">
        <v>177</v>
      </c>
      <c r="D31" s="14" t="s">
        <v>169</v>
      </c>
      <c r="E31" s="11" t="s">
        <v>29</v>
      </c>
    </row>
    <row r="32">
      <c r="A32" s="7">
        <v>0.09305555555555556</v>
      </c>
      <c r="B32" s="12" t="s">
        <v>167</v>
      </c>
      <c r="C32" s="45" t="s">
        <v>178</v>
      </c>
      <c r="D32" s="14" t="s">
        <v>170</v>
      </c>
      <c r="E32" s="11" t="s">
        <v>33</v>
      </c>
    </row>
    <row r="33">
      <c r="A33" s="7">
        <v>0.10277777777777777</v>
      </c>
      <c r="B33" s="12" t="s">
        <v>172</v>
      </c>
      <c r="C33" s="45" t="s">
        <v>179</v>
      </c>
      <c r="D33" s="14" t="s">
        <v>169</v>
      </c>
      <c r="E33" s="11" t="s">
        <v>29</v>
      </c>
    </row>
    <row r="34">
      <c r="A34" s="7">
        <v>0.10277777777777777</v>
      </c>
      <c r="B34" s="12" t="s">
        <v>167</v>
      </c>
      <c r="C34" s="45" t="s">
        <v>180</v>
      </c>
      <c r="D34" s="14" t="s">
        <v>174</v>
      </c>
      <c r="E34" s="11" t="s">
        <v>33</v>
      </c>
    </row>
    <row r="35">
      <c r="A35" s="7">
        <v>0.11319444444444444</v>
      </c>
      <c r="B35" s="12" t="s">
        <v>169</v>
      </c>
      <c r="C35" s="45" t="s">
        <v>166</v>
      </c>
      <c r="D35" s="14" t="s">
        <v>167</v>
      </c>
      <c r="E35" s="11" t="s">
        <v>29</v>
      </c>
    </row>
    <row r="36">
      <c r="A36" s="7">
        <v>0.11319444444444444</v>
      </c>
      <c r="B36" s="12" t="s">
        <v>172</v>
      </c>
      <c r="C36" s="45" t="s">
        <v>162</v>
      </c>
      <c r="D36" s="14" t="s">
        <v>170</v>
      </c>
      <c r="E36" s="11" t="s">
        <v>33</v>
      </c>
    </row>
    <row r="37">
      <c r="A37" s="7">
        <v>0.12361111111111112</v>
      </c>
      <c r="B37" s="12" t="s">
        <v>169</v>
      </c>
      <c r="C37" s="45" t="s">
        <v>181</v>
      </c>
      <c r="D37" s="14" t="s">
        <v>170</v>
      </c>
      <c r="E37" s="11" t="s">
        <v>29</v>
      </c>
    </row>
    <row r="38">
      <c r="A38" s="7">
        <v>0.12361111111111112</v>
      </c>
      <c r="B38" s="12" t="s">
        <v>172</v>
      </c>
      <c r="C38" s="45" t="s">
        <v>182</v>
      </c>
      <c r="D38" s="14" t="s">
        <v>174</v>
      </c>
      <c r="E38" s="11" t="s">
        <v>33</v>
      </c>
    </row>
    <row r="39">
      <c r="A39" s="7">
        <v>0.13333333333333333</v>
      </c>
      <c r="B39" s="12" t="s">
        <v>170</v>
      </c>
      <c r="C39" s="45" t="s">
        <v>183</v>
      </c>
      <c r="D39" s="14" t="s">
        <v>174</v>
      </c>
      <c r="E39" s="11" t="s">
        <v>29</v>
      </c>
    </row>
    <row r="40">
      <c r="A40" s="7">
        <v>0.13333333333333333</v>
      </c>
      <c r="B40" s="12" t="s">
        <v>167</v>
      </c>
      <c r="C40" s="45" t="s">
        <v>17</v>
      </c>
      <c r="D40" s="14" t="s">
        <v>172</v>
      </c>
      <c r="E40" s="11" t="s">
        <v>33</v>
      </c>
    </row>
    <row r="41">
      <c r="A41" s="7">
        <v>0.14375</v>
      </c>
      <c r="B41" s="12" t="s">
        <v>169</v>
      </c>
      <c r="C41" s="45" t="s">
        <v>184</v>
      </c>
      <c r="D41" s="14" t="s">
        <v>174</v>
      </c>
      <c r="E41" s="11" t="s">
        <v>29</v>
      </c>
    </row>
    <row r="42">
      <c r="A42" s="7">
        <v>0.14375</v>
      </c>
      <c r="B42" s="12" t="s">
        <v>170</v>
      </c>
      <c r="C42" s="45" t="s">
        <v>185</v>
      </c>
      <c r="D42" s="14" t="s">
        <v>167</v>
      </c>
      <c r="E42" s="11" t="s">
        <v>33</v>
      </c>
    </row>
    <row r="43">
      <c r="A43" s="7">
        <v>0.15416666666666667</v>
      </c>
      <c r="B43" s="12" t="s">
        <v>169</v>
      </c>
      <c r="C43" s="45" t="s">
        <v>186</v>
      </c>
      <c r="D43" s="14" t="s">
        <v>172</v>
      </c>
      <c r="E43" s="11" t="s">
        <v>29</v>
      </c>
    </row>
    <row r="44">
      <c r="A44" s="7">
        <v>0.15416666666666667</v>
      </c>
      <c r="B44" s="12" t="s">
        <v>174</v>
      </c>
      <c r="C44" s="45" t="s">
        <v>187</v>
      </c>
      <c r="D44" s="14" t="s">
        <v>167</v>
      </c>
      <c r="E44" s="11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188</v>
      </c>
      <c r="C47" s="46" t="s">
        <v>189</v>
      </c>
      <c r="D47" s="10" t="s">
        <v>47</v>
      </c>
      <c r="E47" s="11" t="s">
        <v>9</v>
      </c>
    </row>
    <row r="48">
      <c r="A48" s="7">
        <v>0.16666666666666666</v>
      </c>
      <c r="B48" s="12" t="s">
        <v>190</v>
      </c>
      <c r="C48" s="16" t="s">
        <v>7</v>
      </c>
      <c r="D48" s="14" t="s">
        <v>191</v>
      </c>
      <c r="E48" s="11" t="s">
        <v>13</v>
      </c>
    </row>
    <row r="49">
      <c r="A49" s="7">
        <v>0.1763888888888889</v>
      </c>
      <c r="B49" s="12" t="s">
        <v>190</v>
      </c>
      <c r="C49" s="16" t="s">
        <v>23</v>
      </c>
      <c r="D49" s="14" t="s">
        <v>47</v>
      </c>
      <c r="E49" s="11" t="s">
        <v>9</v>
      </c>
    </row>
    <row r="50">
      <c r="A50" s="7">
        <v>0.1763888888888889</v>
      </c>
      <c r="B50" s="12" t="s">
        <v>192</v>
      </c>
      <c r="C50" s="16" t="s">
        <v>193</v>
      </c>
      <c r="D50" s="14" t="s">
        <v>191</v>
      </c>
      <c r="E50" s="11" t="s">
        <v>13</v>
      </c>
    </row>
    <row r="51">
      <c r="A51" s="7">
        <v>0.18680555555555556</v>
      </c>
      <c r="B51" s="12" t="s">
        <v>192</v>
      </c>
      <c r="C51" s="16" t="s">
        <v>17</v>
      </c>
      <c r="D51" s="14" t="s">
        <v>190</v>
      </c>
      <c r="E51" s="11" t="s">
        <v>9</v>
      </c>
    </row>
    <row r="52">
      <c r="A52" s="7">
        <v>0.18680555555555556</v>
      </c>
      <c r="B52" s="12" t="s">
        <v>191</v>
      </c>
      <c r="C52" s="16" t="s">
        <v>194</v>
      </c>
      <c r="D52" s="14" t="s">
        <v>188</v>
      </c>
      <c r="E52" s="11" t="s">
        <v>13</v>
      </c>
    </row>
    <row r="53">
      <c r="A53" s="7">
        <v>0.19722222222222222</v>
      </c>
      <c r="B53" s="12" t="s">
        <v>192</v>
      </c>
      <c r="C53" s="16" t="s">
        <v>41</v>
      </c>
      <c r="D53" s="14" t="s">
        <v>47</v>
      </c>
      <c r="E53" s="11" t="s">
        <v>9</v>
      </c>
    </row>
    <row r="54">
      <c r="A54" s="7">
        <v>0.19722222222222222</v>
      </c>
      <c r="B54" s="12" t="s">
        <v>188</v>
      </c>
      <c r="C54" s="16" t="s">
        <v>195</v>
      </c>
      <c r="D54" s="14" t="s">
        <v>190</v>
      </c>
      <c r="E54" s="11" t="s">
        <v>13</v>
      </c>
    </row>
    <row r="55">
      <c r="A55" s="7">
        <v>0.20694444444444443</v>
      </c>
      <c r="B55" s="12" t="s">
        <v>191</v>
      </c>
      <c r="C55" s="16" t="s">
        <v>18</v>
      </c>
      <c r="D55" s="14" t="s">
        <v>47</v>
      </c>
      <c r="E55" s="11" t="s">
        <v>9</v>
      </c>
    </row>
    <row r="56">
      <c r="A56" s="7">
        <v>0.20694444444444443</v>
      </c>
      <c r="B56" s="12" t="s">
        <v>188</v>
      </c>
      <c r="C56" s="16" t="s">
        <v>23</v>
      </c>
      <c r="D56" s="14" t="s">
        <v>192</v>
      </c>
      <c r="E56" s="11" t="s">
        <v>13</v>
      </c>
    </row>
    <row r="57">
      <c r="A57" s="7">
        <v>0.21736111111111112</v>
      </c>
      <c r="B57" s="12" t="s">
        <v>47</v>
      </c>
      <c r="C57" s="16" t="s">
        <v>196</v>
      </c>
      <c r="D57" s="14" t="s">
        <v>188</v>
      </c>
      <c r="E57" s="11" t="s">
        <v>9</v>
      </c>
    </row>
    <row r="58">
      <c r="A58" s="7">
        <v>0.21736111111111112</v>
      </c>
      <c r="B58" s="12" t="s">
        <v>191</v>
      </c>
      <c r="C58" s="16" t="s">
        <v>20</v>
      </c>
      <c r="D58" s="14" t="s">
        <v>190</v>
      </c>
      <c r="E58" s="11" t="s">
        <v>13</v>
      </c>
    </row>
    <row r="59">
      <c r="A59" s="7">
        <v>0.22777777777777777</v>
      </c>
      <c r="B59" s="12" t="s">
        <v>47</v>
      </c>
      <c r="C59" s="16" t="s">
        <v>196</v>
      </c>
      <c r="D59" s="14" t="s">
        <v>190</v>
      </c>
      <c r="E59" s="11" t="s">
        <v>9</v>
      </c>
    </row>
    <row r="60">
      <c r="A60" s="7">
        <v>0.22777777777777777</v>
      </c>
      <c r="B60" s="12" t="s">
        <v>191</v>
      </c>
      <c r="C60" s="16" t="s">
        <v>158</v>
      </c>
      <c r="D60" s="14" t="s">
        <v>192</v>
      </c>
      <c r="E60" s="11" t="s">
        <v>13</v>
      </c>
    </row>
    <row r="61">
      <c r="A61" s="7">
        <v>0.2375</v>
      </c>
      <c r="B61" s="12" t="s">
        <v>190</v>
      </c>
      <c r="C61" s="16" t="s">
        <v>7</v>
      </c>
      <c r="D61" s="14" t="s">
        <v>192</v>
      </c>
      <c r="E61" s="15" t="s">
        <v>9</v>
      </c>
    </row>
    <row r="62">
      <c r="A62" s="7">
        <v>0.2375</v>
      </c>
      <c r="B62" s="12" t="s">
        <v>188</v>
      </c>
      <c r="C62" s="16" t="s">
        <v>173</v>
      </c>
      <c r="D62" s="14" t="s">
        <v>191</v>
      </c>
      <c r="E62" s="11" t="s">
        <v>13</v>
      </c>
    </row>
    <row r="63">
      <c r="A63" s="7">
        <v>0.24791666666666667</v>
      </c>
      <c r="B63" s="12" t="s">
        <v>47</v>
      </c>
      <c r="C63" s="16" t="s">
        <v>158</v>
      </c>
      <c r="D63" s="14" t="s">
        <v>192</v>
      </c>
      <c r="E63" s="15" t="s">
        <v>9</v>
      </c>
    </row>
    <row r="64">
      <c r="A64" s="7">
        <v>0.24791666666666667</v>
      </c>
      <c r="B64" s="12" t="s">
        <v>190</v>
      </c>
      <c r="C64" s="16" t="s">
        <v>181</v>
      </c>
      <c r="D64" s="14" t="s">
        <v>188</v>
      </c>
      <c r="E64" s="11" t="s">
        <v>13</v>
      </c>
    </row>
    <row r="65">
      <c r="A65" s="7">
        <v>0.25833333333333336</v>
      </c>
      <c r="B65" s="12" t="s">
        <v>47</v>
      </c>
      <c r="C65" s="16" t="s">
        <v>197</v>
      </c>
      <c r="D65" s="14" t="s">
        <v>191</v>
      </c>
      <c r="E65" s="15" t="s">
        <v>9</v>
      </c>
    </row>
    <row r="66">
      <c r="A66" s="7">
        <v>0.25833333333333336</v>
      </c>
      <c r="B66" s="12" t="s">
        <v>192</v>
      </c>
      <c r="C66" s="16" t="s">
        <v>198</v>
      </c>
      <c r="D66" s="14" t="s">
        <v>188</v>
      </c>
      <c r="E66" s="11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199</v>
      </c>
      <c r="C69" s="45" t="s">
        <v>17</v>
      </c>
      <c r="D69" s="10" t="s">
        <v>200</v>
      </c>
      <c r="E69" s="11" t="s">
        <v>29</v>
      </c>
    </row>
    <row r="70">
      <c r="A70" s="7">
        <v>0.16666666666666666</v>
      </c>
      <c r="B70" s="12" t="s">
        <v>201</v>
      </c>
      <c r="C70" s="45" t="s">
        <v>202</v>
      </c>
      <c r="D70" s="14" t="s">
        <v>52</v>
      </c>
      <c r="E70" s="11" t="s">
        <v>33</v>
      </c>
    </row>
    <row r="71">
      <c r="A71" s="7">
        <v>0.1763888888888889</v>
      </c>
      <c r="B71" s="12" t="s">
        <v>201</v>
      </c>
      <c r="C71" s="45" t="s">
        <v>203</v>
      </c>
      <c r="D71" s="14" t="s">
        <v>200</v>
      </c>
      <c r="E71" s="11" t="s">
        <v>29</v>
      </c>
    </row>
    <row r="72">
      <c r="A72" s="7">
        <v>0.1763888888888889</v>
      </c>
      <c r="B72" s="12" t="s">
        <v>204</v>
      </c>
      <c r="C72" s="45" t="s">
        <v>205</v>
      </c>
      <c r="D72" s="14" t="s">
        <v>52</v>
      </c>
      <c r="E72" s="11" t="s">
        <v>33</v>
      </c>
    </row>
    <row r="73">
      <c r="A73" s="7">
        <v>0.18680555555555556</v>
      </c>
      <c r="B73" s="12" t="s">
        <v>204</v>
      </c>
      <c r="C73" s="45" t="s">
        <v>24</v>
      </c>
      <c r="D73" s="14" t="s">
        <v>201</v>
      </c>
      <c r="E73" s="11" t="s">
        <v>29</v>
      </c>
    </row>
    <row r="74">
      <c r="A74" s="7">
        <v>0.18680555555555556</v>
      </c>
      <c r="B74" s="12" t="s">
        <v>52</v>
      </c>
      <c r="C74" s="45" t="s">
        <v>37</v>
      </c>
      <c r="D74" s="14" t="s">
        <v>199</v>
      </c>
      <c r="E74" s="11" t="s">
        <v>33</v>
      </c>
    </row>
    <row r="75">
      <c r="A75" s="7">
        <v>0.19722222222222222</v>
      </c>
      <c r="B75" s="12" t="s">
        <v>204</v>
      </c>
      <c r="C75" s="45" t="s">
        <v>14</v>
      </c>
      <c r="D75" s="14" t="s">
        <v>200</v>
      </c>
      <c r="E75" s="11" t="s">
        <v>29</v>
      </c>
    </row>
    <row r="76">
      <c r="A76" s="7">
        <v>0.19722222222222222</v>
      </c>
      <c r="B76" s="12" t="s">
        <v>199</v>
      </c>
      <c r="C76" s="45" t="s">
        <v>7</v>
      </c>
      <c r="D76" s="14" t="s">
        <v>201</v>
      </c>
      <c r="E76" s="11" t="s">
        <v>33</v>
      </c>
    </row>
    <row r="77">
      <c r="A77" s="7">
        <v>0.20694444444444443</v>
      </c>
      <c r="B77" s="12" t="s">
        <v>52</v>
      </c>
      <c r="C77" s="45" t="s">
        <v>206</v>
      </c>
      <c r="D77" s="14" t="s">
        <v>200</v>
      </c>
      <c r="E77" s="11" t="s">
        <v>29</v>
      </c>
    </row>
    <row r="78">
      <c r="A78" s="7">
        <v>0.20694444444444443</v>
      </c>
      <c r="B78" s="12" t="s">
        <v>199</v>
      </c>
      <c r="C78" s="45" t="s">
        <v>207</v>
      </c>
      <c r="D78" s="14" t="s">
        <v>204</v>
      </c>
      <c r="E78" s="11" t="s">
        <v>33</v>
      </c>
    </row>
    <row r="79">
      <c r="A79" s="7">
        <v>0.21736111111111112</v>
      </c>
      <c r="B79" s="12" t="s">
        <v>200</v>
      </c>
      <c r="C79" s="45" t="s">
        <v>43</v>
      </c>
      <c r="D79" s="14" t="s">
        <v>199</v>
      </c>
      <c r="E79" s="11" t="s">
        <v>29</v>
      </c>
    </row>
    <row r="80">
      <c r="A80" s="7">
        <v>0.21736111111111112</v>
      </c>
      <c r="B80" s="12" t="s">
        <v>52</v>
      </c>
      <c r="C80" s="45" t="s">
        <v>208</v>
      </c>
      <c r="D80" s="14" t="s">
        <v>201</v>
      </c>
      <c r="E80" s="11" t="s">
        <v>33</v>
      </c>
    </row>
    <row r="81">
      <c r="A81" s="7">
        <v>0.22777777777777777</v>
      </c>
      <c r="B81" s="12" t="s">
        <v>200</v>
      </c>
      <c r="C81" s="45" t="s">
        <v>209</v>
      </c>
      <c r="D81" s="14" t="s">
        <v>201</v>
      </c>
      <c r="E81" s="11" t="s">
        <v>29</v>
      </c>
    </row>
    <row r="82">
      <c r="A82" s="7">
        <v>0.22777777777777777</v>
      </c>
      <c r="B82" s="12" t="s">
        <v>52</v>
      </c>
      <c r="C82" s="45" t="s">
        <v>209</v>
      </c>
      <c r="D82" s="14" t="s">
        <v>204</v>
      </c>
      <c r="E82" s="11" t="s">
        <v>33</v>
      </c>
    </row>
    <row r="83">
      <c r="A83" s="7">
        <v>0.2375</v>
      </c>
      <c r="B83" s="12" t="s">
        <v>201</v>
      </c>
      <c r="C83" s="45" t="s">
        <v>181</v>
      </c>
      <c r="D83" s="14" t="s">
        <v>204</v>
      </c>
      <c r="E83" s="11" t="s">
        <v>29</v>
      </c>
    </row>
    <row r="84">
      <c r="A84" s="7">
        <v>0.2375</v>
      </c>
      <c r="B84" s="12" t="s">
        <v>199</v>
      </c>
      <c r="C84" s="45" t="s">
        <v>210</v>
      </c>
      <c r="D84" s="14" t="s">
        <v>52</v>
      </c>
      <c r="E84" s="11" t="s">
        <v>33</v>
      </c>
    </row>
    <row r="85">
      <c r="A85" s="7">
        <v>0.24791666666666667</v>
      </c>
      <c r="B85" s="12" t="s">
        <v>200</v>
      </c>
      <c r="C85" s="45" t="s">
        <v>211</v>
      </c>
      <c r="D85" s="14" t="s">
        <v>204</v>
      </c>
      <c r="E85" s="11" t="s">
        <v>29</v>
      </c>
    </row>
    <row r="86">
      <c r="A86" s="7">
        <v>0.24791666666666667</v>
      </c>
      <c r="B86" s="12" t="s">
        <v>201</v>
      </c>
      <c r="C86" s="45" t="s">
        <v>43</v>
      </c>
      <c r="D86" s="14" t="s">
        <v>199</v>
      </c>
      <c r="E86" s="11" t="s">
        <v>33</v>
      </c>
    </row>
    <row r="87">
      <c r="A87" s="7">
        <v>0.25833333333333336</v>
      </c>
      <c r="B87" s="12" t="s">
        <v>200</v>
      </c>
      <c r="C87" s="45" t="s">
        <v>212</v>
      </c>
      <c r="D87" s="14" t="s">
        <v>52</v>
      </c>
      <c r="E87" s="11" t="s">
        <v>29</v>
      </c>
    </row>
    <row r="88">
      <c r="A88" s="24">
        <v>0.25833333333333336</v>
      </c>
      <c r="B88" s="12" t="s">
        <v>204</v>
      </c>
      <c r="C88" s="45" t="s">
        <v>203</v>
      </c>
      <c r="D88" s="14" t="s">
        <v>199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8" t="s">
        <v>213</v>
      </c>
      <c r="C91" s="46" t="s">
        <v>193</v>
      </c>
      <c r="D91" s="10" t="s">
        <v>214</v>
      </c>
      <c r="E91" s="11" t="s">
        <v>9</v>
      </c>
    </row>
    <row r="92">
      <c r="A92" s="48">
        <v>0.3333333333333333</v>
      </c>
      <c r="B92" s="12" t="s">
        <v>61</v>
      </c>
      <c r="C92" s="16" t="s">
        <v>23</v>
      </c>
      <c r="D92" s="14" t="s">
        <v>215</v>
      </c>
      <c r="E92" s="11" t="s">
        <v>13</v>
      </c>
    </row>
    <row r="93">
      <c r="A93" s="48">
        <v>0.34305555555555556</v>
      </c>
      <c r="B93" s="12" t="s">
        <v>61</v>
      </c>
      <c r="C93" s="16" t="s">
        <v>216</v>
      </c>
      <c r="D93" s="14" t="s">
        <v>214</v>
      </c>
      <c r="E93" s="11" t="s">
        <v>9</v>
      </c>
    </row>
    <row r="94">
      <c r="A94" s="48">
        <v>0.34305555555555556</v>
      </c>
      <c r="B94" s="12" t="s">
        <v>217</v>
      </c>
      <c r="C94" s="16" t="s">
        <v>218</v>
      </c>
      <c r="D94" s="14" t="s">
        <v>215</v>
      </c>
      <c r="E94" s="11" t="s">
        <v>13</v>
      </c>
    </row>
    <row r="95">
      <c r="A95" s="48">
        <v>0.35347222222222224</v>
      </c>
      <c r="B95" s="12" t="s">
        <v>217</v>
      </c>
      <c r="C95" s="16" t="s">
        <v>163</v>
      </c>
      <c r="D95" s="14" t="s">
        <v>61</v>
      </c>
      <c r="E95" s="11" t="s">
        <v>9</v>
      </c>
    </row>
    <row r="96">
      <c r="A96" s="48">
        <v>0.35347222222222224</v>
      </c>
      <c r="B96" s="12" t="s">
        <v>215</v>
      </c>
      <c r="C96" s="16" t="s">
        <v>219</v>
      </c>
      <c r="D96" s="14" t="s">
        <v>213</v>
      </c>
      <c r="E96" s="11" t="s">
        <v>13</v>
      </c>
    </row>
    <row r="97">
      <c r="A97" s="48">
        <v>0.3638888888888889</v>
      </c>
      <c r="B97" s="12" t="s">
        <v>217</v>
      </c>
      <c r="C97" s="16" t="s">
        <v>195</v>
      </c>
      <c r="D97" s="14" t="s">
        <v>214</v>
      </c>
      <c r="E97" s="11" t="s">
        <v>9</v>
      </c>
    </row>
    <row r="98">
      <c r="A98" s="48">
        <v>0.3638888888888889</v>
      </c>
      <c r="B98" s="12" t="s">
        <v>213</v>
      </c>
      <c r="C98" s="16" t="s">
        <v>43</v>
      </c>
      <c r="D98" s="14" t="s">
        <v>61</v>
      </c>
      <c r="E98" s="11" t="s">
        <v>13</v>
      </c>
    </row>
    <row r="99">
      <c r="A99" s="48">
        <v>0.3736111111111111</v>
      </c>
      <c r="B99" s="12" t="s">
        <v>215</v>
      </c>
      <c r="C99" s="16" t="s">
        <v>16</v>
      </c>
      <c r="D99" s="14" t="s">
        <v>214</v>
      </c>
      <c r="E99" s="11" t="s">
        <v>9</v>
      </c>
    </row>
    <row r="100">
      <c r="A100" s="48">
        <v>0.3736111111111111</v>
      </c>
      <c r="B100" s="12" t="s">
        <v>213</v>
      </c>
      <c r="C100" s="16" t="s">
        <v>220</v>
      </c>
      <c r="D100" s="14" t="s">
        <v>217</v>
      </c>
      <c r="E100" s="11" t="s">
        <v>13</v>
      </c>
    </row>
    <row r="101">
      <c r="A101" s="48">
        <v>0.3840277777777778</v>
      </c>
      <c r="B101" s="12" t="s">
        <v>214</v>
      </c>
      <c r="C101" s="16" t="s">
        <v>193</v>
      </c>
      <c r="D101" s="14" t="s">
        <v>213</v>
      </c>
      <c r="E101" s="11" t="s">
        <v>9</v>
      </c>
    </row>
    <row r="102">
      <c r="A102" s="48">
        <v>0.3840277777777778</v>
      </c>
      <c r="B102" s="12" t="s">
        <v>215</v>
      </c>
      <c r="C102" s="16" t="s">
        <v>181</v>
      </c>
      <c r="D102" s="14" t="s">
        <v>61</v>
      </c>
      <c r="E102" s="11" t="s">
        <v>13</v>
      </c>
    </row>
    <row r="103">
      <c r="A103" s="48">
        <v>0.39444444444444443</v>
      </c>
      <c r="B103" s="12" t="s">
        <v>214</v>
      </c>
      <c r="C103" s="16" t="s">
        <v>218</v>
      </c>
      <c r="D103" s="14" t="s">
        <v>61</v>
      </c>
      <c r="E103" s="11" t="s">
        <v>9</v>
      </c>
    </row>
    <row r="104">
      <c r="A104" s="48">
        <v>0.39444444444444443</v>
      </c>
      <c r="B104" s="12" t="s">
        <v>215</v>
      </c>
      <c r="C104" s="16" t="s">
        <v>20</v>
      </c>
      <c r="D104" s="14" t="s">
        <v>217</v>
      </c>
      <c r="E104" s="11" t="s">
        <v>13</v>
      </c>
    </row>
    <row r="105">
      <c r="A105" s="48">
        <v>0.4041666666666667</v>
      </c>
      <c r="B105" s="12" t="s">
        <v>61</v>
      </c>
      <c r="C105" s="16" t="s">
        <v>17</v>
      </c>
      <c r="D105" s="14" t="s">
        <v>217</v>
      </c>
      <c r="E105" s="11" t="s">
        <v>9</v>
      </c>
    </row>
    <row r="106">
      <c r="A106" s="48">
        <v>0.4041666666666667</v>
      </c>
      <c r="B106" s="12" t="s">
        <v>213</v>
      </c>
      <c r="C106" s="16" t="s">
        <v>158</v>
      </c>
      <c r="D106" s="14" t="s">
        <v>215</v>
      </c>
      <c r="E106" s="11" t="s">
        <v>13</v>
      </c>
    </row>
    <row r="107">
      <c r="A107" s="48">
        <v>0.41458333333333336</v>
      </c>
      <c r="B107" s="12" t="s">
        <v>214</v>
      </c>
      <c r="C107" s="16" t="s">
        <v>7</v>
      </c>
      <c r="D107" s="14" t="s">
        <v>217</v>
      </c>
      <c r="E107" s="11" t="s">
        <v>9</v>
      </c>
    </row>
    <row r="108">
      <c r="A108" s="48">
        <v>0.41458333333333336</v>
      </c>
      <c r="B108" s="12" t="s">
        <v>61</v>
      </c>
      <c r="C108" s="16" t="s">
        <v>16</v>
      </c>
      <c r="D108" s="14" t="s">
        <v>213</v>
      </c>
      <c r="E108" s="11" t="s">
        <v>13</v>
      </c>
    </row>
    <row r="109">
      <c r="A109" s="48">
        <v>0.425</v>
      </c>
      <c r="B109" s="12" t="s">
        <v>214</v>
      </c>
      <c r="C109" s="16" t="s">
        <v>162</v>
      </c>
      <c r="D109" s="14" t="s">
        <v>215</v>
      </c>
      <c r="E109" s="11" t="s">
        <v>9</v>
      </c>
    </row>
    <row r="110">
      <c r="A110" s="48">
        <v>0.425</v>
      </c>
      <c r="B110" s="12" t="s">
        <v>217</v>
      </c>
      <c r="C110" s="16" t="s">
        <v>18</v>
      </c>
      <c r="D110" s="14" t="s">
        <v>213</v>
      </c>
      <c r="E110" s="11" t="s">
        <v>13</v>
      </c>
    </row>
    <row r="111">
      <c r="A111" s="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8" t="s">
        <v>221</v>
      </c>
      <c r="C113" s="45" t="s">
        <v>222</v>
      </c>
      <c r="D113" s="10" t="s">
        <v>223</v>
      </c>
      <c r="E113" s="11" t="s">
        <v>29</v>
      </c>
    </row>
    <row r="114">
      <c r="A114" s="30">
        <v>0.3333333333333333</v>
      </c>
      <c r="B114" s="12" t="s">
        <v>224</v>
      </c>
      <c r="C114" s="45" t="s">
        <v>225</v>
      </c>
      <c r="D114" s="14" t="s">
        <v>226</v>
      </c>
      <c r="E114" s="11" t="s">
        <v>33</v>
      </c>
    </row>
    <row r="115">
      <c r="A115" s="30">
        <v>0.34305555555555556</v>
      </c>
      <c r="B115" s="12" t="s">
        <v>224</v>
      </c>
      <c r="C115" s="45" t="s">
        <v>227</v>
      </c>
      <c r="D115" s="14" t="s">
        <v>223</v>
      </c>
      <c r="E115" s="11" t="s">
        <v>29</v>
      </c>
    </row>
    <row r="116">
      <c r="A116" s="30">
        <v>0.34305555555555556</v>
      </c>
      <c r="B116" s="12" t="s">
        <v>228</v>
      </c>
      <c r="C116" s="45" t="s">
        <v>161</v>
      </c>
      <c r="D116" s="14" t="s">
        <v>226</v>
      </c>
      <c r="E116" s="11" t="s">
        <v>33</v>
      </c>
    </row>
    <row r="117">
      <c r="A117" s="30">
        <v>0.35347222222222224</v>
      </c>
      <c r="B117" s="12" t="s">
        <v>228</v>
      </c>
      <c r="C117" s="45" t="s">
        <v>21</v>
      </c>
      <c r="D117" s="14" t="s">
        <v>224</v>
      </c>
      <c r="E117" s="11" t="s">
        <v>29</v>
      </c>
    </row>
    <row r="118">
      <c r="A118" s="30">
        <v>0.35347222222222224</v>
      </c>
      <c r="B118" s="12" t="s">
        <v>226</v>
      </c>
      <c r="C118" s="45" t="s">
        <v>163</v>
      </c>
      <c r="D118" s="14" t="s">
        <v>221</v>
      </c>
      <c r="E118" s="11" t="s">
        <v>33</v>
      </c>
    </row>
    <row r="119">
      <c r="A119" s="30">
        <v>0.3638888888888889</v>
      </c>
      <c r="B119" s="12" t="s">
        <v>228</v>
      </c>
      <c r="C119" s="45" t="s">
        <v>229</v>
      </c>
      <c r="D119" s="14" t="s">
        <v>223</v>
      </c>
      <c r="E119" s="11" t="s">
        <v>29</v>
      </c>
    </row>
    <row r="120">
      <c r="A120" s="30">
        <v>0.3638888888888889</v>
      </c>
      <c r="B120" s="12" t="s">
        <v>221</v>
      </c>
      <c r="C120" s="45" t="s">
        <v>177</v>
      </c>
      <c r="D120" s="14" t="s">
        <v>224</v>
      </c>
      <c r="E120" s="11" t="s">
        <v>33</v>
      </c>
    </row>
    <row r="121">
      <c r="A121" s="30">
        <v>0.3736111111111111</v>
      </c>
      <c r="B121" s="12" t="s">
        <v>226</v>
      </c>
      <c r="C121" s="45" t="s">
        <v>230</v>
      </c>
      <c r="D121" s="14" t="s">
        <v>223</v>
      </c>
      <c r="E121" s="11" t="s">
        <v>29</v>
      </c>
    </row>
    <row r="122">
      <c r="A122" s="30">
        <v>0.3736111111111111</v>
      </c>
      <c r="B122" s="12" t="s">
        <v>221</v>
      </c>
      <c r="C122" s="45" t="s">
        <v>231</v>
      </c>
      <c r="D122" s="14" t="s">
        <v>228</v>
      </c>
      <c r="E122" s="11" t="s">
        <v>33</v>
      </c>
    </row>
    <row r="123">
      <c r="A123" s="30">
        <v>0.3840277777777778</v>
      </c>
      <c r="B123" s="12" t="s">
        <v>223</v>
      </c>
      <c r="C123" s="45" t="s">
        <v>196</v>
      </c>
      <c r="D123" s="14" t="s">
        <v>221</v>
      </c>
      <c r="E123" s="11" t="s">
        <v>29</v>
      </c>
    </row>
    <row r="124">
      <c r="A124" s="30">
        <v>0.3840277777777778</v>
      </c>
      <c r="B124" s="12" t="s">
        <v>226</v>
      </c>
      <c r="C124" s="45" t="s">
        <v>232</v>
      </c>
      <c r="D124" s="14" t="s">
        <v>224</v>
      </c>
      <c r="E124" s="11" t="s">
        <v>33</v>
      </c>
    </row>
    <row r="125">
      <c r="A125" s="30">
        <v>0.39444444444444443</v>
      </c>
      <c r="B125" s="12" t="s">
        <v>223</v>
      </c>
      <c r="C125" s="45" t="s">
        <v>233</v>
      </c>
      <c r="D125" s="14" t="s">
        <v>224</v>
      </c>
      <c r="E125" s="11" t="s">
        <v>29</v>
      </c>
    </row>
    <row r="126">
      <c r="A126" s="30">
        <v>0.39444444444444443</v>
      </c>
      <c r="B126" s="12" t="s">
        <v>226</v>
      </c>
      <c r="C126" s="45" t="s">
        <v>162</v>
      </c>
      <c r="D126" s="14" t="s">
        <v>228</v>
      </c>
      <c r="E126" s="11" t="s">
        <v>33</v>
      </c>
    </row>
    <row r="127">
      <c r="A127" s="30">
        <v>0.4041666666666667</v>
      </c>
      <c r="B127" s="12" t="s">
        <v>224</v>
      </c>
      <c r="C127" s="45" t="s">
        <v>7</v>
      </c>
      <c r="D127" s="14" t="s">
        <v>228</v>
      </c>
      <c r="E127" s="11" t="s">
        <v>29</v>
      </c>
    </row>
    <row r="128">
      <c r="A128" s="30">
        <v>0.4041666666666667</v>
      </c>
      <c r="B128" s="12" t="s">
        <v>221</v>
      </c>
      <c r="C128" s="45" t="s">
        <v>43</v>
      </c>
      <c r="D128" s="14" t="s">
        <v>226</v>
      </c>
      <c r="E128" s="11" t="s">
        <v>33</v>
      </c>
    </row>
    <row r="129">
      <c r="A129" s="30">
        <v>0.41458333333333336</v>
      </c>
      <c r="B129" s="12" t="s">
        <v>223</v>
      </c>
      <c r="C129" s="45" t="s">
        <v>19</v>
      </c>
      <c r="D129" s="14" t="s">
        <v>228</v>
      </c>
      <c r="E129" s="11" t="s">
        <v>29</v>
      </c>
    </row>
    <row r="130">
      <c r="A130" s="30">
        <v>0.41458333333333336</v>
      </c>
      <c r="B130" s="12" t="s">
        <v>224</v>
      </c>
      <c r="C130" s="45" t="s">
        <v>17</v>
      </c>
      <c r="D130" s="14" t="s">
        <v>221</v>
      </c>
      <c r="E130" s="11" t="s">
        <v>33</v>
      </c>
    </row>
    <row r="131">
      <c r="A131" s="30">
        <v>0.425</v>
      </c>
      <c r="B131" s="12" t="s">
        <v>223</v>
      </c>
      <c r="C131" s="45" t="s">
        <v>194</v>
      </c>
      <c r="D131" s="14" t="s">
        <v>226</v>
      </c>
      <c r="E131" s="11" t="s">
        <v>29</v>
      </c>
    </row>
    <row r="132">
      <c r="A132" s="30">
        <v>0.425</v>
      </c>
      <c r="B132" s="12" t="s">
        <v>228</v>
      </c>
      <c r="C132" s="45" t="s">
        <v>18</v>
      </c>
      <c r="D132" s="14" t="s">
        <v>221</v>
      </c>
      <c r="E132" s="11" t="s">
        <v>33</v>
      </c>
    </row>
    <row r="133">
      <c r="A133" s="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8" t="s">
        <v>234</v>
      </c>
      <c r="C135" s="9" t="s">
        <v>218</v>
      </c>
      <c r="D135" s="10" t="s">
        <v>235</v>
      </c>
      <c r="E135" s="11" t="s">
        <v>9</v>
      </c>
    </row>
    <row r="136">
      <c r="A136" s="48">
        <v>0.4375</v>
      </c>
      <c r="B136" s="12" t="s">
        <v>72</v>
      </c>
      <c r="C136" s="13" t="s">
        <v>219</v>
      </c>
      <c r="D136" s="14" t="s">
        <v>236</v>
      </c>
      <c r="E136" s="11" t="s">
        <v>13</v>
      </c>
    </row>
    <row r="137">
      <c r="A137" s="48">
        <v>0.44722222222222224</v>
      </c>
      <c r="B137" s="12" t="s">
        <v>72</v>
      </c>
      <c r="C137" s="16" t="s">
        <v>225</v>
      </c>
      <c r="D137" s="14" t="s">
        <v>235</v>
      </c>
      <c r="E137" s="11" t="s">
        <v>9</v>
      </c>
    </row>
    <row r="138">
      <c r="A138" s="48">
        <v>0.44722222222222224</v>
      </c>
      <c r="B138" s="12" t="s">
        <v>71</v>
      </c>
      <c r="C138" s="13" t="s">
        <v>164</v>
      </c>
      <c r="D138" s="14" t="s">
        <v>236</v>
      </c>
      <c r="E138" s="11" t="s">
        <v>13</v>
      </c>
    </row>
    <row r="139">
      <c r="A139" s="48">
        <v>0.4576388888888889</v>
      </c>
      <c r="B139" s="12" t="s">
        <v>71</v>
      </c>
      <c r="C139" s="13" t="s">
        <v>237</v>
      </c>
      <c r="D139" s="14" t="s">
        <v>72</v>
      </c>
      <c r="E139" s="11" t="s">
        <v>9</v>
      </c>
    </row>
    <row r="140">
      <c r="A140" s="48">
        <v>0.4576388888888889</v>
      </c>
      <c r="B140" s="12" t="s">
        <v>236</v>
      </c>
      <c r="C140" s="13" t="s">
        <v>181</v>
      </c>
      <c r="D140" s="14" t="s">
        <v>234</v>
      </c>
      <c r="E140" s="11" t="s">
        <v>13</v>
      </c>
    </row>
    <row r="141">
      <c r="A141" s="48">
        <v>0.46805555555555556</v>
      </c>
      <c r="B141" s="12" t="s">
        <v>71</v>
      </c>
      <c r="C141" s="13" t="s">
        <v>23</v>
      </c>
      <c r="D141" s="14" t="s">
        <v>235</v>
      </c>
      <c r="E141" s="11" t="s">
        <v>9</v>
      </c>
    </row>
    <row r="142">
      <c r="A142" s="48">
        <v>0.46805555555555556</v>
      </c>
      <c r="B142" s="12" t="s">
        <v>234</v>
      </c>
      <c r="C142" s="13" t="s">
        <v>17</v>
      </c>
      <c r="D142" s="14" t="s">
        <v>72</v>
      </c>
      <c r="E142" s="11" t="s">
        <v>13</v>
      </c>
    </row>
    <row r="143">
      <c r="A143" s="48">
        <v>0.4777777777777778</v>
      </c>
      <c r="B143" s="12" t="s">
        <v>236</v>
      </c>
      <c r="C143" s="13" t="s">
        <v>20</v>
      </c>
      <c r="D143" s="14" t="s">
        <v>235</v>
      </c>
      <c r="E143" s="11" t="s">
        <v>9</v>
      </c>
    </row>
    <row r="144">
      <c r="A144" s="48">
        <v>0.4777777777777778</v>
      </c>
      <c r="B144" s="12" t="s">
        <v>234</v>
      </c>
      <c r="C144" s="13" t="s">
        <v>185</v>
      </c>
      <c r="D144" s="14" t="s">
        <v>71</v>
      </c>
      <c r="E144" s="11" t="s">
        <v>13</v>
      </c>
    </row>
    <row r="145">
      <c r="A145" s="48">
        <v>0.48819444444444443</v>
      </c>
      <c r="B145" s="12" t="s">
        <v>235</v>
      </c>
      <c r="C145" s="13" t="s">
        <v>219</v>
      </c>
      <c r="D145" s="14" t="s">
        <v>234</v>
      </c>
      <c r="E145" s="11" t="s">
        <v>9</v>
      </c>
    </row>
    <row r="146">
      <c r="A146" s="48">
        <v>0.48819444444444443</v>
      </c>
      <c r="B146" s="12" t="s">
        <v>236</v>
      </c>
      <c r="C146" s="13" t="s">
        <v>193</v>
      </c>
      <c r="D146" s="14" t="s">
        <v>72</v>
      </c>
      <c r="E146" s="11" t="s">
        <v>13</v>
      </c>
    </row>
    <row r="147">
      <c r="A147" s="48">
        <v>0.4986111111111111</v>
      </c>
      <c r="B147" s="12" t="s">
        <v>235</v>
      </c>
      <c r="C147" s="16" t="s">
        <v>20</v>
      </c>
      <c r="D147" s="14" t="s">
        <v>72</v>
      </c>
      <c r="E147" s="11" t="s">
        <v>9</v>
      </c>
    </row>
    <row r="148">
      <c r="A148" s="48">
        <v>0.4986111111111111</v>
      </c>
      <c r="B148" s="12" t="s">
        <v>236</v>
      </c>
      <c r="C148" s="16" t="s">
        <v>162</v>
      </c>
      <c r="D148" s="14" t="s">
        <v>71</v>
      </c>
      <c r="E148" s="11" t="s">
        <v>13</v>
      </c>
    </row>
    <row r="149">
      <c r="A149" s="48">
        <v>0.5083333333333333</v>
      </c>
      <c r="B149" s="12" t="s">
        <v>72</v>
      </c>
      <c r="C149" s="16" t="s">
        <v>210</v>
      </c>
      <c r="D149" s="14" t="s">
        <v>71</v>
      </c>
      <c r="E149" s="11" t="s">
        <v>9</v>
      </c>
    </row>
    <row r="150">
      <c r="A150" s="48">
        <v>0.5083333333333333</v>
      </c>
      <c r="B150" s="12" t="s">
        <v>234</v>
      </c>
      <c r="C150" s="16" t="s">
        <v>41</v>
      </c>
      <c r="D150" s="14" t="s">
        <v>236</v>
      </c>
      <c r="E150" s="11" t="s">
        <v>13</v>
      </c>
    </row>
    <row r="151">
      <c r="A151" s="48">
        <v>0.51875</v>
      </c>
      <c r="B151" s="12" t="s">
        <v>235</v>
      </c>
      <c r="C151" s="16" t="s">
        <v>238</v>
      </c>
      <c r="D151" s="14" t="s">
        <v>71</v>
      </c>
      <c r="E151" s="11" t="s">
        <v>9</v>
      </c>
    </row>
    <row r="152">
      <c r="A152" s="48">
        <v>0.51875</v>
      </c>
      <c r="B152" s="12" t="s">
        <v>72</v>
      </c>
      <c r="C152" s="16" t="s">
        <v>239</v>
      </c>
      <c r="D152" s="14" t="s">
        <v>234</v>
      </c>
      <c r="E152" s="11" t="s">
        <v>13</v>
      </c>
    </row>
    <row r="153">
      <c r="A153" s="48">
        <v>0.5291666666666667</v>
      </c>
      <c r="B153" s="12" t="s">
        <v>235</v>
      </c>
      <c r="C153" s="16" t="s">
        <v>209</v>
      </c>
      <c r="D153" s="14" t="s">
        <v>236</v>
      </c>
      <c r="E153" s="11" t="s">
        <v>9</v>
      </c>
    </row>
    <row r="154">
      <c r="A154" s="48">
        <v>0.5291666666666667</v>
      </c>
      <c r="B154" s="12" t="s">
        <v>71</v>
      </c>
      <c r="C154" s="16" t="s">
        <v>7</v>
      </c>
      <c r="D154" s="14" t="s">
        <v>234</v>
      </c>
      <c r="E154" s="11" t="s">
        <v>13</v>
      </c>
    </row>
    <row r="155">
      <c r="A155" s="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8" t="s">
        <v>240</v>
      </c>
      <c r="C157" s="45" t="s">
        <v>220</v>
      </c>
      <c r="D157" s="10" t="s">
        <v>241</v>
      </c>
      <c r="E157" s="11" t="s">
        <v>29</v>
      </c>
    </row>
    <row r="158">
      <c r="A158" s="48">
        <v>0.4375</v>
      </c>
      <c r="B158" s="12" t="s">
        <v>242</v>
      </c>
      <c r="C158" s="45" t="s">
        <v>183</v>
      </c>
      <c r="D158" s="14" t="s">
        <v>243</v>
      </c>
      <c r="E158" s="11" t="s">
        <v>33</v>
      </c>
    </row>
    <row r="159">
      <c r="A159" s="48">
        <v>0.44722222222222224</v>
      </c>
      <c r="B159" s="12" t="s">
        <v>242</v>
      </c>
      <c r="C159" s="45" t="s">
        <v>244</v>
      </c>
      <c r="D159" s="14" t="s">
        <v>241</v>
      </c>
      <c r="E159" s="11" t="s">
        <v>29</v>
      </c>
    </row>
    <row r="160">
      <c r="A160" s="48">
        <v>0.44722222222222224</v>
      </c>
      <c r="B160" s="12" t="s">
        <v>77</v>
      </c>
      <c r="C160" s="45" t="s">
        <v>245</v>
      </c>
      <c r="D160" s="14" t="s">
        <v>243</v>
      </c>
      <c r="E160" s="11" t="s">
        <v>33</v>
      </c>
    </row>
    <row r="161">
      <c r="A161" s="48">
        <v>0.4576388888888889</v>
      </c>
      <c r="B161" s="12" t="s">
        <v>77</v>
      </c>
      <c r="C161" s="45" t="s">
        <v>246</v>
      </c>
      <c r="D161" s="14" t="s">
        <v>242</v>
      </c>
      <c r="E161" s="11" t="s">
        <v>29</v>
      </c>
    </row>
    <row r="162">
      <c r="A162" s="48">
        <v>0.4576388888888889</v>
      </c>
      <c r="B162" s="12" t="s">
        <v>243</v>
      </c>
      <c r="C162" s="45" t="s">
        <v>225</v>
      </c>
      <c r="D162" s="14" t="s">
        <v>240</v>
      </c>
      <c r="E162" s="11" t="s">
        <v>33</v>
      </c>
    </row>
    <row r="163">
      <c r="A163" s="48">
        <v>0.46805555555555556</v>
      </c>
      <c r="B163" s="12" t="s">
        <v>77</v>
      </c>
      <c r="C163" s="45" t="s">
        <v>247</v>
      </c>
      <c r="D163" s="14" t="s">
        <v>241</v>
      </c>
      <c r="E163" s="11" t="s">
        <v>29</v>
      </c>
    </row>
    <row r="164">
      <c r="A164" s="48">
        <v>0.46805555555555556</v>
      </c>
      <c r="B164" s="12" t="s">
        <v>240</v>
      </c>
      <c r="C164" s="45" t="s">
        <v>18</v>
      </c>
      <c r="D164" s="14" t="s">
        <v>242</v>
      </c>
      <c r="E164" s="11" t="s">
        <v>33</v>
      </c>
    </row>
    <row r="165">
      <c r="A165" s="48">
        <v>0.4777777777777778</v>
      </c>
      <c r="B165" s="12" t="s">
        <v>243</v>
      </c>
      <c r="C165" s="45" t="s">
        <v>248</v>
      </c>
      <c r="D165" s="14" t="s">
        <v>241</v>
      </c>
      <c r="E165" s="11" t="s">
        <v>29</v>
      </c>
    </row>
    <row r="166">
      <c r="A166" s="48">
        <v>0.4777777777777778</v>
      </c>
      <c r="B166" s="12" t="s">
        <v>240</v>
      </c>
      <c r="C166" s="45" t="s">
        <v>16</v>
      </c>
      <c r="D166" s="14" t="s">
        <v>77</v>
      </c>
      <c r="E166" s="11" t="s">
        <v>33</v>
      </c>
    </row>
    <row r="167">
      <c r="A167" s="48">
        <v>0.48819444444444443</v>
      </c>
      <c r="B167" s="12" t="s">
        <v>241</v>
      </c>
      <c r="C167" s="45" t="s">
        <v>163</v>
      </c>
      <c r="D167" s="14" t="s">
        <v>240</v>
      </c>
      <c r="E167" s="11" t="s">
        <v>29</v>
      </c>
    </row>
    <row r="168">
      <c r="A168" s="48">
        <v>0.48819444444444443</v>
      </c>
      <c r="B168" s="12" t="s">
        <v>243</v>
      </c>
      <c r="C168" s="45" t="s">
        <v>249</v>
      </c>
      <c r="D168" s="14" t="s">
        <v>242</v>
      </c>
      <c r="E168" s="11" t="s">
        <v>33</v>
      </c>
    </row>
    <row r="169">
      <c r="A169" s="48">
        <v>0.4986111111111111</v>
      </c>
      <c r="B169" s="12" t="s">
        <v>241</v>
      </c>
      <c r="C169" s="45" t="s">
        <v>250</v>
      </c>
      <c r="D169" s="14" t="s">
        <v>242</v>
      </c>
      <c r="E169" s="11" t="s">
        <v>29</v>
      </c>
    </row>
    <row r="170">
      <c r="A170" s="48">
        <v>0.4986111111111111</v>
      </c>
      <c r="B170" s="12" t="s">
        <v>243</v>
      </c>
      <c r="C170" s="45" t="s">
        <v>251</v>
      </c>
      <c r="D170" s="14" t="s">
        <v>77</v>
      </c>
      <c r="E170" s="11" t="s">
        <v>33</v>
      </c>
    </row>
    <row r="171">
      <c r="A171" s="48">
        <v>0.5083333333333333</v>
      </c>
      <c r="B171" s="12" t="s">
        <v>242</v>
      </c>
      <c r="C171" s="45" t="s">
        <v>229</v>
      </c>
      <c r="D171" s="14" t="s">
        <v>77</v>
      </c>
      <c r="E171" s="11" t="s">
        <v>29</v>
      </c>
    </row>
    <row r="172">
      <c r="A172" s="48">
        <v>0.5083333333333333</v>
      </c>
      <c r="B172" s="12" t="s">
        <v>240</v>
      </c>
      <c r="C172" s="45" t="s">
        <v>208</v>
      </c>
      <c r="D172" s="14" t="s">
        <v>243</v>
      </c>
      <c r="E172" s="11" t="s">
        <v>33</v>
      </c>
    </row>
    <row r="173">
      <c r="A173" s="48">
        <v>0.51875</v>
      </c>
      <c r="B173" s="12" t="s">
        <v>241</v>
      </c>
      <c r="C173" s="45" t="s">
        <v>239</v>
      </c>
      <c r="D173" s="14" t="s">
        <v>77</v>
      </c>
      <c r="E173" s="11" t="s">
        <v>29</v>
      </c>
    </row>
    <row r="174">
      <c r="A174" s="48">
        <v>0.51875</v>
      </c>
      <c r="B174" s="12" t="s">
        <v>242</v>
      </c>
      <c r="C174" s="45" t="s">
        <v>31</v>
      </c>
      <c r="D174" s="14" t="s">
        <v>240</v>
      </c>
      <c r="E174" s="11" t="s">
        <v>33</v>
      </c>
    </row>
    <row r="175">
      <c r="A175" s="48">
        <v>0.5291666666666667</v>
      </c>
      <c r="B175" s="12" t="s">
        <v>241</v>
      </c>
      <c r="C175" s="45" t="s">
        <v>166</v>
      </c>
      <c r="D175" s="14" t="s">
        <v>243</v>
      </c>
      <c r="E175" s="11" t="s">
        <v>29</v>
      </c>
    </row>
    <row r="176">
      <c r="A176" s="48">
        <v>0.5291666666666667</v>
      </c>
      <c r="B176" s="12" t="s">
        <v>77</v>
      </c>
      <c r="C176" s="45" t="s">
        <v>225</v>
      </c>
      <c r="D176" s="14" t="s">
        <v>240</v>
      </c>
      <c r="E176" s="11" t="s">
        <v>33</v>
      </c>
    </row>
    <row r="177">
      <c r="A177" s="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8" t="s">
        <v>252</v>
      </c>
      <c r="C179" s="46" t="s">
        <v>36</v>
      </c>
      <c r="D179" s="10" t="s">
        <v>253</v>
      </c>
      <c r="E179" s="11" t="s">
        <v>9</v>
      </c>
    </row>
    <row r="180">
      <c r="A180" s="48">
        <v>0.5416666666666666</v>
      </c>
      <c r="B180" s="12" t="s">
        <v>254</v>
      </c>
      <c r="C180" s="16" t="s">
        <v>220</v>
      </c>
      <c r="D180" s="14" t="s">
        <v>255</v>
      </c>
      <c r="E180" s="11" t="s">
        <v>13</v>
      </c>
    </row>
    <row r="181">
      <c r="A181" s="48">
        <v>0.5513888888888889</v>
      </c>
      <c r="B181" s="12" t="s">
        <v>254</v>
      </c>
      <c r="C181" s="16" t="s">
        <v>256</v>
      </c>
      <c r="D181" s="14" t="s">
        <v>253</v>
      </c>
      <c r="E181" s="11" t="s">
        <v>9</v>
      </c>
    </row>
    <row r="182">
      <c r="A182" s="48">
        <v>0.5513888888888889</v>
      </c>
      <c r="B182" s="12" t="s">
        <v>82</v>
      </c>
      <c r="C182" s="16" t="s">
        <v>16</v>
      </c>
      <c r="D182" s="14" t="s">
        <v>255</v>
      </c>
      <c r="E182" s="11" t="s">
        <v>13</v>
      </c>
    </row>
    <row r="183">
      <c r="A183" s="48">
        <v>0.5618055555555556</v>
      </c>
      <c r="B183" s="12" t="s">
        <v>82</v>
      </c>
      <c r="C183" s="16" t="s">
        <v>257</v>
      </c>
      <c r="D183" s="14" t="s">
        <v>254</v>
      </c>
      <c r="E183" s="11" t="s">
        <v>9</v>
      </c>
    </row>
    <row r="184">
      <c r="A184" s="48">
        <v>0.5618055555555556</v>
      </c>
      <c r="B184" s="12" t="s">
        <v>255</v>
      </c>
      <c r="C184" s="16" t="s">
        <v>20</v>
      </c>
      <c r="D184" s="14" t="s">
        <v>252</v>
      </c>
      <c r="E184" s="11" t="s">
        <v>13</v>
      </c>
    </row>
    <row r="185">
      <c r="A185" s="48">
        <v>0.5722222222222222</v>
      </c>
      <c r="B185" s="12" t="s">
        <v>82</v>
      </c>
      <c r="C185" s="16" t="s">
        <v>20</v>
      </c>
      <c r="D185" s="14" t="s">
        <v>253</v>
      </c>
      <c r="E185" s="11" t="s">
        <v>9</v>
      </c>
    </row>
    <row r="186">
      <c r="A186" s="48">
        <v>0.5722222222222222</v>
      </c>
      <c r="B186" s="12" t="s">
        <v>252</v>
      </c>
      <c r="C186" s="16" t="s">
        <v>158</v>
      </c>
      <c r="D186" s="14" t="s">
        <v>254</v>
      </c>
      <c r="E186" s="11" t="s">
        <v>13</v>
      </c>
    </row>
    <row r="187">
      <c r="A187" s="48">
        <v>0.5819444444444445</v>
      </c>
      <c r="B187" s="12" t="s">
        <v>255</v>
      </c>
      <c r="C187" s="16" t="s">
        <v>41</v>
      </c>
      <c r="D187" s="14" t="s">
        <v>253</v>
      </c>
      <c r="E187" s="11" t="s">
        <v>9</v>
      </c>
    </row>
    <row r="188">
      <c r="A188" s="48">
        <v>0.5819444444444445</v>
      </c>
      <c r="B188" s="12" t="s">
        <v>252</v>
      </c>
      <c r="C188" s="16" t="s">
        <v>155</v>
      </c>
      <c r="D188" s="14" t="s">
        <v>82</v>
      </c>
      <c r="E188" s="11" t="s">
        <v>13</v>
      </c>
    </row>
    <row r="189">
      <c r="A189" s="48">
        <v>0.5923611111111111</v>
      </c>
      <c r="B189" s="12" t="s">
        <v>253</v>
      </c>
      <c r="C189" s="16" t="s">
        <v>181</v>
      </c>
      <c r="D189" s="14" t="s">
        <v>252</v>
      </c>
      <c r="E189" s="11" t="s">
        <v>9</v>
      </c>
    </row>
    <row r="190">
      <c r="A190" s="48">
        <v>0.5923611111111111</v>
      </c>
      <c r="B190" s="12" t="s">
        <v>255</v>
      </c>
      <c r="C190" s="16" t="s">
        <v>155</v>
      </c>
      <c r="D190" s="14" t="s">
        <v>254</v>
      </c>
      <c r="E190" s="11" t="s">
        <v>13</v>
      </c>
    </row>
    <row r="191">
      <c r="A191" s="48">
        <v>0.6027777777777777</v>
      </c>
      <c r="B191" s="12" t="s">
        <v>253</v>
      </c>
      <c r="C191" s="16" t="s">
        <v>162</v>
      </c>
      <c r="D191" s="14" t="s">
        <v>254</v>
      </c>
      <c r="E191" s="11" t="s">
        <v>9</v>
      </c>
    </row>
    <row r="192">
      <c r="A192" s="48">
        <v>0.6027777777777777</v>
      </c>
      <c r="B192" s="12" t="s">
        <v>255</v>
      </c>
      <c r="C192" s="16" t="s">
        <v>20</v>
      </c>
      <c r="D192" s="14" t="s">
        <v>82</v>
      </c>
      <c r="E192" s="11" t="s">
        <v>13</v>
      </c>
    </row>
    <row r="193">
      <c r="A193" s="48">
        <v>0.6125</v>
      </c>
      <c r="B193" s="12" t="s">
        <v>254</v>
      </c>
      <c r="C193" s="16" t="s">
        <v>239</v>
      </c>
      <c r="D193" s="14" t="s">
        <v>82</v>
      </c>
      <c r="E193" s="11" t="s">
        <v>9</v>
      </c>
    </row>
    <row r="194">
      <c r="A194" s="48">
        <v>0.6125</v>
      </c>
      <c r="B194" s="12" t="s">
        <v>252</v>
      </c>
      <c r="C194" s="16" t="s">
        <v>210</v>
      </c>
      <c r="D194" s="14" t="s">
        <v>255</v>
      </c>
      <c r="E194" s="11" t="s">
        <v>13</v>
      </c>
    </row>
    <row r="195">
      <c r="A195" s="48">
        <v>0.6229166666666667</v>
      </c>
      <c r="B195" s="12" t="s">
        <v>253</v>
      </c>
      <c r="C195" s="16" t="s">
        <v>258</v>
      </c>
      <c r="D195" s="14" t="s">
        <v>82</v>
      </c>
      <c r="E195" s="11" t="s">
        <v>9</v>
      </c>
    </row>
    <row r="196">
      <c r="A196" s="48">
        <v>0.6229166666666667</v>
      </c>
      <c r="B196" s="12" t="s">
        <v>254</v>
      </c>
      <c r="C196" s="16" t="s">
        <v>163</v>
      </c>
      <c r="D196" s="14" t="s">
        <v>252</v>
      </c>
      <c r="E196" s="11" t="s">
        <v>13</v>
      </c>
    </row>
    <row r="197">
      <c r="A197" s="48">
        <v>0.6333333333333333</v>
      </c>
      <c r="B197" s="12" t="s">
        <v>253</v>
      </c>
      <c r="C197" s="16" t="s">
        <v>163</v>
      </c>
      <c r="D197" s="14" t="s">
        <v>255</v>
      </c>
      <c r="E197" s="11" t="s">
        <v>9</v>
      </c>
    </row>
    <row r="198">
      <c r="A198" s="48">
        <v>0.6333333333333333</v>
      </c>
      <c r="B198" s="12" t="s">
        <v>82</v>
      </c>
      <c r="C198" s="16" t="s">
        <v>196</v>
      </c>
      <c r="D198" s="14" t="s">
        <v>252</v>
      </c>
      <c r="E198" s="11" t="s">
        <v>13</v>
      </c>
    </row>
    <row r="199">
      <c r="A199" s="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  <c r="H200" s="50"/>
    </row>
    <row r="201">
      <c r="A201" s="48">
        <v>0.5416666666666666</v>
      </c>
      <c r="B201" s="8" t="s">
        <v>259</v>
      </c>
      <c r="C201" s="45" t="s">
        <v>23</v>
      </c>
      <c r="D201" s="10" t="s">
        <v>260</v>
      </c>
      <c r="E201" s="11" t="s">
        <v>29</v>
      </c>
      <c r="J201" s="50"/>
    </row>
    <row r="202">
      <c r="A202" s="48">
        <v>0.5416666666666666</v>
      </c>
      <c r="B202" s="12" t="s">
        <v>261</v>
      </c>
      <c r="C202" s="45" t="s">
        <v>16</v>
      </c>
      <c r="D202" s="14" t="s">
        <v>262</v>
      </c>
      <c r="E202" s="11" t="s">
        <v>33</v>
      </c>
    </row>
    <row r="203">
      <c r="A203" s="48">
        <v>0.5513888888888889</v>
      </c>
      <c r="B203" s="12" t="s">
        <v>261</v>
      </c>
      <c r="C203" s="45" t="s">
        <v>16</v>
      </c>
      <c r="D203" s="14" t="s">
        <v>260</v>
      </c>
      <c r="E203" s="11" t="s">
        <v>29</v>
      </c>
    </row>
    <row r="204">
      <c r="A204" s="48">
        <v>0.5513888888888889</v>
      </c>
      <c r="B204" s="12" t="s">
        <v>263</v>
      </c>
      <c r="C204" s="45" t="s">
        <v>264</v>
      </c>
      <c r="D204" s="14" t="s">
        <v>262</v>
      </c>
      <c r="E204" s="11" t="s">
        <v>33</v>
      </c>
    </row>
    <row r="205">
      <c r="A205" s="48">
        <v>0.5618055555555556</v>
      </c>
      <c r="B205" s="12" t="s">
        <v>263</v>
      </c>
      <c r="C205" s="45" t="s">
        <v>265</v>
      </c>
      <c r="D205" s="14" t="s">
        <v>261</v>
      </c>
      <c r="E205" s="11" t="s">
        <v>29</v>
      </c>
    </row>
    <row r="206">
      <c r="A206" s="48">
        <v>0.5618055555555556</v>
      </c>
      <c r="B206" s="12" t="s">
        <v>262</v>
      </c>
      <c r="C206" s="45" t="s">
        <v>266</v>
      </c>
      <c r="D206" s="14" t="s">
        <v>259</v>
      </c>
      <c r="E206" s="11" t="s">
        <v>33</v>
      </c>
    </row>
    <row r="207">
      <c r="A207" s="48">
        <v>0.5722222222222222</v>
      </c>
      <c r="B207" s="12" t="s">
        <v>263</v>
      </c>
      <c r="C207" s="45" t="s">
        <v>267</v>
      </c>
      <c r="D207" s="14" t="s">
        <v>260</v>
      </c>
      <c r="E207" s="11" t="s">
        <v>29</v>
      </c>
    </row>
    <row r="208">
      <c r="A208" s="48">
        <v>0.5722222222222222</v>
      </c>
      <c r="B208" s="12" t="s">
        <v>259</v>
      </c>
      <c r="C208" s="45" t="s">
        <v>196</v>
      </c>
      <c r="D208" s="14" t="s">
        <v>261</v>
      </c>
      <c r="E208" s="11" t="s">
        <v>33</v>
      </c>
    </row>
    <row r="209">
      <c r="A209" s="48">
        <v>0.5819444444444445</v>
      </c>
      <c r="B209" s="12" t="s">
        <v>262</v>
      </c>
      <c r="C209" s="45" t="s">
        <v>268</v>
      </c>
      <c r="D209" s="14" t="s">
        <v>260</v>
      </c>
      <c r="E209" s="11" t="s">
        <v>29</v>
      </c>
    </row>
    <row r="210">
      <c r="A210" s="48">
        <v>0.5819444444444445</v>
      </c>
      <c r="B210" s="12" t="s">
        <v>259</v>
      </c>
      <c r="C210" s="45" t="s">
        <v>38</v>
      </c>
      <c r="D210" s="14" t="s">
        <v>263</v>
      </c>
      <c r="E210" s="11" t="s">
        <v>33</v>
      </c>
    </row>
    <row r="211">
      <c r="A211" s="48">
        <v>0.5923611111111111</v>
      </c>
      <c r="B211" s="12" t="s">
        <v>260</v>
      </c>
      <c r="C211" s="45" t="s">
        <v>162</v>
      </c>
      <c r="D211" s="14" t="s">
        <v>259</v>
      </c>
      <c r="E211" s="11" t="s">
        <v>29</v>
      </c>
    </row>
    <row r="212">
      <c r="A212" s="48">
        <v>0.5923611111111111</v>
      </c>
      <c r="B212" s="12" t="s">
        <v>262</v>
      </c>
      <c r="C212" s="45" t="s">
        <v>245</v>
      </c>
      <c r="D212" s="14" t="s">
        <v>261</v>
      </c>
      <c r="E212" s="11" t="s">
        <v>33</v>
      </c>
    </row>
    <row r="213">
      <c r="A213" s="48">
        <v>0.6027777777777777</v>
      </c>
      <c r="B213" s="12" t="s">
        <v>260</v>
      </c>
      <c r="C213" s="45" t="s">
        <v>269</v>
      </c>
      <c r="D213" s="14" t="s">
        <v>261</v>
      </c>
      <c r="E213" s="11" t="s">
        <v>29</v>
      </c>
    </row>
    <row r="214">
      <c r="A214" s="48">
        <v>0.6027777777777777</v>
      </c>
      <c r="B214" s="12" t="s">
        <v>262</v>
      </c>
      <c r="C214" s="45" t="s">
        <v>270</v>
      </c>
      <c r="D214" s="14" t="s">
        <v>263</v>
      </c>
      <c r="E214" s="11" t="s">
        <v>33</v>
      </c>
    </row>
    <row r="215">
      <c r="A215" s="48">
        <v>0.6125</v>
      </c>
      <c r="B215" s="12" t="s">
        <v>261</v>
      </c>
      <c r="C215" s="45" t="s">
        <v>271</v>
      </c>
      <c r="D215" s="14" t="s">
        <v>263</v>
      </c>
      <c r="E215" s="11" t="s">
        <v>29</v>
      </c>
    </row>
    <row r="216">
      <c r="A216" s="48">
        <v>0.6125</v>
      </c>
      <c r="B216" s="12" t="s">
        <v>259</v>
      </c>
      <c r="C216" s="45" t="s">
        <v>195</v>
      </c>
      <c r="D216" s="14" t="s">
        <v>262</v>
      </c>
      <c r="E216" s="11" t="s">
        <v>33</v>
      </c>
    </row>
    <row r="217">
      <c r="A217" s="48">
        <v>0.6229166666666667</v>
      </c>
      <c r="B217" s="12" t="s">
        <v>260</v>
      </c>
      <c r="C217" s="45" t="s">
        <v>38</v>
      </c>
      <c r="D217" s="14" t="s">
        <v>263</v>
      </c>
      <c r="E217" s="11" t="s">
        <v>29</v>
      </c>
    </row>
    <row r="218">
      <c r="A218" s="48">
        <v>0.6229166666666667</v>
      </c>
      <c r="B218" s="12" t="s">
        <v>261</v>
      </c>
      <c r="C218" s="45" t="s">
        <v>272</v>
      </c>
      <c r="D218" s="14" t="s">
        <v>259</v>
      </c>
      <c r="E218" s="11" t="s">
        <v>33</v>
      </c>
    </row>
    <row r="219">
      <c r="A219" s="48">
        <v>0.6333333333333333</v>
      </c>
      <c r="B219" s="12" t="s">
        <v>260</v>
      </c>
      <c r="C219" s="45" t="s">
        <v>158</v>
      </c>
      <c r="D219" s="14" t="s">
        <v>262</v>
      </c>
      <c r="E219" s="11" t="s">
        <v>29</v>
      </c>
    </row>
    <row r="220">
      <c r="A220" s="48">
        <v>0.6333333333333333</v>
      </c>
      <c r="B220" s="12" t="s">
        <v>263</v>
      </c>
      <c r="C220" s="45" t="s">
        <v>257</v>
      </c>
      <c r="D220" s="14" t="s">
        <v>259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8" t="s">
        <v>273</v>
      </c>
      <c r="C223" s="45" t="s">
        <v>165</v>
      </c>
      <c r="D223" s="10" t="s">
        <v>274</v>
      </c>
      <c r="E223" s="11" t="s">
        <v>9</v>
      </c>
    </row>
    <row r="224">
      <c r="A224" s="48">
        <v>0.6458333333333334</v>
      </c>
      <c r="B224" s="12" t="s">
        <v>275</v>
      </c>
      <c r="C224" s="45" t="s">
        <v>220</v>
      </c>
      <c r="D224" s="14" t="s">
        <v>276</v>
      </c>
      <c r="E224" s="11" t="s">
        <v>13</v>
      </c>
    </row>
    <row r="225">
      <c r="A225" s="48">
        <v>0.6555555555555556</v>
      </c>
      <c r="B225" s="12" t="s">
        <v>275</v>
      </c>
      <c r="C225" s="45" t="s">
        <v>23</v>
      </c>
      <c r="D225" s="14" t="s">
        <v>274</v>
      </c>
      <c r="E225" s="11" t="s">
        <v>9</v>
      </c>
    </row>
    <row r="226">
      <c r="A226" s="48">
        <v>0.6555555555555556</v>
      </c>
      <c r="B226" s="12" t="s">
        <v>277</v>
      </c>
      <c r="C226" s="45" t="s">
        <v>218</v>
      </c>
      <c r="D226" s="14" t="s">
        <v>276</v>
      </c>
      <c r="E226" s="11" t="s">
        <v>13</v>
      </c>
    </row>
    <row r="227">
      <c r="A227" s="48">
        <v>0.6659722222222222</v>
      </c>
      <c r="B227" s="12" t="s">
        <v>277</v>
      </c>
      <c r="C227" s="45" t="s">
        <v>24</v>
      </c>
      <c r="D227" s="14" t="s">
        <v>275</v>
      </c>
      <c r="E227" s="11" t="s">
        <v>9</v>
      </c>
    </row>
    <row r="228">
      <c r="A228" s="48">
        <v>0.6659722222222222</v>
      </c>
      <c r="B228" s="12" t="s">
        <v>276</v>
      </c>
      <c r="C228" s="45" t="s">
        <v>185</v>
      </c>
      <c r="D228" s="14" t="s">
        <v>273</v>
      </c>
      <c r="E228" s="11" t="s">
        <v>13</v>
      </c>
    </row>
    <row r="229">
      <c r="A229" s="48">
        <v>0.6763888888888889</v>
      </c>
      <c r="B229" s="12" t="s">
        <v>277</v>
      </c>
      <c r="C229" s="45" t="s">
        <v>19</v>
      </c>
      <c r="D229" s="14" t="s">
        <v>274</v>
      </c>
      <c r="E229" s="11" t="s">
        <v>9</v>
      </c>
    </row>
    <row r="230">
      <c r="A230" s="48">
        <v>0.6763888888888889</v>
      </c>
      <c r="B230" s="12" t="s">
        <v>273</v>
      </c>
      <c r="C230" s="45" t="s">
        <v>278</v>
      </c>
      <c r="D230" s="14" t="s">
        <v>275</v>
      </c>
      <c r="E230" s="11" t="s">
        <v>13</v>
      </c>
    </row>
    <row r="231">
      <c r="A231" s="48">
        <v>0.6861111111111111</v>
      </c>
      <c r="B231" s="12" t="s">
        <v>276</v>
      </c>
      <c r="C231" s="45" t="s">
        <v>279</v>
      </c>
      <c r="D231" s="14" t="s">
        <v>274</v>
      </c>
      <c r="E231" s="11" t="s">
        <v>9</v>
      </c>
    </row>
    <row r="232">
      <c r="A232" s="48">
        <v>0.6861111111111111</v>
      </c>
      <c r="B232" s="12" t="s">
        <v>273</v>
      </c>
      <c r="C232" s="45" t="s">
        <v>209</v>
      </c>
      <c r="D232" s="14" t="s">
        <v>277</v>
      </c>
      <c r="E232" s="11" t="s">
        <v>13</v>
      </c>
    </row>
    <row r="233">
      <c r="A233" s="48">
        <v>0.6965277777777777</v>
      </c>
      <c r="B233" s="12" t="s">
        <v>274</v>
      </c>
      <c r="C233" s="45" t="s">
        <v>38</v>
      </c>
      <c r="D233" s="14" t="s">
        <v>273</v>
      </c>
      <c r="E233" s="11" t="s">
        <v>9</v>
      </c>
    </row>
    <row r="234">
      <c r="A234" s="48">
        <v>0.6965277777777777</v>
      </c>
      <c r="B234" s="12" t="s">
        <v>276</v>
      </c>
      <c r="C234" s="45" t="s">
        <v>193</v>
      </c>
      <c r="D234" s="14" t="s">
        <v>275</v>
      </c>
      <c r="E234" s="11" t="s">
        <v>13</v>
      </c>
    </row>
    <row r="235">
      <c r="A235" s="48">
        <v>0.7069444444444445</v>
      </c>
      <c r="B235" s="12" t="s">
        <v>274</v>
      </c>
      <c r="C235" s="45" t="s">
        <v>280</v>
      </c>
      <c r="D235" s="14" t="s">
        <v>275</v>
      </c>
      <c r="E235" s="11" t="s">
        <v>9</v>
      </c>
    </row>
    <row r="236">
      <c r="A236" s="48">
        <v>0.7069444444444445</v>
      </c>
      <c r="B236" s="12" t="s">
        <v>276</v>
      </c>
      <c r="C236" s="45" t="s">
        <v>38</v>
      </c>
      <c r="D236" s="14" t="s">
        <v>277</v>
      </c>
      <c r="E236" s="11" t="s">
        <v>13</v>
      </c>
    </row>
    <row r="237">
      <c r="A237" s="48">
        <v>0.7166666666666667</v>
      </c>
      <c r="B237" s="12" t="s">
        <v>275</v>
      </c>
      <c r="C237" s="45" t="s">
        <v>195</v>
      </c>
      <c r="D237" s="14" t="s">
        <v>277</v>
      </c>
      <c r="E237" s="11" t="s">
        <v>9</v>
      </c>
    </row>
    <row r="238">
      <c r="A238" s="48">
        <v>0.7166666666666667</v>
      </c>
      <c r="B238" s="12" t="s">
        <v>273</v>
      </c>
      <c r="C238" s="45" t="s">
        <v>218</v>
      </c>
      <c r="D238" s="14" t="s">
        <v>276</v>
      </c>
      <c r="E238" s="11" t="s">
        <v>13</v>
      </c>
    </row>
    <row r="239">
      <c r="A239" s="48">
        <v>0.7270833333333333</v>
      </c>
      <c r="B239" s="12" t="s">
        <v>274</v>
      </c>
      <c r="C239" s="45" t="s">
        <v>281</v>
      </c>
      <c r="D239" s="14" t="s">
        <v>277</v>
      </c>
      <c r="E239" s="11" t="s">
        <v>9</v>
      </c>
    </row>
    <row r="240">
      <c r="A240" s="48">
        <v>0.7270833333333333</v>
      </c>
      <c r="B240" s="12" t="s">
        <v>275</v>
      </c>
      <c r="C240" s="45" t="s">
        <v>14</v>
      </c>
      <c r="D240" s="14" t="s">
        <v>273</v>
      </c>
      <c r="E240" s="11" t="s">
        <v>13</v>
      </c>
    </row>
    <row r="241">
      <c r="A241" s="48">
        <v>0.7375</v>
      </c>
      <c r="B241" s="12" t="s">
        <v>274</v>
      </c>
      <c r="C241" s="45" t="s">
        <v>24</v>
      </c>
      <c r="D241" s="14" t="s">
        <v>276</v>
      </c>
      <c r="E241" s="11" t="s">
        <v>9</v>
      </c>
    </row>
    <row r="242">
      <c r="A242" s="48">
        <v>0.7375</v>
      </c>
      <c r="B242" s="12" t="s">
        <v>277</v>
      </c>
      <c r="C242" s="45" t="s">
        <v>19</v>
      </c>
      <c r="D242" s="14" t="s">
        <v>273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8" t="s">
        <v>282</v>
      </c>
      <c r="C245" s="45" t="s">
        <v>209</v>
      </c>
      <c r="D245" s="10" t="s">
        <v>283</v>
      </c>
      <c r="E245" s="11" t="s">
        <v>29</v>
      </c>
    </row>
    <row r="246">
      <c r="A246" s="48">
        <v>0.6458333333333334</v>
      </c>
      <c r="B246" s="12" t="s">
        <v>284</v>
      </c>
      <c r="C246" s="45" t="s">
        <v>171</v>
      </c>
      <c r="D246" s="14" t="s">
        <v>285</v>
      </c>
      <c r="E246" s="11" t="s">
        <v>33</v>
      </c>
    </row>
    <row r="247">
      <c r="A247" s="48">
        <v>0.6555555555555556</v>
      </c>
      <c r="B247" s="12" t="s">
        <v>284</v>
      </c>
      <c r="C247" s="45" t="s">
        <v>286</v>
      </c>
      <c r="D247" s="14" t="s">
        <v>283</v>
      </c>
      <c r="E247" s="11" t="s">
        <v>29</v>
      </c>
    </row>
    <row r="248">
      <c r="A248" s="48">
        <v>0.6555555555555556</v>
      </c>
      <c r="B248" s="12" t="s">
        <v>287</v>
      </c>
      <c r="C248" s="45" t="s">
        <v>288</v>
      </c>
      <c r="D248" s="14" t="s">
        <v>285</v>
      </c>
      <c r="E248" s="11" t="s">
        <v>33</v>
      </c>
    </row>
    <row r="249">
      <c r="A249" s="48">
        <v>0.6659722222222222</v>
      </c>
      <c r="B249" s="12" t="s">
        <v>287</v>
      </c>
      <c r="C249" s="45" t="s">
        <v>185</v>
      </c>
      <c r="D249" s="14" t="s">
        <v>284</v>
      </c>
      <c r="E249" s="11" t="s">
        <v>29</v>
      </c>
    </row>
    <row r="250">
      <c r="A250" s="48">
        <v>0.6659722222222222</v>
      </c>
      <c r="B250" s="12" t="s">
        <v>285</v>
      </c>
      <c r="C250" s="45" t="s">
        <v>289</v>
      </c>
      <c r="D250" s="14" t="s">
        <v>282</v>
      </c>
      <c r="E250" s="11" t="s">
        <v>33</v>
      </c>
    </row>
    <row r="251">
      <c r="A251" s="48">
        <v>0.6763888888888889</v>
      </c>
      <c r="B251" s="12" t="s">
        <v>287</v>
      </c>
      <c r="C251" s="45" t="s">
        <v>18</v>
      </c>
      <c r="D251" s="14" t="s">
        <v>283</v>
      </c>
      <c r="E251" s="11" t="s">
        <v>29</v>
      </c>
    </row>
    <row r="252">
      <c r="A252" s="48">
        <v>0.6763888888888889</v>
      </c>
      <c r="B252" s="12" t="s">
        <v>282</v>
      </c>
      <c r="C252" s="45" t="s">
        <v>289</v>
      </c>
      <c r="D252" s="14" t="s">
        <v>284</v>
      </c>
      <c r="E252" s="11" t="s">
        <v>33</v>
      </c>
    </row>
    <row r="253">
      <c r="A253" s="48">
        <v>0.6861111111111111</v>
      </c>
      <c r="B253" s="12" t="s">
        <v>285</v>
      </c>
      <c r="C253" s="45" t="s">
        <v>164</v>
      </c>
      <c r="D253" s="14" t="s">
        <v>283</v>
      </c>
      <c r="E253" s="11" t="s">
        <v>29</v>
      </c>
    </row>
    <row r="254">
      <c r="A254" s="48">
        <v>0.6861111111111111</v>
      </c>
      <c r="B254" s="12" t="s">
        <v>282</v>
      </c>
      <c r="C254" s="45" t="s">
        <v>290</v>
      </c>
      <c r="D254" s="14" t="s">
        <v>287</v>
      </c>
      <c r="E254" s="11" t="s">
        <v>33</v>
      </c>
    </row>
    <row r="255">
      <c r="A255" s="48">
        <v>0.6965277777777777</v>
      </c>
      <c r="B255" s="12" t="s">
        <v>283</v>
      </c>
      <c r="C255" s="45" t="s">
        <v>291</v>
      </c>
      <c r="D255" s="14" t="s">
        <v>282</v>
      </c>
      <c r="E255" s="11" t="s">
        <v>29</v>
      </c>
    </row>
    <row r="256">
      <c r="A256" s="48">
        <v>0.6965277777777777</v>
      </c>
      <c r="B256" s="12" t="s">
        <v>285</v>
      </c>
      <c r="C256" s="45" t="s">
        <v>177</v>
      </c>
      <c r="D256" s="14" t="s">
        <v>284</v>
      </c>
      <c r="E256" s="11" t="s">
        <v>33</v>
      </c>
    </row>
    <row r="257">
      <c r="A257" s="48">
        <v>0.7069444444444445</v>
      </c>
      <c r="B257" s="12" t="s">
        <v>283</v>
      </c>
      <c r="C257" s="45" t="s">
        <v>239</v>
      </c>
      <c r="D257" s="14" t="s">
        <v>284</v>
      </c>
      <c r="E257" s="11" t="s">
        <v>29</v>
      </c>
      <c r="H257" s="50"/>
    </row>
    <row r="258">
      <c r="A258" s="48">
        <v>0.7069444444444445</v>
      </c>
      <c r="B258" s="12" t="s">
        <v>285</v>
      </c>
      <c r="C258" s="45" t="s">
        <v>16</v>
      </c>
      <c r="D258" s="14" t="s">
        <v>287</v>
      </c>
      <c r="E258" s="11" t="s">
        <v>33</v>
      </c>
    </row>
    <row r="259">
      <c r="A259" s="48">
        <v>0.7166666666666667</v>
      </c>
      <c r="B259" s="12" t="s">
        <v>284</v>
      </c>
      <c r="C259" s="45" t="s">
        <v>157</v>
      </c>
      <c r="D259" s="14" t="s">
        <v>287</v>
      </c>
      <c r="E259" s="11" t="s">
        <v>29</v>
      </c>
    </row>
    <row r="260">
      <c r="A260" s="48">
        <v>0.7166666666666667</v>
      </c>
      <c r="B260" s="12" t="s">
        <v>282</v>
      </c>
      <c r="C260" s="45" t="s">
        <v>292</v>
      </c>
      <c r="D260" s="14" t="s">
        <v>285</v>
      </c>
      <c r="E260" s="11" t="s">
        <v>33</v>
      </c>
    </row>
    <row r="261">
      <c r="A261" s="48">
        <v>0.7270833333333333</v>
      </c>
      <c r="B261" s="12" t="s">
        <v>283</v>
      </c>
      <c r="C261" s="45" t="s">
        <v>293</v>
      </c>
      <c r="D261" s="14" t="s">
        <v>287</v>
      </c>
      <c r="E261" s="11" t="s">
        <v>29</v>
      </c>
    </row>
    <row r="262">
      <c r="A262" s="48">
        <v>0.7270833333333333</v>
      </c>
      <c r="B262" s="12" t="s">
        <v>284</v>
      </c>
      <c r="C262" s="45" t="s">
        <v>294</v>
      </c>
      <c r="D262" s="14" t="s">
        <v>282</v>
      </c>
      <c r="E262" s="11" t="s">
        <v>33</v>
      </c>
      <c r="I262" s="50"/>
    </row>
    <row r="263">
      <c r="A263" s="48">
        <v>0.7375</v>
      </c>
      <c r="B263" s="12" t="s">
        <v>283</v>
      </c>
      <c r="C263" s="45" t="s">
        <v>18</v>
      </c>
      <c r="D263" s="14" t="s">
        <v>285</v>
      </c>
      <c r="E263" s="11" t="s">
        <v>29</v>
      </c>
    </row>
    <row r="264">
      <c r="A264" s="48">
        <v>0.7375</v>
      </c>
      <c r="B264" s="12" t="s">
        <v>287</v>
      </c>
      <c r="C264" s="45" t="s">
        <v>7</v>
      </c>
      <c r="D264" s="14" t="s">
        <v>282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8" t="s">
        <v>295</v>
      </c>
      <c r="C267" s="46" t="s">
        <v>182</v>
      </c>
      <c r="D267" s="10" t="s">
        <v>296</v>
      </c>
      <c r="E267" s="11" t="s">
        <v>9</v>
      </c>
    </row>
    <row r="268">
      <c r="A268" s="48">
        <v>0.75</v>
      </c>
      <c r="B268" s="12" t="s">
        <v>297</v>
      </c>
      <c r="C268" s="16" t="s">
        <v>298</v>
      </c>
      <c r="D268" s="14" t="s">
        <v>299</v>
      </c>
      <c r="E268" s="11" t="s">
        <v>13</v>
      </c>
    </row>
    <row r="269">
      <c r="A269" s="48">
        <v>0.7597222222222222</v>
      </c>
      <c r="B269" s="12" t="s">
        <v>297</v>
      </c>
      <c r="C269" s="16" t="s">
        <v>24</v>
      </c>
      <c r="D269" s="14" t="s">
        <v>296</v>
      </c>
      <c r="E269" s="11" t="s">
        <v>9</v>
      </c>
    </row>
    <row r="270">
      <c r="A270" s="48">
        <v>0.7597222222222222</v>
      </c>
      <c r="B270" s="12" t="s">
        <v>300</v>
      </c>
      <c r="C270" s="16" t="s">
        <v>23</v>
      </c>
      <c r="D270" s="14" t="s">
        <v>299</v>
      </c>
      <c r="E270" s="11" t="s">
        <v>13</v>
      </c>
    </row>
    <row r="271">
      <c r="A271" s="48">
        <v>0.7701388888888889</v>
      </c>
      <c r="B271" s="12" t="s">
        <v>300</v>
      </c>
      <c r="C271" s="16" t="s">
        <v>301</v>
      </c>
      <c r="D271" s="14" t="s">
        <v>297</v>
      </c>
      <c r="E271" s="11" t="s">
        <v>9</v>
      </c>
    </row>
    <row r="272">
      <c r="A272" s="48">
        <v>0.7701388888888889</v>
      </c>
      <c r="B272" s="12" t="s">
        <v>299</v>
      </c>
      <c r="C272" s="16" t="s">
        <v>24</v>
      </c>
      <c r="D272" s="14" t="s">
        <v>295</v>
      </c>
      <c r="E272" s="11" t="s">
        <v>13</v>
      </c>
    </row>
    <row r="273">
      <c r="A273" s="48">
        <v>0.7805555555555556</v>
      </c>
      <c r="B273" s="12" t="s">
        <v>300</v>
      </c>
      <c r="C273" s="16" t="s">
        <v>165</v>
      </c>
      <c r="D273" s="14" t="s">
        <v>296</v>
      </c>
      <c r="E273" s="11" t="s">
        <v>9</v>
      </c>
    </row>
    <row r="274">
      <c r="A274" s="48">
        <v>0.7805555555555556</v>
      </c>
      <c r="B274" s="12" t="s">
        <v>295</v>
      </c>
      <c r="C274" s="16" t="s">
        <v>302</v>
      </c>
      <c r="D274" s="14" t="s">
        <v>297</v>
      </c>
      <c r="E274" s="11" t="s">
        <v>13</v>
      </c>
    </row>
    <row r="275">
      <c r="A275" s="48">
        <v>0.7902777777777777</v>
      </c>
      <c r="B275" s="12" t="s">
        <v>299</v>
      </c>
      <c r="C275" s="16" t="s">
        <v>41</v>
      </c>
      <c r="D275" s="14" t="s">
        <v>296</v>
      </c>
      <c r="E275" s="11" t="s">
        <v>9</v>
      </c>
    </row>
    <row r="276">
      <c r="A276" s="48">
        <v>0.7902777777777777</v>
      </c>
      <c r="B276" s="12" t="s">
        <v>295</v>
      </c>
      <c r="C276" s="16" t="s">
        <v>303</v>
      </c>
      <c r="D276" s="14" t="s">
        <v>300</v>
      </c>
      <c r="E276" s="11" t="s">
        <v>13</v>
      </c>
    </row>
    <row r="277">
      <c r="A277" s="48">
        <v>0.8006944444444445</v>
      </c>
      <c r="B277" s="12" t="s">
        <v>296</v>
      </c>
      <c r="C277" s="16" t="s">
        <v>210</v>
      </c>
      <c r="D277" s="14" t="s">
        <v>295</v>
      </c>
      <c r="E277" s="11" t="s">
        <v>9</v>
      </c>
    </row>
    <row r="278">
      <c r="A278" s="48">
        <v>0.8006944444444445</v>
      </c>
      <c r="B278" s="12" t="s">
        <v>299</v>
      </c>
      <c r="C278" s="16" t="s">
        <v>23</v>
      </c>
      <c r="D278" s="14" t="s">
        <v>297</v>
      </c>
      <c r="E278" s="11" t="s">
        <v>13</v>
      </c>
    </row>
    <row r="279">
      <c r="A279" s="48">
        <v>0.8111111111111111</v>
      </c>
      <c r="B279" s="12" t="s">
        <v>296</v>
      </c>
      <c r="C279" s="16" t="s">
        <v>166</v>
      </c>
      <c r="D279" s="14" t="s">
        <v>297</v>
      </c>
      <c r="E279" s="11" t="s">
        <v>9</v>
      </c>
    </row>
    <row r="280">
      <c r="A280" s="48">
        <v>0.8111111111111111</v>
      </c>
      <c r="B280" s="12" t="s">
        <v>299</v>
      </c>
      <c r="C280" s="16" t="s">
        <v>162</v>
      </c>
      <c r="D280" s="14" t="s">
        <v>300</v>
      </c>
      <c r="E280" s="11" t="s">
        <v>13</v>
      </c>
    </row>
    <row r="281">
      <c r="A281" s="48">
        <v>0.8208333333333333</v>
      </c>
      <c r="B281" s="12" t="s">
        <v>297</v>
      </c>
      <c r="C281" s="16" t="s">
        <v>216</v>
      </c>
      <c r="D281" s="14" t="s">
        <v>300</v>
      </c>
      <c r="E281" s="11" t="s">
        <v>9</v>
      </c>
    </row>
    <row r="282">
      <c r="A282" s="48">
        <v>0.8208333333333333</v>
      </c>
      <c r="B282" s="12" t="s">
        <v>295</v>
      </c>
      <c r="C282" s="16" t="s">
        <v>304</v>
      </c>
      <c r="D282" s="14" t="s">
        <v>299</v>
      </c>
      <c r="E282" s="11" t="s">
        <v>13</v>
      </c>
    </row>
    <row r="283">
      <c r="A283" s="48">
        <v>0.83125</v>
      </c>
      <c r="B283" s="12" t="s">
        <v>296</v>
      </c>
      <c r="C283" s="16" t="s">
        <v>281</v>
      </c>
      <c r="D283" s="14" t="s">
        <v>300</v>
      </c>
      <c r="E283" s="11" t="s">
        <v>9</v>
      </c>
    </row>
    <row r="284">
      <c r="A284" s="48">
        <v>0.83125</v>
      </c>
      <c r="B284" s="12" t="s">
        <v>297</v>
      </c>
      <c r="C284" s="16" t="s">
        <v>271</v>
      </c>
      <c r="D284" s="14" t="s">
        <v>295</v>
      </c>
      <c r="E284" s="11" t="s">
        <v>13</v>
      </c>
    </row>
    <row r="285">
      <c r="A285" s="48">
        <v>0.8416666666666667</v>
      </c>
      <c r="B285" s="12" t="s">
        <v>296</v>
      </c>
      <c r="C285" s="16" t="s">
        <v>23</v>
      </c>
      <c r="D285" s="14" t="s">
        <v>299</v>
      </c>
      <c r="E285" s="11" t="s">
        <v>9</v>
      </c>
    </row>
    <row r="286">
      <c r="A286" s="48">
        <v>0.8416666666666667</v>
      </c>
      <c r="B286" s="12" t="s">
        <v>300</v>
      </c>
      <c r="C286" s="16" t="s">
        <v>184</v>
      </c>
      <c r="D286" s="14" t="s">
        <v>295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8" t="s">
        <v>305</v>
      </c>
      <c r="C289" s="45" t="s">
        <v>193</v>
      </c>
      <c r="D289" s="10" t="s">
        <v>306</v>
      </c>
      <c r="E289" s="11" t="s">
        <v>29</v>
      </c>
    </row>
    <row r="290">
      <c r="A290" s="48">
        <v>0.75</v>
      </c>
      <c r="B290" s="12" t="s">
        <v>307</v>
      </c>
      <c r="C290" s="45" t="s">
        <v>163</v>
      </c>
      <c r="D290" s="14" t="s">
        <v>308</v>
      </c>
      <c r="E290" s="11" t="s">
        <v>33</v>
      </c>
    </row>
    <row r="291">
      <c r="A291" s="48">
        <v>0.7597222222222222</v>
      </c>
      <c r="B291" s="12" t="s">
        <v>307</v>
      </c>
      <c r="C291" s="45" t="s">
        <v>309</v>
      </c>
      <c r="D291" s="14" t="s">
        <v>306</v>
      </c>
      <c r="E291" s="11" t="s">
        <v>29</v>
      </c>
    </row>
    <row r="292">
      <c r="A292" s="48">
        <v>0.7597222222222222</v>
      </c>
      <c r="B292" s="12" t="s">
        <v>310</v>
      </c>
      <c r="C292" s="45" t="s">
        <v>184</v>
      </c>
      <c r="D292" s="14" t="s">
        <v>308</v>
      </c>
      <c r="E292" s="11" t="s">
        <v>33</v>
      </c>
    </row>
    <row r="293">
      <c r="A293" s="48">
        <v>0.7701388888888889</v>
      </c>
      <c r="B293" s="12" t="s">
        <v>310</v>
      </c>
      <c r="C293" s="45" t="s">
        <v>38</v>
      </c>
      <c r="D293" s="14" t="s">
        <v>307</v>
      </c>
      <c r="E293" s="11" t="s">
        <v>29</v>
      </c>
    </row>
    <row r="294">
      <c r="A294" s="48">
        <v>0.7701388888888889</v>
      </c>
      <c r="B294" s="12" t="s">
        <v>308</v>
      </c>
      <c r="C294" s="45" t="s">
        <v>196</v>
      </c>
      <c r="D294" s="14" t="s">
        <v>305</v>
      </c>
      <c r="E294" s="11" t="s">
        <v>33</v>
      </c>
    </row>
    <row r="295">
      <c r="A295" s="48">
        <v>0.7805555555555556</v>
      </c>
      <c r="B295" s="12" t="s">
        <v>310</v>
      </c>
      <c r="C295" s="45" t="s">
        <v>14</v>
      </c>
      <c r="D295" s="14" t="s">
        <v>306</v>
      </c>
      <c r="E295" s="11" t="s">
        <v>29</v>
      </c>
    </row>
    <row r="296">
      <c r="A296" s="48">
        <v>0.7805555555555556</v>
      </c>
      <c r="B296" s="12" t="s">
        <v>305</v>
      </c>
      <c r="C296" s="45" t="s">
        <v>311</v>
      </c>
      <c r="D296" s="14" t="s">
        <v>307</v>
      </c>
      <c r="E296" s="11" t="s">
        <v>33</v>
      </c>
    </row>
    <row r="297">
      <c r="A297" s="48">
        <v>0.7902777777777777</v>
      </c>
      <c r="B297" s="12" t="s">
        <v>308</v>
      </c>
      <c r="C297" s="45" t="s">
        <v>246</v>
      </c>
      <c r="D297" s="14" t="s">
        <v>306</v>
      </c>
      <c r="E297" s="11" t="s">
        <v>29</v>
      </c>
    </row>
    <row r="298">
      <c r="A298" s="48">
        <v>0.7902777777777777</v>
      </c>
      <c r="B298" s="12" t="s">
        <v>305</v>
      </c>
      <c r="C298" s="45" t="s">
        <v>158</v>
      </c>
      <c r="D298" s="14" t="s">
        <v>310</v>
      </c>
      <c r="E298" s="11" t="s">
        <v>33</v>
      </c>
      <c r="H298" s="50"/>
    </row>
    <row r="299">
      <c r="A299" s="48">
        <v>0.8006944444444445</v>
      </c>
      <c r="B299" s="12" t="s">
        <v>306</v>
      </c>
      <c r="C299" s="45" t="s">
        <v>312</v>
      </c>
      <c r="D299" s="14" t="s">
        <v>305</v>
      </c>
      <c r="E299" s="11" t="s">
        <v>29</v>
      </c>
    </row>
    <row r="300">
      <c r="A300" s="48">
        <v>0.8006944444444445</v>
      </c>
      <c r="B300" s="12" t="s">
        <v>308</v>
      </c>
      <c r="C300" s="45" t="s">
        <v>313</v>
      </c>
      <c r="D300" s="14" t="s">
        <v>307</v>
      </c>
      <c r="E300" s="11" t="s">
        <v>33</v>
      </c>
    </row>
    <row r="301">
      <c r="A301" s="48">
        <v>0.8111111111111111</v>
      </c>
      <c r="B301" s="12" t="s">
        <v>306</v>
      </c>
      <c r="C301" s="45" t="s">
        <v>165</v>
      </c>
      <c r="D301" s="14" t="s">
        <v>307</v>
      </c>
      <c r="E301" s="11" t="s">
        <v>29</v>
      </c>
    </row>
    <row r="302">
      <c r="A302" s="48">
        <v>0.8111111111111111</v>
      </c>
      <c r="B302" s="12" t="s">
        <v>308</v>
      </c>
      <c r="C302" s="45" t="s">
        <v>314</v>
      </c>
      <c r="D302" s="14" t="s">
        <v>310</v>
      </c>
      <c r="E302" s="11" t="s">
        <v>33</v>
      </c>
    </row>
    <row r="303">
      <c r="A303" s="48">
        <v>0.8208333333333333</v>
      </c>
      <c r="B303" s="12" t="s">
        <v>307</v>
      </c>
      <c r="C303" s="45" t="s">
        <v>315</v>
      </c>
      <c r="D303" s="14" t="s">
        <v>310</v>
      </c>
      <c r="E303" s="11" t="s">
        <v>29</v>
      </c>
    </row>
    <row r="304">
      <c r="A304" s="48">
        <v>0.8208333333333333</v>
      </c>
      <c r="B304" s="12" t="s">
        <v>305</v>
      </c>
      <c r="C304" s="45" t="s">
        <v>219</v>
      </c>
      <c r="D304" s="14" t="s">
        <v>308</v>
      </c>
      <c r="E304" s="11" t="s">
        <v>33</v>
      </c>
    </row>
    <row r="305">
      <c r="A305" s="48">
        <v>0.83125</v>
      </c>
      <c r="B305" s="12" t="s">
        <v>306</v>
      </c>
      <c r="C305" s="45" t="s">
        <v>316</v>
      </c>
      <c r="D305" s="14" t="s">
        <v>310</v>
      </c>
      <c r="E305" s="11" t="s">
        <v>29</v>
      </c>
    </row>
    <row r="306">
      <c r="A306" s="48">
        <v>0.83125</v>
      </c>
      <c r="B306" s="12" t="s">
        <v>307</v>
      </c>
      <c r="C306" s="45" t="s">
        <v>207</v>
      </c>
      <c r="D306" s="14" t="s">
        <v>305</v>
      </c>
      <c r="E306" s="11" t="s">
        <v>33</v>
      </c>
    </row>
    <row r="307">
      <c r="A307" s="48">
        <v>0.8416666666666667</v>
      </c>
      <c r="B307" s="12" t="s">
        <v>306</v>
      </c>
      <c r="C307" s="45" t="s">
        <v>218</v>
      </c>
      <c r="D307" s="14" t="s">
        <v>308</v>
      </c>
      <c r="E307" s="11" t="s">
        <v>29</v>
      </c>
    </row>
    <row r="308">
      <c r="A308" s="48">
        <v>0.8416666666666667</v>
      </c>
      <c r="B308" s="12" t="s">
        <v>310</v>
      </c>
      <c r="C308" s="45" t="s">
        <v>43</v>
      </c>
      <c r="D308" s="14" t="s">
        <v>305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8" t="s">
        <v>317</v>
      </c>
      <c r="C311" s="45" t="s">
        <v>171</v>
      </c>
      <c r="D311" s="10" t="s">
        <v>318</v>
      </c>
      <c r="E311" s="11" t="s">
        <v>9</v>
      </c>
    </row>
    <row r="312">
      <c r="A312" s="48">
        <v>0.8541666666666666</v>
      </c>
      <c r="B312" s="12" t="s">
        <v>114</v>
      </c>
      <c r="C312" s="45" t="s">
        <v>319</v>
      </c>
      <c r="D312" s="14" t="s">
        <v>320</v>
      </c>
      <c r="E312" s="11" t="s">
        <v>13</v>
      </c>
    </row>
    <row r="313">
      <c r="A313" s="48">
        <v>0.8638888888888889</v>
      </c>
      <c r="B313" s="12" t="s">
        <v>114</v>
      </c>
      <c r="C313" s="45" t="s">
        <v>20</v>
      </c>
      <c r="D313" s="14" t="s">
        <v>318</v>
      </c>
      <c r="E313" s="11" t="s">
        <v>9</v>
      </c>
    </row>
    <row r="314">
      <c r="A314" s="48">
        <v>0.8638888888888889</v>
      </c>
      <c r="B314" s="12" t="s">
        <v>321</v>
      </c>
      <c r="C314" s="45" t="s">
        <v>322</v>
      </c>
      <c r="D314" s="14" t="s">
        <v>320</v>
      </c>
      <c r="E314" s="11" t="s">
        <v>13</v>
      </c>
    </row>
    <row r="315">
      <c r="A315" s="48">
        <v>0.8743055555555556</v>
      </c>
      <c r="B315" s="12" t="s">
        <v>321</v>
      </c>
      <c r="C315" s="45" t="s">
        <v>323</v>
      </c>
      <c r="D315" s="14" t="s">
        <v>114</v>
      </c>
      <c r="E315" s="11" t="s">
        <v>9</v>
      </c>
    </row>
    <row r="316">
      <c r="A316" s="48">
        <v>0.8743055555555556</v>
      </c>
      <c r="B316" s="12" t="s">
        <v>320</v>
      </c>
      <c r="C316" s="45" t="s">
        <v>165</v>
      </c>
      <c r="D316" s="14" t="s">
        <v>317</v>
      </c>
      <c r="E316" s="11" t="s">
        <v>13</v>
      </c>
    </row>
    <row r="317">
      <c r="A317" s="48">
        <v>0.8847222222222222</v>
      </c>
      <c r="B317" s="12" t="s">
        <v>321</v>
      </c>
      <c r="C317" s="54" t="s">
        <v>155</v>
      </c>
      <c r="D317" s="14" t="s">
        <v>318</v>
      </c>
      <c r="E317" s="11" t="s">
        <v>9</v>
      </c>
    </row>
    <row r="318">
      <c r="A318" s="48">
        <v>0.8847222222222222</v>
      </c>
      <c r="B318" s="12" t="s">
        <v>317</v>
      </c>
      <c r="C318" s="45" t="s">
        <v>324</v>
      </c>
      <c r="D318" s="14" t="s">
        <v>114</v>
      </c>
      <c r="E318" s="11" t="s">
        <v>13</v>
      </c>
    </row>
    <row r="319">
      <c r="A319" s="48">
        <v>0.8944444444444445</v>
      </c>
      <c r="B319" s="12" t="s">
        <v>320</v>
      </c>
      <c r="C319" s="45" t="s">
        <v>298</v>
      </c>
      <c r="D319" s="14" t="s">
        <v>318</v>
      </c>
      <c r="E319" s="11" t="s">
        <v>9</v>
      </c>
    </row>
    <row r="320">
      <c r="A320" s="48">
        <v>0.8944444444444445</v>
      </c>
      <c r="B320" s="12" t="s">
        <v>317</v>
      </c>
      <c r="C320" s="45" t="s">
        <v>18</v>
      </c>
      <c r="D320" s="14" t="s">
        <v>321</v>
      </c>
      <c r="E320" s="11" t="s">
        <v>13</v>
      </c>
    </row>
    <row r="321">
      <c r="A321" s="48">
        <v>0.9048611111111111</v>
      </c>
      <c r="B321" s="12" t="s">
        <v>318</v>
      </c>
      <c r="C321" s="45" t="s">
        <v>325</v>
      </c>
      <c r="D321" s="14" t="s">
        <v>317</v>
      </c>
      <c r="E321" s="11" t="s">
        <v>9</v>
      </c>
    </row>
    <row r="322">
      <c r="A322" s="48">
        <v>0.9048611111111111</v>
      </c>
      <c r="B322" s="12" t="s">
        <v>320</v>
      </c>
      <c r="C322" s="45" t="s">
        <v>324</v>
      </c>
      <c r="D322" s="14" t="s">
        <v>114</v>
      </c>
      <c r="E322" s="11" t="s">
        <v>13</v>
      </c>
    </row>
    <row r="323">
      <c r="A323" s="48">
        <v>0.9152777777777777</v>
      </c>
      <c r="B323" s="12" t="s">
        <v>318</v>
      </c>
      <c r="C323" s="45" t="s">
        <v>326</v>
      </c>
      <c r="D323" s="14" t="s">
        <v>114</v>
      </c>
      <c r="E323" s="11" t="s">
        <v>9</v>
      </c>
    </row>
    <row r="324">
      <c r="A324" s="48">
        <v>0.9152777777777777</v>
      </c>
      <c r="B324" s="12" t="s">
        <v>320</v>
      </c>
      <c r="C324" s="45" t="s">
        <v>36</v>
      </c>
      <c r="D324" s="14" t="s">
        <v>321</v>
      </c>
      <c r="E324" s="11" t="s">
        <v>13</v>
      </c>
    </row>
    <row r="325">
      <c r="A325" s="48">
        <v>0.925</v>
      </c>
      <c r="B325" s="12" t="s">
        <v>114</v>
      </c>
      <c r="C325" s="45" t="s">
        <v>313</v>
      </c>
      <c r="D325" s="14" t="s">
        <v>321</v>
      </c>
      <c r="E325" s="11" t="s">
        <v>9</v>
      </c>
    </row>
    <row r="326">
      <c r="A326" s="48">
        <v>0.925</v>
      </c>
      <c r="B326" s="12" t="s">
        <v>317</v>
      </c>
      <c r="C326" s="45" t="s">
        <v>181</v>
      </c>
      <c r="D326" s="14" t="s">
        <v>320</v>
      </c>
      <c r="E326" s="11" t="s">
        <v>13</v>
      </c>
    </row>
    <row r="327">
      <c r="A327" s="48">
        <v>0.9354166666666667</v>
      </c>
      <c r="B327" s="12" t="s">
        <v>318</v>
      </c>
      <c r="C327" s="45" t="s">
        <v>327</v>
      </c>
      <c r="D327" s="14" t="s">
        <v>321</v>
      </c>
      <c r="E327" s="11" t="s">
        <v>9</v>
      </c>
    </row>
    <row r="328">
      <c r="A328" s="48">
        <v>0.9354166666666667</v>
      </c>
      <c r="B328" s="12" t="s">
        <v>114</v>
      </c>
      <c r="C328" s="45" t="s">
        <v>256</v>
      </c>
      <c r="D328" s="14" t="s">
        <v>317</v>
      </c>
      <c r="E328" s="11" t="s">
        <v>13</v>
      </c>
    </row>
    <row r="329">
      <c r="A329" s="48">
        <v>0.9458333333333333</v>
      </c>
      <c r="B329" s="12" t="s">
        <v>318</v>
      </c>
      <c r="C329" s="45" t="s">
        <v>161</v>
      </c>
      <c r="D329" s="14" t="s">
        <v>320</v>
      </c>
      <c r="E329" s="11" t="s">
        <v>9</v>
      </c>
    </row>
    <row r="330">
      <c r="A330" s="48">
        <v>0.9458333333333333</v>
      </c>
      <c r="B330" s="12" t="s">
        <v>321</v>
      </c>
      <c r="C330" s="45" t="s">
        <v>245</v>
      </c>
      <c r="D330" s="14" t="s">
        <v>317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8" t="s">
        <v>328</v>
      </c>
      <c r="C333" s="45" t="s">
        <v>248</v>
      </c>
      <c r="D333" s="10" t="s">
        <v>329</v>
      </c>
      <c r="E333" s="11" t="s">
        <v>29</v>
      </c>
    </row>
    <row r="334">
      <c r="A334" s="48">
        <v>0.8541666666666666</v>
      </c>
      <c r="B334" s="12" t="s">
        <v>330</v>
      </c>
      <c r="C334" s="45" t="s">
        <v>324</v>
      </c>
      <c r="D334" s="14" t="s">
        <v>331</v>
      </c>
      <c r="E334" s="11" t="s">
        <v>33</v>
      </c>
    </row>
    <row r="335">
      <c r="A335" s="48">
        <v>0.8638888888888889</v>
      </c>
      <c r="B335" s="12" t="s">
        <v>330</v>
      </c>
      <c r="C335" s="45" t="s">
        <v>249</v>
      </c>
      <c r="D335" s="14" t="s">
        <v>329</v>
      </c>
      <c r="E335" s="11" t="s">
        <v>29</v>
      </c>
    </row>
    <row r="336">
      <c r="A336" s="48">
        <v>0.8638888888888889</v>
      </c>
      <c r="B336" s="12" t="s">
        <v>332</v>
      </c>
      <c r="C336" s="45" t="s">
        <v>163</v>
      </c>
      <c r="D336" s="14" t="s">
        <v>331</v>
      </c>
      <c r="E336" s="11" t="s">
        <v>33</v>
      </c>
    </row>
    <row r="337">
      <c r="A337" s="48">
        <v>0.8743055555555556</v>
      </c>
      <c r="B337" s="12" t="s">
        <v>332</v>
      </c>
      <c r="C337" s="45" t="s">
        <v>43</v>
      </c>
      <c r="D337" s="14" t="s">
        <v>330</v>
      </c>
      <c r="E337" s="11" t="s">
        <v>29</v>
      </c>
    </row>
    <row r="338">
      <c r="A338" s="48">
        <v>0.8743055555555556</v>
      </c>
      <c r="B338" s="12" t="s">
        <v>331</v>
      </c>
      <c r="C338" s="45" t="s">
        <v>291</v>
      </c>
      <c r="D338" s="14" t="s">
        <v>328</v>
      </c>
      <c r="E338" s="11" t="s">
        <v>33</v>
      </c>
    </row>
    <row r="339">
      <c r="A339" s="48">
        <v>0.8847222222222222</v>
      </c>
      <c r="B339" s="12" t="s">
        <v>332</v>
      </c>
      <c r="C339" s="45" t="s">
        <v>39</v>
      </c>
      <c r="D339" s="14" t="s">
        <v>329</v>
      </c>
      <c r="E339" s="11" t="s">
        <v>29</v>
      </c>
    </row>
    <row r="340">
      <c r="A340" s="48">
        <v>0.8847222222222222</v>
      </c>
      <c r="B340" s="12" t="s">
        <v>328</v>
      </c>
      <c r="C340" s="45" t="s">
        <v>333</v>
      </c>
      <c r="D340" s="14" t="s">
        <v>330</v>
      </c>
      <c r="E340" s="11" t="s">
        <v>33</v>
      </c>
    </row>
    <row r="341">
      <c r="A341" s="48">
        <v>0.8944444444444445</v>
      </c>
      <c r="B341" s="12" t="s">
        <v>331</v>
      </c>
      <c r="C341" s="45" t="s">
        <v>162</v>
      </c>
      <c r="D341" s="14" t="s">
        <v>329</v>
      </c>
      <c r="E341" s="11" t="s">
        <v>29</v>
      </c>
    </row>
    <row r="342">
      <c r="A342" s="48">
        <v>0.8944444444444445</v>
      </c>
      <c r="B342" s="12" t="s">
        <v>328</v>
      </c>
      <c r="C342" s="45" t="s">
        <v>34</v>
      </c>
      <c r="D342" s="14" t="s">
        <v>332</v>
      </c>
      <c r="E342" s="11" t="s">
        <v>33</v>
      </c>
    </row>
    <row r="343">
      <c r="A343" s="48">
        <v>0.9048611111111111</v>
      </c>
      <c r="B343" s="12" t="s">
        <v>329</v>
      </c>
      <c r="C343" s="45" t="s">
        <v>334</v>
      </c>
      <c r="D343" s="14" t="s">
        <v>328</v>
      </c>
      <c r="E343" s="11" t="s">
        <v>29</v>
      </c>
    </row>
    <row r="344">
      <c r="A344" s="48">
        <v>0.9048611111111111</v>
      </c>
      <c r="B344" s="12" t="s">
        <v>331</v>
      </c>
      <c r="C344" s="45" t="s">
        <v>194</v>
      </c>
      <c r="D344" s="14" t="s">
        <v>330</v>
      </c>
      <c r="E344" s="11" t="s">
        <v>33</v>
      </c>
    </row>
    <row r="345">
      <c r="A345" s="48">
        <v>0.9152777777777777</v>
      </c>
      <c r="B345" s="12" t="s">
        <v>329</v>
      </c>
      <c r="C345" s="45" t="s">
        <v>335</v>
      </c>
      <c r="D345" s="14" t="s">
        <v>330</v>
      </c>
      <c r="E345" s="11" t="s">
        <v>29</v>
      </c>
    </row>
    <row r="346">
      <c r="A346" s="48">
        <v>0.9152777777777777</v>
      </c>
      <c r="B346" s="12" t="s">
        <v>331</v>
      </c>
      <c r="C346" s="45" t="s">
        <v>336</v>
      </c>
      <c r="D346" s="14" t="s">
        <v>332</v>
      </c>
      <c r="E346" s="11" t="s">
        <v>33</v>
      </c>
    </row>
    <row r="347">
      <c r="A347" s="48">
        <v>0.925</v>
      </c>
      <c r="B347" s="12" t="s">
        <v>330</v>
      </c>
      <c r="C347" s="45" t="s">
        <v>19</v>
      </c>
      <c r="D347" s="14" t="s">
        <v>332</v>
      </c>
      <c r="E347" s="11" t="s">
        <v>29</v>
      </c>
    </row>
    <row r="348">
      <c r="A348" s="48">
        <v>0.925</v>
      </c>
      <c r="B348" s="12" t="s">
        <v>328</v>
      </c>
      <c r="C348" s="45" t="s">
        <v>42</v>
      </c>
      <c r="D348" s="14" t="s">
        <v>331</v>
      </c>
      <c r="E348" s="11" t="s">
        <v>33</v>
      </c>
    </row>
    <row r="349">
      <c r="A349" s="48">
        <v>0.9354166666666667</v>
      </c>
      <c r="B349" s="12" t="s">
        <v>329</v>
      </c>
      <c r="C349" s="45" t="s">
        <v>337</v>
      </c>
      <c r="D349" s="14" t="s">
        <v>332</v>
      </c>
      <c r="E349" s="11" t="s">
        <v>29</v>
      </c>
    </row>
    <row r="350">
      <c r="A350" s="48">
        <v>0.9354166666666667</v>
      </c>
      <c r="B350" s="12" t="s">
        <v>330</v>
      </c>
      <c r="C350" s="45" t="s">
        <v>208</v>
      </c>
      <c r="D350" s="14" t="s">
        <v>328</v>
      </c>
      <c r="E350" s="11" t="s">
        <v>33</v>
      </c>
    </row>
    <row r="351">
      <c r="A351" s="48">
        <v>0.9458333333333333</v>
      </c>
      <c r="B351" s="12" t="s">
        <v>329</v>
      </c>
      <c r="C351" s="20" t="s">
        <v>338</v>
      </c>
      <c r="D351" s="14" t="s">
        <v>331</v>
      </c>
      <c r="E351" s="11" t="s">
        <v>29</v>
      </c>
    </row>
    <row r="352">
      <c r="A352" s="48">
        <v>0.9458333333333333</v>
      </c>
      <c r="B352" s="12" t="s">
        <v>332</v>
      </c>
      <c r="C352" s="45" t="s">
        <v>184</v>
      </c>
      <c r="D352" s="14" t="s">
        <v>328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8" t="s">
        <v>339</v>
      </c>
      <c r="C355" s="46" t="s">
        <v>14</v>
      </c>
      <c r="D355" s="10" t="s">
        <v>340</v>
      </c>
      <c r="E355" s="11" t="s">
        <v>9</v>
      </c>
    </row>
    <row r="356">
      <c r="A356" s="48">
        <v>0.9583333333333334</v>
      </c>
      <c r="B356" s="12" t="s">
        <v>341</v>
      </c>
      <c r="C356" s="16" t="s">
        <v>342</v>
      </c>
      <c r="D356" s="14" t="s">
        <v>127</v>
      </c>
      <c r="E356" s="11" t="s">
        <v>13</v>
      </c>
    </row>
    <row r="357">
      <c r="A357" s="48">
        <v>0.9680555555555556</v>
      </c>
      <c r="B357" s="12" t="s">
        <v>341</v>
      </c>
      <c r="C357" s="16" t="s">
        <v>194</v>
      </c>
      <c r="D357" s="14" t="s">
        <v>340</v>
      </c>
      <c r="E357" s="11" t="s">
        <v>9</v>
      </c>
    </row>
    <row r="358">
      <c r="A358" s="48">
        <v>0.9680555555555556</v>
      </c>
      <c r="B358" s="12" t="s">
        <v>343</v>
      </c>
      <c r="C358" s="16" t="s">
        <v>209</v>
      </c>
      <c r="D358" s="14" t="s">
        <v>127</v>
      </c>
      <c r="E358" s="11" t="s">
        <v>13</v>
      </c>
    </row>
    <row r="359">
      <c r="A359" s="48">
        <v>0.9784722222222222</v>
      </c>
      <c r="B359" s="12" t="s">
        <v>343</v>
      </c>
      <c r="C359" s="16" t="s">
        <v>344</v>
      </c>
      <c r="D359" s="14" t="s">
        <v>341</v>
      </c>
      <c r="E359" s="11" t="s">
        <v>9</v>
      </c>
    </row>
    <row r="360">
      <c r="A360" s="48">
        <v>0.9784722222222222</v>
      </c>
      <c r="B360" s="12" t="s">
        <v>127</v>
      </c>
      <c r="C360" s="16" t="s">
        <v>176</v>
      </c>
      <c r="D360" s="14" t="s">
        <v>339</v>
      </c>
      <c r="E360" s="11" t="s">
        <v>13</v>
      </c>
    </row>
    <row r="361">
      <c r="A361" s="48">
        <v>0.9888888888888889</v>
      </c>
      <c r="B361" s="12" t="s">
        <v>343</v>
      </c>
      <c r="C361" s="16" t="s">
        <v>209</v>
      </c>
      <c r="D361" s="14" t="s">
        <v>340</v>
      </c>
      <c r="E361" s="11" t="s">
        <v>9</v>
      </c>
    </row>
    <row r="362">
      <c r="A362" s="48">
        <v>0.9888888888888889</v>
      </c>
      <c r="B362" s="12" t="s">
        <v>339</v>
      </c>
      <c r="C362" s="16" t="s">
        <v>327</v>
      </c>
      <c r="D362" s="14" t="s">
        <v>341</v>
      </c>
      <c r="E362" s="11" t="s">
        <v>13</v>
      </c>
    </row>
    <row r="363">
      <c r="A363" s="48">
        <v>0.9986111111111111</v>
      </c>
      <c r="B363" s="12" t="s">
        <v>127</v>
      </c>
      <c r="C363" s="16" t="s">
        <v>193</v>
      </c>
      <c r="D363" s="14" t="s">
        <v>340</v>
      </c>
      <c r="E363" s="11" t="s">
        <v>9</v>
      </c>
    </row>
    <row r="364">
      <c r="A364" s="48">
        <v>0.9986111111111111</v>
      </c>
      <c r="B364" s="12" t="s">
        <v>339</v>
      </c>
      <c r="C364" s="16" t="s">
        <v>251</v>
      </c>
      <c r="D364" s="14" t="s">
        <v>343</v>
      </c>
      <c r="E364" s="11" t="s">
        <v>13</v>
      </c>
    </row>
    <row r="365">
      <c r="A365" s="48">
        <v>0.009027777777777777</v>
      </c>
      <c r="B365" s="12" t="s">
        <v>340</v>
      </c>
      <c r="C365" s="16" t="s">
        <v>185</v>
      </c>
      <c r="D365" s="14" t="s">
        <v>339</v>
      </c>
      <c r="E365" s="11" t="s">
        <v>9</v>
      </c>
    </row>
    <row r="366">
      <c r="A366" s="48">
        <v>0.009027777777777777</v>
      </c>
      <c r="B366" s="12" t="s">
        <v>127</v>
      </c>
      <c r="C366" s="16" t="s">
        <v>20</v>
      </c>
      <c r="D366" s="14" t="s">
        <v>341</v>
      </c>
      <c r="E366" s="11" t="s">
        <v>13</v>
      </c>
    </row>
    <row r="367">
      <c r="A367" s="48">
        <v>0.019444444444444445</v>
      </c>
      <c r="B367" s="12" t="s">
        <v>340</v>
      </c>
      <c r="C367" s="16" t="s">
        <v>193</v>
      </c>
      <c r="D367" s="14" t="s">
        <v>341</v>
      </c>
      <c r="E367" s="11" t="s">
        <v>9</v>
      </c>
    </row>
    <row r="368">
      <c r="A368" s="48">
        <v>0.019444444444444445</v>
      </c>
      <c r="B368" s="12" t="s">
        <v>127</v>
      </c>
      <c r="C368" s="16" t="s">
        <v>162</v>
      </c>
      <c r="D368" s="14" t="s">
        <v>343</v>
      </c>
      <c r="E368" s="11" t="s">
        <v>13</v>
      </c>
    </row>
    <row r="369">
      <c r="A369" s="48">
        <v>0.029166666666666667</v>
      </c>
      <c r="B369" s="12" t="s">
        <v>341</v>
      </c>
      <c r="C369" s="16" t="s">
        <v>298</v>
      </c>
      <c r="D369" s="14" t="s">
        <v>343</v>
      </c>
      <c r="E369" s="11" t="s">
        <v>9</v>
      </c>
    </row>
    <row r="370">
      <c r="A370" s="48">
        <v>0.029166666666666667</v>
      </c>
      <c r="B370" s="12" t="s">
        <v>339</v>
      </c>
      <c r="C370" s="16" t="s">
        <v>209</v>
      </c>
      <c r="D370" s="14" t="s">
        <v>127</v>
      </c>
      <c r="E370" s="11" t="s">
        <v>13</v>
      </c>
    </row>
    <row r="371">
      <c r="A371" s="48">
        <v>0.03958333333333333</v>
      </c>
      <c r="B371" s="12" t="s">
        <v>340</v>
      </c>
      <c r="C371" s="16" t="s">
        <v>162</v>
      </c>
      <c r="D371" s="14" t="s">
        <v>343</v>
      </c>
      <c r="E371" s="11" t="s">
        <v>9</v>
      </c>
    </row>
    <row r="372">
      <c r="A372" s="48">
        <v>0.03958333333333333</v>
      </c>
      <c r="B372" s="12" t="s">
        <v>341</v>
      </c>
      <c r="C372" s="16" t="s">
        <v>195</v>
      </c>
      <c r="D372" s="14" t="s">
        <v>339</v>
      </c>
      <c r="E372" s="11" t="s">
        <v>13</v>
      </c>
    </row>
    <row r="373">
      <c r="A373" s="48">
        <v>0.05</v>
      </c>
      <c r="B373" s="12" t="s">
        <v>340</v>
      </c>
      <c r="C373" s="16" t="s">
        <v>41</v>
      </c>
      <c r="D373" s="14" t="s">
        <v>127</v>
      </c>
      <c r="E373" s="11" t="s">
        <v>9</v>
      </c>
    </row>
    <row r="374">
      <c r="A374" s="48">
        <v>0.05</v>
      </c>
      <c r="B374" s="12" t="s">
        <v>343</v>
      </c>
      <c r="C374" s="16" t="s">
        <v>164</v>
      </c>
      <c r="D374" s="14" t="s">
        <v>339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8" t="s">
        <v>345</v>
      </c>
      <c r="C377" s="20" t="s">
        <v>24</v>
      </c>
      <c r="D377" s="10" t="s">
        <v>346</v>
      </c>
      <c r="E377" s="11" t="s">
        <v>29</v>
      </c>
    </row>
    <row r="378">
      <c r="A378" s="48">
        <v>0.9583333333333334</v>
      </c>
      <c r="B378" s="12" t="s">
        <v>347</v>
      </c>
      <c r="C378" s="20" t="s">
        <v>348</v>
      </c>
      <c r="D378" s="14" t="s">
        <v>349</v>
      </c>
      <c r="E378" s="11" t="s">
        <v>33</v>
      </c>
    </row>
    <row r="379">
      <c r="A379" s="48">
        <v>0.9680555555555556</v>
      </c>
      <c r="B379" s="12" t="s">
        <v>347</v>
      </c>
      <c r="C379" s="20" t="s">
        <v>292</v>
      </c>
      <c r="D379" s="14" t="s">
        <v>346</v>
      </c>
      <c r="E379" s="11" t="s">
        <v>29</v>
      </c>
    </row>
    <row r="380">
      <c r="A380" s="48">
        <v>0.9680555555555556</v>
      </c>
      <c r="B380" s="12" t="s">
        <v>350</v>
      </c>
      <c r="C380" s="20" t="s">
        <v>351</v>
      </c>
      <c r="D380" s="14" t="s">
        <v>349</v>
      </c>
      <c r="E380" s="55" t="s">
        <v>33</v>
      </c>
    </row>
    <row r="381">
      <c r="A381" s="48">
        <v>0.9784722222222222</v>
      </c>
      <c r="B381" s="12" t="s">
        <v>350</v>
      </c>
      <c r="C381" s="20" t="s">
        <v>177</v>
      </c>
      <c r="D381" s="14" t="s">
        <v>347</v>
      </c>
      <c r="E381" s="11" t="s">
        <v>29</v>
      </c>
    </row>
    <row r="382">
      <c r="A382" s="48">
        <v>0.9784722222222222</v>
      </c>
      <c r="B382" s="12" t="s">
        <v>349</v>
      </c>
      <c r="C382" s="20" t="s">
        <v>210</v>
      </c>
      <c r="D382" s="14" t="s">
        <v>345</v>
      </c>
      <c r="E382" s="55" t="s">
        <v>33</v>
      </c>
    </row>
    <row r="383">
      <c r="A383" s="48">
        <v>0.9888888888888889</v>
      </c>
      <c r="B383" s="12" t="s">
        <v>350</v>
      </c>
      <c r="C383" s="20" t="s">
        <v>208</v>
      </c>
      <c r="D383" s="14" t="s">
        <v>346</v>
      </c>
      <c r="E383" s="11" t="s">
        <v>29</v>
      </c>
    </row>
    <row r="384">
      <c r="A384" s="48">
        <v>0.9888888888888889</v>
      </c>
      <c r="B384" s="12" t="s">
        <v>345</v>
      </c>
      <c r="C384" s="20" t="s">
        <v>23</v>
      </c>
      <c r="D384" s="14" t="s">
        <v>347</v>
      </c>
      <c r="E384" s="55" t="s">
        <v>33</v>
      </c>
    </row>
    <row r="385">
      <c r="A385" s="48">
        <v>0.9986111111111111</v>
      </c>
      <c r="B385" s="12" t="s">
        <v>349</v>
      </c>
      <c r="C385" s="20" t="s">
        <v>20</v>
      </c>
      <c r="D385" s="14" t="s">
        <v>346</v>
      </c>
      <c r="E385" s="11" t="s">
        <v>29</v>
      </c>
    </row>
    <row r="386">
      <c r="A386" s="48">
        <v>0.9986111111111111</v>
      </c>
      <c r="B386" s="12" t="s">
        <v>345</v>
      </c>
      <c r="C386" s="20" t="s">
        <v>352</v>
      </c>
      <c r="D386" s="14" t="s">
        <v>350</v>
      </c>
      <c r="E386" s="55" t="s">
        <v>33</v>
      </c>
    </row>
    <row r="387">
      <c r="A387" s="48">
        <v>0.009027777777777777</v>
      </c>
      <c r="B387" s="12" t="s">
        <v>346</v>
      </c>
      <c r="C387" s="20" t="s">
        <v>166</v>
      </c>
      <c r="D387" s="14" t="s">
        <v>345</v>
      </c>
      <c r="E387" s="11" t="s">
        <v>29</v>
      </c>
    </row>
    <row r="388">
      <c r="A388" s="48">
        <v>0.009027777777777777</v>
      </c>
      <c r="B388" s="12" t="s">
        <v>349</v>
      </c>
      <c r="C388" s="20" t="s">
        <v>181</v>
      </c>
      <c r="D388" s="14" t="s">
        <v>347</v>
      </c>
      <c r="E388" s="55" t="s">
        <v>33</v>
      </c>
    </row>
    <row r="389">
      <c r="A389" s="48">
        <v>0.019444444444444445</v>
      </c>
      <c r="B389" s="12" t="s">
        <v>346</v>
      </c>
      <c r="C389" s="20" t="s">
        <v>36</v>
      </c>
      <c r="D389" s="14" t="s">
        <v>347</v>
      </c>
      <c r="E389" s="11" t="s">
        <v>29</v>
      </c>
    </row>
    <row r="390">
      <c r="A390" s="48">
        <v>0.019444444444444445</v>
      </c>
      <c r="B390" s="12" t="s">
        <v>349</v>
      </c>
      <c r="C390" s="20" t="s">
        <v>353</v>
      </c>
      <c r="D390" s="14" t="s">
        <v>350</v>
      </c>
      <c r="E390" s="55" t="s">
        <v>33</v>
      </c>
    </row>
    <row r="391">
      <c r="A391" s="48">
        <v>0.029166666666666667</v>
      </c>
      <c r="B391" s="12" t="s">
        <v>347</v>
      </c>
      <c r="C391" s="20" t="s">
        <v>354</v>
      </c>
      <c r="D391" s="14" t="s">
        <v>350</v>
      </c>
      <c r="E391" s="11" t="s">
        <v>29</v>
      </c>
    </row>
    <row r="392">
      <c r="A392" s="48">
        <v>0.029166666666666667</v>
      </c>
      <c r="B392" s="12" t="s">
        <v>345</v>
      </c>
      <c r="C392" s="20" t="s">
        <v>233</v>
      </c>
      <c r="D392" s="14" t="s">
        <v>349</v>
      </c>
      <c r="E392" s="55" t="s">
        <v>33</v>
      </c>
    </row>
    <row r="393">
      <c r="A393" s="48">
        <v>0.03958333333333333</v>
      </c>
      <c r="B393" s="12" t="s">
        <v>346</v>
      </c>
      <c r="C393" s="20" t="s">
        <v>302</v>
      </c>
      <c r="D393" s="14" t="s">
        <v>350</v>
      </c>
      <c r="E393" s="11" t="s">
        <v>29</v>
      </c>
    </row>
    <row r="394">
      <c r="A394" s="48">
        <v>0.03958333333333333</v>
      </c>
      <c r="B394" s="12" t="s">
        <v>347</v>
      </c>
      <c r="C394" s="20" t="s">
        <v>23</v>
      </c>
      <c r="D394" s="14" t="s">
        <v>345</v>
      </c>
      <c r="E394" s="55" t="s">
        <v>33</v>
      </c>
    </row>
    <row r="395">
      <c r="A395" s="48">
        <v>0.05</v>
      </c>
      <c r="B395" s="12" t="s">
        <v>346</v>
      </c>
      <c r="C395" s="20" t="s">
        <v>205</v>
      </c>
      <c r="D395" s="14" t="s">
        <v>349</v>
      </c>
      <c r="E395" s="11" t="s">
        <v>29</v>
      </c>
    </row>
    <row r="396">
      <c r="A396" s="48">
        <v>0.05</v>
      </c>
      <c r="B396" s="12" t="s">
        <v>350</v>
      </c>
      <c r="C396" s="20" t="s">
        <v>355</v>
      </c>
      <c r="D396" s="14" t="s">
        <v>345</v>
      </c>
      <c r="E396" s="55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1"/>
    <hyperlink r:id="rId342" ref="E383"/>
    <hyperlink r:id="rId343" ref="E385"/>
    <hyperlink r:id="rId344" ref="E387"/>
    <hyperlink r:id="rId345" ref="E389"/>
    <hyperlink r:id="rId346" ref="E391"/>
    <hyperlink r:id="rId347" ref="E393"/>
    <hyperlink r:id="rId348" ref="E395"/>
  </hyperlinks>
  <drawing r:id="rId3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56" t="s">
        <v>356</v>
      </c>
      <c r="C3" s="57" t="s">
        <v>357</v>
      </c>
      <c r="D3" s="58" t="s">
        <v>358</v>
      </c>
      <c r="E3" s="11" t="s">
        <v>9</v>
      </c>
    </row>
    <row r="4">
      <c r="A4" s="7">
        <v>0.0625</v>
      </c>
      <c r="B4" s="56" t="s">
        <v>359</v>
      </c>
      <c r="C4" s="57" t="s">
        <v>181</v>
      </c>
      <c r="D4" s="56" t="s">
        <v>360</v>
      </c>
      <c r="E4" s="11" t="s">
        <v>13</v>
      </c>
    </row>
    <row r="5">
      <c r="A5" s="7">
        <v>0.07222222222222222</v>
      </c>
      <c r="B5" s="58" t="s">
        <v>359</v>
      </c>
      <c r="C5" s="57" t="s">
        <v>279</v>
      </c>
      <c r="D5" s="56" t="s">
        <v>358</v>
      </c>
      <c r="E5" s="11" t="s">
        <v>9</v>
      </c>
    </row>
    <row r="6">
      <c r="A6" s="7">
        <v>0.07222222222222222</v>
      </c>
      <c r="B6" s="56" t="s">
        <v>361</v>
      </c>
      <c r="C6" s="57" t="s">
        <v>173</v>
      </c>
      <c r="D6" s="58" t="s">
        <v>360</v>
      </c>
      <c r="E6" s="11" t="s">
        <v>13</v>
      </c>
    </row>
    <row r="7">
      <c r="A7" s="7">
        <v>0.08263888888888889</v>
      </c>
      <c r="B7" s="58" t="s">
        <v>361</v>
      </c>
      <c r="C7" s="57" t="s">
        <v>17</v>
      </c>
      <c r="D7" s="56" t="s">
        <v>359</v>
      </c>
      <c r="E7" s="11" t="s">
        <v>9</v>
      </c>
    </row>
    <row r="8">
      <c r="A8" s="7">
        <v>0.08263888888888889</v>
      </c>
      <c r="B8" s="56" t="s">
        <v>360</v>
      </c>
      <c r="C8" s="57" t="s">
        <v>195</v>
      </c>
      <c r="D8" s="56" t="s">
        <v>356</v>
      </c>
      <c r="E8" s="11" t="s">
        <v>13</v>
      </c>
    </row>
    <row r="9">
      <c r="A9" s="7">
        <v>0.09305555555555556</v>
      </c>
      <c r="B9" s="58" t="s">
        <v>361</v>
      </c>
      <c r="C9" s="57" t="s">
        <v>219</v>
      </c>
      <c r="D9" s="58" t="s">
        <v>358</v>
      </c>
      <c r="E9" s="11" t="s">
        <v>9</v>
      </c>
    </row>
    <row r="10">
      <c r="A10" s="7">
        <v>0.09305555555555556</v>
      </c>
      <c r="B10" s="56" t="s">
        <v>356</v>
      </c>
      <c r="C10" s="57" t="s">
        <v>194</v>
      </c>
      <c r="D10" s="56" t="s">
        <v>359</v>
      </c>
      <c r="E10" s="11" t="s">
        <v>13</v>
      </c>
    </row>
    <row r="11">
      <c r="A11" s="7">
        <v>0.10277777777777777</v>
      </c>
      <c r="B11" s="58" t="s">
        <v>360</v>
      </c>
      <c r="C11" s="57" t="s">
        <v>344</v>
      </c>
      <c r="D11" s="56" t="s">
        <v>358</v>
      </c>
      <c r="E11" s="11" t="s">
        <v>9</v>
      </c>
    </row>
    <row r="12">
      <c r="A12" s="7">
        <v>0.10277777777777777</v>
      </c>
      <c r="B12" s="56" t="s">
        <v>356</v>
      </c>
      <c r="C12" s="57" t="s">
        <v>162</v>
      </c>
      <c r="D12" s="58" t="s">
        <v>361</v>
      </c>
      <c r="E12" s="11" t="s">
        <v>13</v>
      </c>
    </row>
    <row r="13">
      <c r="A13" s="7">
        <v>0.11319444444444444</v>
      </c>
      <c r="B13" s="58" t="s">
        <v>358</v>
      </c>
      <c r="C13" s="57" t="s">
        <v>239</v>
      </c>
      <c r="D13" s="56" t="s">
        <v>356</v>
      </c>
      <c r="E13" s="11" t="s">
        <v>9</v>
      </c>
    </row>
    <row r="14">
      <c r="A14" s="7">
        <v>0.11319444444444444</v>
      </c>
      <c r="B14" s="56" t="s">
        <v>360</v>
      </c>
      <c r="C14" s="57" t="s">
        <v>195</v>
      </c>
      <c r="D14" s="56" t="s">
        <v>359</v>
      </c>
      <c r="E14" s="11" t="s">
        <v>13</v>
      </c>
    </row>
    <row r="15">
      <c r="A15" s="7">
        <v>0.12361111111111112</v>
      </c>
      <c r="B15" s="56" t="s">
        <v>358</v>
      </c>
      <c r="C15" s="45" t="s">
        <v>362</v>
      </c>
      <c r="D15" s="58" t="s">
        <v>359</v>
      </c>
      <c r="E15" s="11" t="s">
        <v>9</v>
      </c>
    </row>
    <row r="16">
      <c r="A16" s="7">
        <v>0.12361111111111112</v>
      </c>
      <c r="B16" s="58" t="s">
        <v>360</v>
      </c>
      <c r="C16" s="45" t="s">
        <v>185</v>
      </c>
      <c r="D16" s="56" t="s">
        <v>361</v>
      </c>
      <c r="E16" s="11" t="s">
        <v>13</v>
      </c>
    </row>
    <row r="17">
      <c r="A17" s="7">
        <v>0.13333333333333333</v>
      </c>
      <c r="B17" s="56" t="s">
        <v>359</v>
      </c>
      <c r="C17" s="45" t="s">
        <v>256</v>
      </c>
      <c r="D17" s="58" t="s">
        <v>361</v>
      </c>
      <c r="E17" s="11" t="s">
        <v>9</v>
      </c>
    </row>
    <row r="18">
      <c r="A18" s="7">
        <v>0.13333333333333333</v>
      </c>
      <c r="B18" s="56" t="s">
        <v>356</v>
      </c>
      <c r="C18" s="45" t="s">
        <v>162</v>
      </c>
      <c r="D18" s="56" t="s">
        <v>360</v>
      </c>
      <c r="E18" s="11" t="s">
        <v>13</v>
      </c>
    </row>
    <row r="19">
      <c r="A19" s="7">
        <v>0.14375</v>
      </c>
      <c r="B19" s="58" t="s">
        <v>358</v>
      </c>
      <c r="C19" s="45" t="s">
        <v>42</v>
      </c>
      <c r="D19" s="58" t="s">
        <v>361</v>
      </c>
      <c r="E19" s="11" t="s">
        <v>9</v>
      </c>
    </row>
    <row r="20">
      <c r="A20" s="7">
        <v>0.14375</v>
      </c>
      <c r="B20" s="56" t="s">
        <v>359</v>
      </c>
      <c r="C20" s="45" t="s">
        <v>173</v>
      </c>
      <c r="D20" s="56" t="s">
        <v>356</v>
      </c>
      <c r="E20" s="11" t="s">
        <v>13</v>
      </c>
    </row>
    <row r="21">
      <c r="A21" s="7">
        <v>0.15416666666666667</v>
      </c>
      <c r="B21" s="56" t="s">
        <v>358</v>
      </c>
      <c r="C21" s="45" t="s">
        <v>357</v>
      </c>
      <c r="D21" s="58" t="s">
        <v>360</v>
      </c>
      <c r="E21" s="11" t="s">
        <v>9</v>
      </c>
    </row>
    <row r="22">
      <c r="A22" s="7">
        <v>0.15416666666666667</v>
      </c>
      <c r="B22" s="58" t="s">
        <v>361</v>
      </c>
      <c r="C22" s="45" t="s">
        <v>301</v>
      </c>
      <c r="D22" s="56" t="s">
        <v>356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56" t="s">
        <v>363</v>
      </c>
      <c r="C25" s="45" t="s">
        <v>292</v>
      </c>
      <c r="D25" s="56" t="s">
        <v>364</v>
      </c>
      <c r="E25" s="11" t="s">
        <v>29</v>
      </c>
    </row>
    <row r="26">
      <c r="A26" s="7">
        <v>0.0625</v>
      </c>
      <c r="B26" s="56" t="s">
        <v>140</v>
      </c>
      <c r="C26" s="45" t="s">
        <v>324</v>
      </c>
      <c r="D26" s="56" t="s">
        <v>365</v>
      </c>
      <c r="E26" s="11" t="s">
        <v>33</v>
      </c>
    </row>
    <row r="27">
      <c r="A27" s="7">
        <v>0.07222222222222222</v>
      </c>
      <c r="B27" s="58" t="s">
        <v>140</v>
      </c>
      <c r="C27" s="45" t="s">
        <v>366</v>
      </c>
      <c r="D27" s="58" t="s">
        <v>364</v>
      </c>
      <c r="E27" s="11" t="s">
        <v>29</v>
      </c>
    </row>
    <row r="28">
      <c r="A28" s="7">
        <v>0.07222222222222222</v>
      </c>
      <c r="B28" s="56" t="s">
        <v>367</v>
      </c>
      <c r="C28" s="45" t="s">
        <v>368</v>
      </c>
      <c r="D28" s="56" t="s">
        <v>365</v>
      </c>
      <c r="E28" s="11" t="s">
        <v>33</v>
      </c>
    </row>
    <row r="29">
      <c r="A29" s="7">
        <v>0.08263888888888889</v>
      </c>
      <c r="B29" s="58" t="s">
        <v>367</v>
      </c>
      <c r="C29" s="45" t="s">
        <v>163</v>
      </c>
      <c r="D29" s="56" t="s">
        <v>140</v>
      </c>
      <c r="E29" s="11" t="s">
        <v>29</v>
      </c>
    </row>
    <row r="30">
      <c r="A30" s="7">
        <v>0.08263888888888889</v>
      </c>
      <c r="B30" s="56" t="s">
        <v>365</v>
      </c>
      <c r="C30" s="45" t="s">
        <v>290</v>
      </c>
      <c r="D30" s="56" t="s">
        <v>363</v>
      </c>
      <c r="E30" s="11" t="s">
        <v>33</v>
      </c>
    </row>
    <row r="31">
      <c r="A31" s="7">
        <v>0.09305555555555556</v>
      </c>
      <c r="B31" s="58" t="s">
        <v>367</v>
      </c>
      <c r="C31" s="45" t="s">
        <v>155</v>
      </c>
      <c r="D31" s="56" t="s">
        <v>364</v>
      </c>
      <c r="E31" s="11" t="s">
        <v>29</v>
      </c>
    </row>
    <row r="32">
      <c r="A32" s="7">
        <v>0.09305555555555556</v>
      </c>
      <c r="B32" s="56" t="s">
        <v>363</v>
      </c>
      <c r="C32" s="45" t="s">
        <v>205</v>
      </c>
      <c r="D32" s="58" t="s">
        <v>140</v>
      </c>
      <c r="E32" s="11" t="s">
        <v>33</v>
      </c>
    </row>
    <row r="33">
      <c r="A33" s="7">
        <v>0.10277777777777777</v>
      </c>
      <c r="B33" s="56" t="s">
        <v>365</v>
      </c>
      <c r="C33" s="45" t="s">
        <v>271</v>
      </c>
      <c r="D33" s="56" t="s">
        <v>364</v>
      </c>
      <c r="E33" s="11" t="s">
        <v>29</v>
      </c>
    </row>
    <row r="34">
      <c r="A34" s="7">
        <v>0.10277777777777777</v>
      </c>
      <c r="B34" s="56" t="s">
        <v>363</v>
      </c>
      <c r="C34" s="45" t="s">
        <v>369</v>
      </c>
      <c r="D34" s="56" t="s">
        <v>367</v>
      </c>
      <c r="E34" s="11" t="s">
        <v>33</v>
      </c>
    </row>
    <row r="35">
      <c r="A35" s="7">
        <v>0.11319444444444444</v>
      </c>
      <c r="B35" s="56" t="s">
        <v>364</v>
      </c>
      <c r="C35" s="45" t="s">
        <v>290</v>
      </c>
      <c r="D35" s="56" t="s">
        <v>363</v>
      </c>
      <c r="E35" s="11" t="s">
        <v>29</v>
      </c>
    </row>
    <row r="36">
      <c r="A36" s="7">
        <v>0.11319444444444444</v>
      </c>
      <c r="B36" s="56" t="s">
        <v>365</v>
      </c>
      <c r="C36" s="45" t="s">
        <v>291</v>
      </c>
      <c r="D36" s="56" t="s">
        <v>140</v>
      </c>
      <c r="E36" s="11" t="s">
        <v>33</v>
      </c>
    </row>
    <row r="37">
      <c r="A37" s="7">
        <v>0.12361111111111112</v>
      </c>
      <c r="B37" s="58" t="s">
        <v>364</v>
      </c>
      <c r="C37" s="45" t="s">
        <v>250</v>
      </c>
      <c r="D37" s="58" t="s">
        <v>140</v>
      </c>
      <c r="E37" s="11" t="s">
        <v>29</v>
      </c>
    </row>
    <row r="38">
      <c r="A38" s="7">
        <v>0.12361111111111112</v>
      </c>
      <c r="B38" s="56" t="s">
        <v>365</v>
      </c>
      <c r="C38" s="45" t="s">
        <v>256</v>
      </c>
      <c r="D38" s="56" t="s">
        <v>367</v>
      </c>
      <c r="E38" s="11" t="s">
        <v>33</v>
      </c>
    </row>
    <row r="39">
      <c r="A39" s="7">
        <v>0.13333333333333333</v>
      </c>
      <c r="B39" s="56" t="s">
        <v>140</v>
      </c>
      <c r="C39" s="45" t="s">
        <v>231</v>
      </c>
      <c r="D39" s="58" t="s">
        <v>367</v>
      </c>
      <c r="E39" s="11" t="s">
        <v>29</v>
      </c>
    </row>
    <row r="40">
      <c r="A40" s="7">
        <v>0.13333333333333333</v>
      </c>
      <c r="B40" s="56" t="s">
        <v>363</v>
      </c>
      <c r="C40" s="45" t="s">
        <v>311</v>
      </c>
      <c r="D40" s="56" t="s">
        <v>365</v>
      </c>
      <c r="E40" s="11" t="s">
        <v>33</v>
      </c>
    </row>
    <row r="41">
      <c r="A41" s="7">
        <v>0.14375</v>
      </c>
      <c r="B41" s="56" t="s">
        <v>364</v>
      </c>
      <c r="C41" s="45" t="s">
        <v>194</v>
      </c>
      <c r="D41" s="58" t="s">
        <v>367</v>
      </c>
      <c r="E41" s="11" t="s">
        <v>29</v>
      </c>
    </row>
    <row r="42">
      <c r="A42" s="7">
        <v>0.14375</v>
      </c>
      <c r="B42" s="58" t="s">
        <v>140</v>
      </c>
      <c r="C42" s="45" t="s">
        <v>40</v>
      </c>
      <c r="D42" s="56" t="s">
        <v>363</v>
      </c>
      <c r="E42" s="11" t="s">
        <v>33</v>
      </c>
    </row>
    <row r="43">
      <c r="A43" s="7">
        <v>0.15416666666666667</v>
      </c>
      <c r="B43" s="56" t="s">
        <v>364</v>
      </c>
      <c r="C43" s="45" t="s">
        <v>162</v>
      </c>
      <c r="D43" s="56" t="s">
        <v>365</v>
      </c>
      <c r="E43" s="11" t="s">
        <v>29</v>
      </c>
    </row>
    <row r="44">
      <c r="A44" s="7">
        <v>0.15416666666666667</v>
      </c>
      <c r="B44" s="56" t="s">
        <v>367</v>
      </c>
      <c r="C44" s="45" t="s">
        <v>352</v>
      </c>
      <c r="D44" s="56" t="s">
        <v>363</v>
      </c>
      <c r="E44" s="11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56" t="s">
        <v>370</v>
      </c>
      <c r="C47" s="45" t="s">
        <v>208</v>
      </c>
      <c r="D47" s="56" t="s">
        <v>371</v>
      </c>
      <c r="E47" s="11" t="s">
        <v>9</v>
      </c>
    </row>
    <row r="48">
      <c r="A48" s="7">
        <v>0.16666666666666666</v>
      </c>
      <c r="B48" s="56" t="s">
        <v>48</v>
      </c>
      <c r="C48" s="45" t="s">
        <v>251</v>
      </c>
      <c r="D48" s="56" t="s">
        <v>372</v>
      </c>
      <c r="E48" s="11" t="s">
        <v>13</v>
      </c>
    </row>
    <row r="49">
      <c r="A49" s="7">
        <v>0.1763888888888889</v>
      </c>
      <c r="B49" s="56" t="s">
        <v>48</v>
      </c>
      <c r="C49" s="45" t="s">
        <v>373</v>
      </c>
      <c r="D49" s="56" t="s">
        <v>371</v>
      </c>
      <c r="E49" s="11" t="s">
        <v>9</v>
      </c>
    </row>
    <row r="50">
      <c r="A50" s="7">
        <v>0.1763888888888889</v>
      </c>
      <c r="B50" s="56" t="s">
        <v>374</v>
      </c>
      <c r="C50" s="45" t="s">
        <v>209</v>
      </c>
      <c r="D50" s="56" t="s">
        <v>372</v>
      </c>
      <c r="E50" s="11" t="s">
        <v>13</v>
      </c>
    </row>
    <row r="51">
      <c r="A51" s="7">
        <v>0.18680555555555556</v>
      </c>
      <c r="B51" s="56" t="s">
        <v>374</v>
      </c>
      <c r="C51" s="45" t="s">
        <v>375</v>
      </c>
      <c r="D51" s="56" t="s">
        <v>48</v>
      </c>
      <c r="E51" s="11" t="s">
        <v>9</v>
      </c>
    </row>
    <row r="52">
      <c r="A52" s="7">
        <v>0.18680555555555556</v>
      </c>
      <c r="B52" s="56" t="s">
        <v>372</v>
      </c>
      <c r="C52" s="45" t="s">
        <v>41</v>
      </c>
      <c r="D52" s="56" t="s">
        <v>370</v>
      </c>
      <c r="E52" s="11" t="s">
        <v>13</v>
      </c>
    </row>
    <row r="53">
      <c r="A53" s="7">
        <v>0.19722222222222222</v>
      </c>
      <c r="B53" s="56" t="s">
        <v>374</v>
      </c>
      <c r="C53" s="45" t="s">
        <v>155</v>
      </c>
      <c r="D53" s="56" t="s">
        <v>371</v>
      </c>
      <c r="E53" s="11" t="s">
        <v>9</v>
      </c>
    </row>
    <row r="54">
      <c r="A54" s="7">
        <v>0.19722222222222222</v>
      </c>
      <c r="B54" s="56" t="s">
        <v>370</v>
      </c>
      <c r="C54" s="45" t="s">
        <v>195</v>
      </c>
      <c r="D54" s="56" t="s">
        <v>48</v>
      </c>
      <c r="E54" s="11" t="s">
        <v>13</v>
      </c>
    </row>
    <row r="55">
      <c r="A55" s="7">
        <v>0.20694444444444443</v>
      </c>
      <c r="B55" s="56" t="s">
        <v>372</v>
      </c>
      <c r="C55" s="45" t="s">
        <v>36</v>
      </c>
      <c r="D55" s="56" t="s">
        <v>371</v>
      </c>
      <c r="E55" s="11" t="s">
        <v>9</v>
      </c>
    </row>
    <row r="56">
      <c r="A56" s="7">
        <v>0.20694444444444443</v>
      </c>
      <c r="B56" s="56" t="s">
        <v>370</v>
      </c>
      <c r="C56" s="45" t="s">
        <v>220</v>
      </c>
      <c r="D56" s="56" t="s">
        <v>374</v>
      </c>
      <c r="E56" s="11" t="s">
        <v>13</v>
      </c>
    </row>
    <row r="57">
      <c r="A57" s="7">
        <v>0.21736111111111112</v>
      </c>
      <c r="B57" s="56" t="s">
        <v>371</v>
      </c>
      <c r="C57" s="45" t="s">
        <v>251</v>
      </c>
      <c r="D57" s="56" t="s">
        <v>370</v>
      </c>
      <c r="E57" s="11" t="s">
        <v>9</v>
      </c>
    </row>
    <row r="58">
      <c r="A58" s="7">
        <v>0.21736111111111112</v>
      </c>
      <c r="B58" s="56" t="s">
        <v>372</v>
      </c>
      <c r="C58" s="45" t="s">
        <v>257</v>
      </c>
      <c r="D58" s="56" t="s">
        <v>48</v>
      </c>
      <c r="E58" s="11" t="s">
        <v>13</v>
      </c>
    </row>
    <row r="59">
      <c r="A59" s="7">
        <v>0.22777777777777777</v>
      </c>
      <c r="B59" s="56" t="s">
        <v>371</v>
      </c>
      <c r="C59" s="45" t="s">
        <v>248</v>
      </c>
      <c r="D59" s="56" t="s">
        <v>48</v>
      </c>
      <c r="E59" s="11" t="s">
        <v>9</v>
      </c>
    </row>
    <row r="60">
      <c r="A60" s="7">
        <v>0.22777777777777777</v>
      </c>
      <c r="B60" s="56" t="s">
        <v>372</v>
      </c>
      <c r="C60" s="45" t="s">
        <v>289</v>
      </c>
      <c r="D60" s="56" t="s">
        <v>374</v>
      </c>
      <c r="E60" s="11" t="s">
        <v>13</v>
      </c>
    </row>
    <row r="61">
      <c r="A61" s="7">
        <v>0.2375</v>
      </c>
      <c r="B61" s="56" t="s">
        <v>48</v>
      </c>
      <c r="C61" s="45" t="s">
        <v>324</v>
      </c>
      <c r="D61" s="56" t="s">
        <v>374</v>
      </c>
      <c r="E61" s="11" t="s">
        <v>9</v>
      </c>
    </row>
    <row r="62">
      <c r="A62" s="7">
        <v>0.2375</v>
      </c>
      <c r="B62" s="56" t="s">
        <v>370</v>
      </c>
      <c r="C62" s="45" t="s">
        <v>376</v>
      </c>
      <c r="D62" s="56" t="s">
        <v>372</v>
      </c>
      <c r="E62" s="11" t="s">
        <v>13</v>
      </c>
    </row>
    <row r="63">
      <c r="A63" s="7">
        <v>0.24791666666666667</v>
      </c>
      <c r="B63" s="56" t="s">
        <v>371</v>
      </c>
      <c r="C63" s="45" t="s">
        <v>38</v>
      </c>
      <c r="D63" s="56" t="s">
        <v>374</v>
      </c>
      <c r="E63" s="11" t="s">
        <v>9</v>
      </c>
    </row>
    <row r="64">
      <c r="A64" s="7">
        <v>0.24791666666666667</v>
      </c>
      <c r="B64" s="56" t="s">
        <v>48</v>
      </c>
      <c r="C64" s="45" t="s">
        <v>225</v>
      </c>
      <c r="D64" s="56" t="s">
        <v>370</v>
      </c>
      <c r="E64" s="11" t="s">
        <v>13</v>
      </c>
    </row>
    <row r="65">
      <c r="A65" s="7">
        <v>0.25833333333333336</v>
      </c>
      <c r="B65" s="56" t="s">
        <v>371</v>
      </c>
      <c r="C65" s="45" t="s">
        <v>251</v>
      </c>
      <c r="D65" s="56" t="s">
        <v>372</v>
      </c>
      <c r="E65" s="11" t="s">
        <v>9</v>
      </c>
    </row>
    <row r="66">
      <c r="A66" s="7">
        <v>0.25833333333333336</v>
      </c>
      <c r="B66" s="56" t="s">
        <v>374</v>
      </c>
      <c r="C66" s="45" t="s">
        <v>362</v>
      </c>
      <c r="D66" s="56" t="s">
        <v>370</v>
      </c>
      <c r="E66" s="11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56" t="s">
        <v>377</v>
      </c>
      <c r="C69" s="45" t="s">
        <v>155</v>
      </c>
      <c r="D69" s="56" t="s">
        <v>378</v>
      </c>
      <c r="E69" s="11" t="s">
        <v>29</v>
      </c>
    </row>
    <row r="70">
      <c r="A70" s="7">
        <v>0.16666666666666666</v>
      </c>
      <c r="B70" s="56" t="s">
        <v>149</v>
      </c>
      <c r="C70" s="45" t="s">
        <v>37</v>
      </c>
      <c r="D70" s="56" t="s">
        <v>379</v>
      </c>
      <c r="E70" s="11" t="s">
        <v>33</v>
      </c>
    </row>
    <row r="71">
      <c r="A71" s="7">
        <v>0.1763888888888889</v>
      </c>
      <c r="B71" s="56" t="s">
        <v>149</v>
      </c>
      <c r="C71" s="45" t="s">
        <v>184</v>
      </c>
      <c r="D71" s="56" t="s">
        <v>378</v>
      </c>
      <c r="E71" s="11" t="s">
        <v>29</v>
      </c>
    </row>
    <row r="72">
      <c r="A72" s="7">
        <v>0.1763888888888889</v>
      </c>
      <c r="B72" s="56" t="s">
        <v>199</v>
      </c>
      <c r="C72" s="45" t="s">
        <v>380</v>
      </c>
      <c r="D72" s="56" t="s">
        <v>379</v>
      </c>
      <c r="E72" s="11" t="s">
        <v>33</v>
      </c>
    </row>
    <row r="73">
      <c r="A73" s="7">
        <v>0.18680555555555556</v>
      </c>
      <c r="B73" s="56" t="s">
        <v>199</v>
      </c>
      <c r="C73" s="45" t="s">
        <v>18</v>
      </c>
      <c r="D73" s="56" t="s">
        <v>149</v>
      </c>
      <c r="E73" s="11" t="s">
        <v>29</v>
      </c>
    </row>
    <row r="74">
      <c r="A74" s="7">
        <v>0.18680555555555556</v>
      </c>
      <c r="B74" s="56" t="s">
        <v>379</v>
      </c>
      <c r="C74" s="45" t="s">
        <v>196</v>
      </c>
      <c r="D74" s="56" t="s">
        <v>377</v>
      </c>
      <c r="E74" s="11" t="s">
        <v>33</v>
      </c>
    </row>
    <row r="75">
      <c r="A75" s="7">
        <v>0.19722222222222222</v>
      </c>
      <c r="B75" s="56" t="s">
        <v>199</v>
      </c>
      <c r="C75" s="45" t="s">
        <v>248</v>
      </c>
      <c r="D75" s="56" t="s">
        <v>378</v>
      </c>
      <c r="E75" s="11" t="s">
        <v>29</v>
      </c>
    </row>
    <row r="76">
      <c r="A76" s="7">
        <v>0.19722222222222222</v>
      </c>
      <c r="B76" s="56" t="s">
        <v>377</v>
      </c>
      <c r="C76" s="45" t="s">
        <v>233</v>
      </c>
      <c r="D76" s="56" t="s">
        <v>149</v>
      </c>
      <c r="E76" s="11" t="s">
        <v>33</v>
      </c>
    </row>
    <row r="77">
      <c r="A77" s="7">
        <v>0.20694444444444443</v>
      </c>
      <c r="B77" s="56" t="s">
        <v>379</v>
      </c>
      <c r="C77" s="45" t="s">
        <v>196</v>
      </c>
      <c r="D77" s="56" t="s">
        <v>378</v>
      </c>
      <c r="E77" s="11" t="s">
        <v>29</v>
      </c>
    </row>
    <row r="78">
      <c r="A78" s="7">
        <v>0.20694444444444443</v>
      </c>
      <c r="B78" s="56" t="s">
        <v>377</v>
      </c>
      <c r="C78" s="45" t="s">
        <v>38</v>
      </c>
      <c r="D78" s="56" t="s">
        <v>199</v>
      </c>
      <c r="E78" s="11" t="s">
        <v>33</v>
      </c>
    </row>
    <row r="79">
      <c r="A79" s="7">
        <v>0.21736111111111112</v>
      </c>
      <c r="B79" s="56" t="s">
        <v>378</v>
      </c>
      <c r="C79" s="45" t="s">
        <v>185</v>
      </c>
      <c r="D79" s="56" t="s">
        <v>377</v>
      </c>
      <c r="E79" s="11" t="s">
        <v>29</v>
      </c>
    </row>
    <row r="80">
      <c r="A80" s="7">
        <v>0.21736111111111112</v>
      </c>
      <c r="B80" s="56" t="s">
        <v>379</v>
      </c>
      <c r="C80" s="45" t="s">
        <v>381</v>
      </c>
      <c r="D80" s="56" t="s">
        <v>149</v>
      </c>
      <c r="E80" s="11" t="s">
        <v>33</v>
      </c>
    </row>
    <row r="81">
      <c r="A81" s="7">
        <v>0.22777777777777777</v>
      </c>
      <c r="B81" s="56" t="s">
        <v>378</v>
      </c>
      <c r="C81" s="45" t="s">
        <v>181</v>
      </c>
      <c r="D81" s="56" t="s">
        <v>149</v>
      </c>
      <c r="E81" s="11" t="s">
        <v>29</v>
      </c>
    </row>
    <row r="82">
      <c r="A82" s="7">
        <v>0.22777777777777777</v>
      </c>
      <c r="B82" s="56" t="s">
        <v>379</v>
      </c>
      <c r="C82" s="45" t="s">
        <v>382</v>
      </c>
      <c r="D82" s="56" t="s">
        <v>199</v>
      </c>
      <c r="E82" s="11" t="s">
        <v>33</v>
      </c>
    </row>
    <row r="83">
      <c r="A83" s="7">
        <v>0.2375</v>
      </c>
      <c r="B83" s="56" t="s">
        <v>149</v>
      </c>
      <c r="C83" s="45" t="s">
        <v>383</v>
      </c>
      <c r="D83" s="56" t="s">
        <v>199</v>
      </c>
      <c r="E83" s="11" t="s">
        <v>29</v>
      </c>
    </row>
    <row r="84">
      <c r="A84" s="7">
        <v>0.2375</v>
      </c>
      <c r="B84" s="56" t="s">
        <v>377</v>
      </c>
      <c r="C84" s="45" t="s">
        <v>158</v>
      </c>
      <c r="D84" s="56" t="s">
        <v>379</v>
      </c>
      <c r="E84" s="11" t="s">
        <v>33</v>
      </c>
    </row>
    <row r="85">
      <c r="A85" s="7">
        <v>0.24791666666666667</v>
      </c>
      <c r="B85" s="56" t="s">
        <v>378</v>
      </c>
      <c r="C85" s="45" t="s">
        <v>231</v>
      </c>
      <c r="D85" s="56" t="s">
        <v>199</v>
      </c>
      <c r="E85" s="11" t="s">
        <v>29</v>
      </c>
    </row>
    <row r="86">
      <c r="A86" s="7">
        <v>0.24791666666666667</v>
      </c>
      <c r="B86" s="56" t="s">
        <v>149</v>
      </c>
      <c r="C86" s="45" t="s">
        <v>163</v>
      </c>
      <c r="D86" s="56" t="s">
        <v>377</v>
      </c>
      <c r="E86" s="11" t="s">
        <v>33</v>
      </c>
    </row>
    <row r="87">
      <c r="A87" s="7">
        <v>0.25833333333333336</v>
      </c>
      <c r="B87" s="56" t="s">
        <v>378</v>
      </c>
      <c r="C87" s="45" t="s">
        <v>165</v>
      </c>
      <c r="D87" s="56" t="s">
        <v>379</v>
      </c>
      <c r="E87" s="11" t="s">
        <v>29</v>
      </c>
    </row>
    <row r="88">
      <c r="A88" s="24">
        <v>0.25833333333333336</v>
      </c>
      <c r="B88" s="56" t="s">
        <v>199</v>
      </c>
      <c r="C88" s="45" t="s">
        <v>186</v>
      </c>
      <c r="D88" s="56" t="s">
        <v>377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59" t="s">
        <v>384</v>
      </c>
      <c r="C91" s="45" t="s">
        <v>210</v>
      </c>
      <c r="D91" s="59" t="s">
        <v>385</v>
      </c>
      <c r="E91" s="11" t="s">
        <v>9</v>
      </c>
    </row>
    <row r="92">
      <c r="A92" s="48">
        <v>0.3333333333333333</v>
      </c>
      <c r="B92" s="59" t="s">
        <v>386</v>
      </c>
      <c r="C92" s="45" t="s">
        <v>280</v>
      </c>
      <c r="D92" s="59" t="s">
        <v>387</v>
      </c>
      <c r="E92" s="11" t="s">
        <v>13</v>
      </c>
    </row>
    <row r="93">
      <c r="A93" s="48">
        <v>0.34305555555555556</v>
      </c>
      <c r="B93" s="59" t="s">
        <v>386</v>
      </c>
      <c r="C93" s="45" t="s">
        <v>271</v>
      </c>
      <c r="D93" s="59" t="s">
        <v>385</v>
      </c>
      <c r="E93" s="11" t="s">
        <v>9</v>
      </c>
    </row>
    <row r="94">
      <c r="A94" s="48">
        <v>0.34305555555555556</v>
      </c>
      <c r="B94" s="59" t="s">
        <v>388</v>
      </c>
      <c r="C94" s="45" t="s">
        <v>208</v>
      </c>
      <c r="D94" s="59" t="s">
        <v>387</v>
      </c>
      <c r="E94" s="11" t="s">
        <v>13</v>
      </c>
    </row>
    <row r="95">
      <c r="A95" s="48">
        <v>0.35347222222222224</v>
      </c>
      <c r="B95" s="59" t="s">
        <v>388</v>
      </c>
      <c r="C95" s="45" t="s">
        <v>389</v>
      </c>
      <c r="D95" s="59" t="s">
        <v>386</v>
      </c>
      <c r="E95" s="11" t="s">
        <v>9</v>
      </c>
    </row>
    <row r="96">
      <c r="A96" s="48">
        <v>0.35347222222222224</v>
      </c>
      <c r="B96" s="59" t="s">
        <v>387</v>
      </c>
      <c r="C96" s="45" t="s">
        <v>185</v>
      </c>
      <c r="D96" s="59" t="s">
        <v>384</v>
      </c>
      <c r="E96" s="11" t="s">
        <v>13</v>
      </c>
    </row>
    <row r="97">
      <c r="A97" s="48">
        <v>0.3638888888888889</v>
      </c>
      <c r="B97" s="59" t="s">
        <v>388</v>
      </c>
      <c r="C97" s="45" t="s">
        <v>185</v>
      </c>
      <c r="D97" s="59" t="s">
        <v>385</v>
      </c>
      <c r="E97" s="11" t="s">
        <v>9</v>
      </c>
    </row>
    <row r="98">
      <c r="A98" s="48">
        <v>0.3638888888888889</v>
      </c>
      <c r="B98" s="59" t="s">
        <v>384</v>
      </c>
      <c r="C98" s="45" t="s">
        <v>218</v>
      </c>
      <c r="D98" s="59" t="s">
        <v>386</v>
      </c>
      <c r="E98" s="11" t="s">
        <v>13</v>
      </c>
    </row>
    <row r="99">
      <c r="A99" s="48">
        <v>0.3736111111111111</v>
      </c>
      <c r="B99" s="59" t="s">
        <v>387</v>
      </c>
      <c r="C99" s="45" t="s">
        <v>44</v>
      </c>
      <c r="D99" s="59" t="s">
        <v>385</v>
      </c>
      <c r="E99" s="11" t="s">
        <v>9</v>
      </c>
    </row>
    <row r="100">
      <c r="A100" s="48">
        <v>0.3736111111111111</v>
      </c>
      <c r="B100" s="59" t="s">
        <v>384</v>
      </c>
      <c r="C100" s="45" t="s">
        <v>219</v>
      </c>
      <c r="D100" s="59" t="s">
        <v>388</v>
      </c>
      <c r="E100" s="11" t="s">
        <v>13</v>
      </c>
    </row>
    <row r="101">
      <c r="A101" s="48">
        <v>0.3840277777777778</v>
      </c>
      <c r="B101" s="59" t="s">
        <v>385</v>
      </c>
      <c r="C101" s="45" t="s">
        <v>20</v>
      </c>
      <c r="D101" s="59" t="s">
        <v>384</v>
      </c>
      <c r="E101" s="11" t="s">
        <v>9</v>
      </c>
    </row>
    <row r="102">
      <c r="A102" s="48">
        <v>0.3840277777777778</v>
      </c>
      <c r="B102" s="59" t="s">
        <v>387</v>
      </c>
      <c r="C102" s="45" t="s">
        <v>219</v>
      </c>
      <c r="D102" s="59" t="s">
        <v>386</v>
      </c>
      <c r="E102" s="11" t="s">
        <v>13</v>
      </c>
    </row>
    <row r="103">
      <c r="A103" s="48">
        <v>0.39444444444444443</v>
      </c>
      <c r="B103" s="59" t="s">
        <v>385</v>
      </c>
      <c r="C103" s="45" t="s">
        <v>198</v>
      </c>
      <c r="D103" s="59" t="s">
        <v>386</v>
      </c>
      <c r="E103" s="11" t="s">
        <v>9</v>
      </c>
    </row>
    <row r="104">
      <c r="A104" s="48">
        <v>0.39444444444444443</v>
      </c>
      <c r="B104" s="59" t="s">
        <v>387</v>
      </c>
      <c r="C104" s="45" t="s">
        <v>301</v>
      </c>
      <c r="D104" s="59" t="s">
        <v>388</v>
      </c>
      <c r="E104" s="11" t="s">
        <v>13</v>
      </c>
    </row>
    <row r="105">
      <c r="A105" s="48">
        <v>0.4041666666666667</v>
      </c>
      <c r="B105" s="59" t="s">
        <v>386</v>
      </c>
      <c r="C105" s="45" t="s">
        <v>165</v>
      </c>
      <c r="D105" s="59" t="s">
        <v>388</v>
      </c>
      <c r="E105" s="11" t="s">
        <v>9</v>
      </c>
    </row>
    <row r="106">
      <c r="A106" s="48">
        <v>0.4041666666666667</v>
      </c>
      <c r="B106" s="59" t="s">
        <v>384</v>
      </c>
      <c r="C106" s="45" t="s">
        <v>16</v>
      </c>
      <c r="D106" s="59" t="s">
        <v>387</v>
      </c>
      <c r="E106" s="11" t="s">
        <v>13</v>
      </c>
    </row>
    <row r="107">
      <c r="A107" s="48">
        <v>0.41458333333333336</v>
      </c>
      <c r="B107" s="59" t="s">
        <v>385</v>
      </c>
      <c r="C107" s="45" t="s">
        <v>43</v>
      </c>
      <c r="D107" s="59" t="s">
        <v>388</v>
      </c>
      <c r="E107" s="11" t="s">
        <v>9</v>
      </c>
    </row>
    <row r="108">
      <c r="A108" s="48">
        <v>0.41458333333333336</v>
      </c>
      <c r="B108" s="59" t="s">
        <v>386</v>
      </c>
      <c r="C108" s="45" t="s">
        <v>14</v>
      </c>
      <c r="D108" s="59" t="s">
        <v>384</v>
      </c>
      <c r="E108" s="11" t="s">
        <v>13</v>
      </c>
    </row>
    <row r="109">
      <c r="A109" s="48">
        <v>0.425</v>
      </c>
      <c r="B109" s="59" t="s">
        <v>385</v>
      </c>
      <c r="C109" s="45" t="s">
        <v>41</v>
      </c>
      <c r="D109" s="59" t="s">
        <v>387</v>
      </c>
      <c r="E109" s="11" t="s">
        <v>9</v>
      </c>
    </row>
    <row r="110">
      <c r="A110" s="48">
        <v>0.425</v>
      </c>
      <c r="B110" s="59" t="s">
        <v>388</v>
      </c>
      <c r="C110" s="45" t="s">
        <v>7</v>
      </c>
      <c r="D110" s="59" t="s">
        <v>384</v>
      </c>
      <c r="E110" s="11" t="s">
        <v>13</v>
      </c>
    </row>
    <row r="111">
      <c r="A111" s="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56" t="s">
        <v>221</v>
      </c>
      <c r="C113" s="45" t="s">
        <v>185</v>
      </c>
      <c r="D113" s="56" t="s">
        <v>65</v>
      </c>
      <c r="E113" s="11" t="s">
        <v>29</v>
      </c>
    </row>
    <row r="114">
      <c r="A114" s="30">
        <v>0.3333333333333333</v>
      </c>
      <c r="B114" s="56" t="s">
        <v>390</v>
      </c>
      <c r="C114" s="45" t="s">
        <v>42</v>
      </c>
      <c r="D114" s="56" t="s">
        <v>391</v>
      </c>
      <c r="E114" s="11" t="s">
        <v>33</v>
      </c>
    </row>
    <row r="115">
      <c r="A115" s="30">
        <v>0.34305555555555556</v>
      </c>
      <c r="B115" s="56" t="s">
        <v>390</v>
      </c>
      <c r="C115" s="45" t="s">
        <v>219</v>
      </c>
      <c r="D115" s="56" t="s">
        <v>65</v>
      </c>
      <c r="E115" s="11" t="s">
        <v>29</v>
      </c>
    </row>
    <row r="116">
      <c r="A116" s="30">
        <v>0.34305555555555556</v>
      </c>
      <c r="B116" s="56" t="s">
        <v>392</v>
      </c>
      <c r="C116" s="45" t="s">
        <v>163</v>
      </c>
      <c r="D116" s="56" t="s">
        <v>391</v>
      </c>
      <c r="E116" s="11" t="s">
        <v>33</v>
      </c>
    </row>
    <row r="117">
      <c r="A117" s="30">
        <v>0.35347222222222224</v>
      </c>
      <c r="B117" s="56" t="s">
        <v>392</v>
      </c>
      <c r="C117" s="45" t="s">
        <v>7</v>
      </c>
      <c r="D117" s="56" t="s">
        <v>390</v>
      </c>
      <c r="E117" s="11" t="s">
        <v>29</v>
      </c>
    </row>
    <row r="118">
      <c r="A118" s="30">
        <v>0.35347222222222224</v>
      </c>
      <c r="B118" s="56" t="s">
        <v>391</v>
      </c>
      <c r="C118" s="45" t="s">
        <v>233</v>
      </c>
      <c r="D118" s="56" t="s">
        <v>221</v>
      </c>
      <c r="E118" s="11" t="s">
        <v>33</v>
      </c>
    </row>
    <row r="119">
      <c r="A119" s="30">
        <v>0.3638888888888889</v>
      </c>
      <c r="B119" s="56" t="s">
        <v>392</v>
      </c>
      <c r="C119" s="45" t="s">
        <v>17</v>
      </c>
      <c r="D119" s="56" t="s">
        <v>65</v>
      </c>
      <c r="E119" s="11" t="s">
        <v>29</v>
      </c>
    </row>
    <row r="120">
      <c r="A120" s="30">
        <v>0.3638888888888889</v>
      </c>
      <c r="B120" s="56" t="s">
        <v>221</v>
      </c>
      <c r="C120" s="45" t="s">
        <v>281</v>
      </c>
      <c r="D120" s="56" t="s">
        <v>390</v>
      </c>
      <c r="E120" s="11" t="s">
        <v>33</v>
      </c>
    </row>
    <row r="121">
      <c r="A121" s="30">
        <v>0.3736111111111111</v>
      </c>
      <c r="B121" s="56" t="s">
        <v>391</v>
      </c>
      <c r="C121" s="45" t="s">
        <v>23</v>
      </c>
      <c r="D121" s="56" t="s">
        <v>65</v>
      </c>
      <c r="E121" s="11" t="s">
        <v>29</v>
      </c>
    </row>
    <row r="122">
      <c r="A122" s="30">
        <v>0.3736111111111111</v>
      </c>
      <c r="B122" s="56" t="s">
        <v>221</v>
      </c>
      <c r="C122" s="45" t="s">
        <v>393</v>
      </c>
      <c r="D122" s="56" t="s">
        <v>392</v>
      </c>
      <c r="E122" s="11" t="s">
        <v>33</v>
      </c>
    </row>
    <row r="123">
      <c r="A123" s="30">
        <v>0.3840277777777778</v>
      </c>
      <c r="B123" s="56" t="s">
        <v>65</v>
      </c>
      <c r="C123" s="45" t="s">
        <v>292</v>
      </c>
      <c r="D123" s="56" t="s">
        <v>221</v>
      </c>
      <c r="E123" s="11" t="s">
        <v>29</v>
      </c>
    </row>
    <row r="124">
      <c r="A124" s="30">
        <v>0.3840277777777778</v>
      </c>
      <c r="B124" s="56" t="s">
        <v>391</v>
      </c>
      <c r="C124" s="45" t="s">
        <v>43</v>
      </c>
      <c r="D124" s="56" t="s">
        <v>390</v>
      </c>
      <c r="E124" s="11" t="s">
        <v>33</v>
      </c>
    </row>
    <row r="125">
      <c r="A125" s="30">
        <v>0.39444444444444443</v>
      </c>
      <c r="B125" s="56" t="s">
        <v>65</v>
      </c>
      <c r="C125" s="45" t="s">
        <v>394</v>
      </c>
      <c r="D125" s="56" t="s">
        <v>390</v>
      </c>
      <c r="E125" s="11" t="s">
        <v>29</v>
      </c>
    </row>
    <row r="126">
      <c r="A126" s="30">
        <v>0.39444444444444443</v>
      </c>
      <c r="B126" s="56" t="s">
        <v>391</v>
      </c>
      <c r="C126" s="45" t="s">
        <v>184</v>
      </c>
      <c r="D126" s="56" t="s">
        <v>392</v>
      </c>
      <c r="E126" s="11" t="s">
        <v>33</v>
      </c>
    </row>
    <row r="127">
      <c r="A127" s="30">
        <v>0.4041666666666667</v>
      </c>
      <c r="B127" s="56" t="s">
        <v>390</v>
      </c>
      <c r="C127" s="45" t="s">
        <v>181</v>
      </c>
      <c r="D127" s="56" t="s">
        <v>392</v>
      </c>
      <c r="E127" s="11" t="s">
        <v>29</v>
      </c>
    </row>
    <row r="128">
      <c r="A128" s="30">
        <v>0.4041666666666667</v>
      </c>
      <c r="B128" s="56" t="s">
        <v>221</v>
      </c>
      <c r="C128" s="45" t="s">
        <v>41</v>
      </c>
      <c r="D128" s="56" t="s">
        <v>391</v>
      </c>
      <c r="E128" s="11" t="s">
        <v>33</v>
      </c>
    </row>
    <row r="129">
      <c r="A129" s="30">
        <v>0.41458333333333336</v>
      </c>
      <c r="B129" s="56" t="s">
        <v>65</v>
      </c>
      <c r="C129" s="45" t="s">
        <v>394</v>
      </c>
      <c r="D129" s="56" t="s">
        <v>392</v>
      </c>
      <c r="E129" s="11" t="s">
        <v>29</v>
      </c>
    </row>
    <row r="130">
      <c r="A130" s="30">
        <v>0.41458333333333336</v>
      </c>
      <c r="B130" s="56" t="s">
        <v>390</v>
      </c>
      <c r="C130" s="45" t="s">
        <v>344</v>
      </c>
      <c r="D130" s="56" t="s">
        <v>221</v>
      </c>
      <c r="E130" s="11" t="s">
        <v>33</v>
      </c>
    </row>
    <row r="131">
      <c r="A131" s="30">
        <v>0.425</v>
      </c>
      <c r="B131" s="56" t="s">
        <v>65</v>
      </c>
      <c r="C131" s="45" t="s">
        <v>158</v>
      </c>
      <c r="D131" s="56" t="s">
        <v>391</v>
      </c>
      <c r="E131" s="11" t="s">
        <v>29</v>
      </c>
    </row>
    <row r="132">
      <c r="A132" s="30">
        <v>0.425</v>
      </c>
      <c r="B132" s="56" t="s">
        <v>392</v>
      </c>
      <c r="C132" s="45" t="s">
        <v>395</v>
      </c>
      <c r="D132" s="56" t="s">
        <v>221</v>
      </c>
      <c r="E132" s="11" t="s">
        <v>33</v>
      </c>
    </row>
    <row r="133">
      <c r="A133" s="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56" t="s">
        <v>396</v>
      </c>
      <c r="C135" s="57" t="s">
        <v>17</v>
      </c>
      <c r="D135" s="56" t="s">
        <v>397</v>
      </c>
      <c r="E135" s="11" t="s">
        <v>9</v>
      </c>
    </row>
    <row r="136">
      <c r="A136" s="48">
        <v>0.4375</v>
      </c>
      <c r="B136" s="56" t="s">
        <v>398</v>
      </c>
      <c r="C136" s="57" t="s">
        <v>185</v>
      </c>
      <c r="D136" s="56" t="s">
        <v>235</v>
      </c>
      <c r="E136" s="11" t="s">
        <v>13</v>
      </c>
    </row>
    <row r="137">
      <c r="A137" s="48">
        <v>0.44722222222222224</v>
      </c>
      <c r="B137" s="56" t="s">
        <v>398</v>
      </c>
      <c r="C137" s="54" t="s">
        <v>399</v>
      </c>
      <c r="D137" s="56" t="s">
        <v>397</v>
      </c>
      <c r="E137" s="11" t="s">
        <v>9</v>
      </c>
    </row>
    <row r="138">
      <c r="A138" s="48">
        <v>0.44722222222222224</v>
      </c>
      <c r="B138" s="56" t="s">
        <v>400</v>
      </c>
      <c r="C138" s="57" t="s">
        <v>208</v>
      </c>
      <c r="D138" s="56" t="s">
        <v>235</v>
      </c>
      <c r="E138" s="11" t="s">
        <v>13</v>
      </c>
    </row>
    <row r="139">
      <c r="A139" s="48">
        <v>0.4576388888888889</v>
      </c>
      <c r="B139" s="56" t="s">
        <v>400</v>
      </c>
      <c r="C139" s="57" t="s">
        <v>175</v>
      </c>
      <c r="D139" s="56" t="s">
        <v>398</v>
      </c>
      <c r="E139" s="11" t="s">
        <v>9</v>
      </c>
    </row>
    <row r="140">
      <c r="A140" s="48">
        <v>0.4576388888888889</v>
      </c>
      <c r="B140" s="56" t="s">
        <v>235</v>
      </c>
      <c r="C140" s="57" t="s">
        <v>181</v>
      </c>
      <c r="D140" s="56" t="s">
        <v>396</v>
      </c>
      <c r="E140" s="11" t="s">
        <v>13</v>
      </c>
    </row>
    <row r="141">
      <c r="A141" s="48">
        <v>0.46805555555555556</v>
      </c>
      <c r="B141" s="56" t="s">
        <v>400</v>
      </c>
      <c r="C141" s="57" t="s">
        <v>158</v>
      </c>
      <c r="D141" s="56" t="s">
        <v>397</v>
      </c>
      <c r="E141" s="11" t="s">
        <v>9</v>
      </c>
    </row>
    <row r="142">
      <c r="A142" s="48">
        <v>0.46805555555555556</v>
      </c>
      <c r="B142" s="56" t="s">
        <v>396</v>
      </c>
      <c r="C142" s="57" t="s">
        <v>219</v>
      </c>
      <c r="D142" s="56" t="s">
        <v>398</v>
      </c>
      <c r="E142" s="11" t="s">
        <v>13</v>
      </c>
    </row>
    <row r="143">
      <c r="A143" s="48">
        <v>0.4777777777777778</v>
      </c>
      <c r="B143" s="56" t="s">
        <v>235</v>
      </c>
      <c r="C143" s="57" t="s">
        <v>42</v>
      </c>
      <c r="D143" s="56" t="s">
        <v>397</v>
      </c>
      <c r="E143" s="11" t="s">
        <v>9</v>
      </c>
    </row>
    <row r="144">
      <c r="A144" s="48">
        <v>0.4777777777777778</v>
      </c>
      <c r="B144" s="56" t="s">
        <v>396</v>
      </c>
      <c r="C144" s="57" t="s">
        <v>166</v>
      </c>
      <c r="D144" s="56" t="s">
        <v>400</v>
      </c>
      <c r="E144" s="11" t="s">
        <v>13</v>
      </c>
    </row>
    <row r="145">
      <c r="A145" s="48">
        <v>0.48819444444444443</v>
      </c>
      <c r="B145" s="56" t="s">
        <v>397</v>
      </c>
      <c r="C145" s="57" t="s">
        <v>23</v>
      </c>
      <c r="D145" s="56" t="s">
        <v>396</v>
      </c>
      <c r="E145" s="11" t="s">
        <v>9</v>
      </c>
    </row>
    <row r="146">
      <c r="A146" s="48">
        <v>0.48819444444444443</v>
      </c>
      <c r="B146" s="56" t="s">
        <v>235</v>
      </c>
      <c r="C146" s="57" t="s">
        <v>181</v>
      </c>
      <c r="D146" s="56" t="s">
        <v>398</v>
      </c>
      <c r="E146" s="11" t="s">
        <v>13</v>
      </c>
    </row>
    <row r="147">
      <c r="A147" s="48">
        <v>0.4986111111111111</v>
      </c>
      <c r="B147" s="56" t="s">
        <v>397</v>
      </c>
      <c r="C147" s="45" t="s">
        <v>208</v>
      </c>
      <c r="D147" s="56" t="s">
        <v>398</v>
      </c>
      <c r="E147" s="11" t="s">
        <v>9</v>
      </c>
    </row>
    <row r="148">
      <c r="A148" s="48">
        <v>0.4986111111111111</v>
      </c>
      <c r="B148" s="56" t="s">
        <v>235</v>
      </c>
      <c r="C148" s="45" t="s">
        <v>20</v>
      </c>
      <c r="D148" s="56" t="s">
        <v>400</v>
      </c>
      <c r="E148" s="11" t="s">
        <v>13</v>
      </c>
    </row>
    <row r="149">
      <c r="A149" s="48">
        <v>0.5083333333333333</v>
      </c>
      <c r="B149" s="56" t="s">
        <v>398</v>
      </c>
      <c r="C149" s="45" t="s">
        <v>208</v>
      </c>
      <c r="D149" s="56" t="s">
        <v>400</v>
      </c>
      <c r="E149" s="11" t="s">
        <v>9</v>
      </c>
    </row>
    <row r="150">
      <c r="A150" s="48">
        <v>0.5083333333333333</v>
      </c>
      <c r="B150" s="56" t="s">
        <v>396</v>
      </c>
      <c r="C150" s="45" t="s">
        <v>177</v>
      </c>
      <c r="D150" s="56" t="s">
        <v>235</v>
      </c>
      <c r="E150" s="11" t="s">
        <v>13</v>
      </c>
    </row>
    <row r="151">
      <c r="A151" s="48">
        <v>0.51875</v>
      </c>
      <c r="B151" s="56" t="s">
        <v>397</v>
      </c>
      <c r="C151" s="45" t="s">
        <v>194</v>
      </c>
      <c r="D151" s="56" t="s">
        <v>400</v>
      </c>
      <c r="E151" s="11" t="s">
        <v>9</v>
      </c>
    </row>
    <row r="152">
      <c r="A152" s="48">
        <v>0.51875</v>
      </c>
      <c r="B152" s="56" t="s">
        <v>398</v>
      </c>
      <c r="C152" s="45" t="s">
        <v>231</v>
      </c>
      <c r="D152" s="56" t="s">
        <v>396</v>
      </c>
      <c r="E152" s="11" t="s">
        <v>13</v>
      </c>
    </row>
    <row r="153">
      <c r="A153" s="48">
        <v>0.5291666666666667</v>
      </c>
      <c r="B153" s="56" t="s">
        <v>397</v>
      </c>
      <c r="C153" s="45" t="s">
        <v>18</v>
      </c>
      <c r="D153" s="56" t="s">
        <v>235</v>
      </c>
      <c r="E153" s="11" t="s">
        <v>9</v>
      </c>
    </row>
    <row r="154">
      <c r="A154" s="48">
        <v>0.5291666666666667</v>
      </c>
      <c r="B154" s="56" t="s">
        <v>400</v>
      </c>
      <c r="C154" s="45" t="s">
        <v>336</v>
      </c>
      <c r="D154" s="56" t="s">
        <v>396</v>
      </c>
      <c r="E154" s="11" t="s">
        <v>13</v>
      </c>
    </row>
    <row r="155">
      <c r="A155" s="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56" t="s">
        <v>401</v>
      </c>
      <c r="C157" s="45" t="s">
        <v>162</v>
      </c>
      <c r="D157" s="56" t="s">
        <v>402</v>
      </c>
      <c r="E157" s="11" t="s">
        <v>29</v>
      </c>
    </row>
    <row r="158">
      <c r="A158" s="48">
        <v>0.4375</v>
      </c>
      <c r="B158" s="56" t="s">
        <v>403</v>
      </c>
      <c r="C158" s="45" t="s">
        <v>404</v>
      </c>
      <c r="D158" s="56" t="s">
        <v>405</v>
      </c>
      <c r="E158" s="11" t="s">
        <v>33</v>
      </c>
    </row>
    <row r="159">
      <c r="A159" s="48">
        <v>0.44722222222222224</v>
      </c>
      <c r="B159" s="56" t="s">
        <v>403</v>
      </c>
      <c r="C159" s="45" t="s">
        <v>23</v>
      </c>
      <c r="D159" s="56" t="s">
        <v>402</v>
      </c>
      <c r="E159" s="11" t="s">
        <v>29</v>
      </c>
    </row>
    <row r="160">
      <c r="A160" s="48">
        <v>0.44722222222222224</v>
      </c>
      <c r="B160" s="56" t="s">
        <v>406</v>
      </c>
      <c r="C160" s="45" t="s">
        <v>210</v>
      </c>
      <c r="D160" s="56" t="s">
        <v>405</v>
      </c>
      <c r="E160" s="11" t="s">
        <v>33</v>
      </c>
    </row>
    <row r="161">
      <c r="A161" s="48">
        <v>0.4576388888888889</v>
      </c>
      <c r="B161" s="56" t="s">
        <v>406</v>
      </c>
      <c r="C161" s="45" t="s">
        <v>18</v>
      </c>
      <c r="D161" s="56" t="s">
        <v>403</v>
      </c>
      <c r="E161" s="11" t="s">
        <v>29</v>
      </c>
    </row>
    <row r="162">
      <c r="A162" s="48">
        <v>0.4576388888888889</v>
      </c>
      <c r="B162" s="56" t="s">
        <v>405</v>
      </c>
      <c r="C162" s="45" t="s">
        <v>193</v>
      </c>
      <c r="D162" s="56" t="s">
        <v>401</v>
      </c>
      <c r="E162" s="11" t="s">
        <v>33</v>
      </c>
    </row>
    <row r="163">
      <c r="A163" s="48">
        <v>0.46805555555555556</v>
      </c>
      <c r="B163" s="56" t="s">
        <v>406</v>
      </c>
      <c r="C163" s="45" t="s">
        <v>181</v>
      </c>
      <c r="D163" s="56" t="s">
        <v>402</v>
      </c>
      <c r="E163" s="11" t="s">
        <v>29</v>
      </c>
    </row>
    <row r="164">
      <c r="A164" s="48">
        <v>0.46805555555555556</v>
      </c>
      <c r="B164" s="56" t="s">
        <v>401</v>
      </c>
      <c r="C164" s="45" t="s">
        <v>162</v>
      </c>
      <c r="D164" s="56" t="s">
        <v>403</v>
      </c>
      <c r="E164" s="11" t="s">
        <v>33</v>
      </c>
    </row>
    <row r="165">
      <c r="A165" s="48">
        <v>0.4777777777777778</v>
      </c>
      <c r="B165" s="56" t="s">
        <v>405</v>
      </c>
      <c r="C165" s="45" t="s">
        <v>203</v>
      </c>
      <c r="D165" s="56" t="s">
        <v>402</v>
      </c>
      <c r="E165" s="11" t="s">
        <v>29</v>
      </c>
    </row>
    <row r="166">
      <c r="A166" s="48">
        <v>0.4777777777777778</v>
      </c>
      <c r="B166" s="56" t="s">
        <v>401</v>
      </c>
      <c r="C166" s="45" t="s">
        <v>407</v>
      </c>
      <c r="D166" s="56" t="s">
        <v>406</v>
      </c>
      <c r="E166" s="11" t="s">
        <v>33</v>
      </c>
    </row>
    <row r="167">
      <c r="A167" s="48">
        <v>0.48819444444444443</v>
      </c>
      <c r="B167" s="56" t="s">
        <v>402</v>
      </c>
      <c r="C167" s="45" t="s">
        <v>182</v>
      </c>
      <c r="D167" s="56" t="s">
        <v>401</v>
      </c>
      <c r="E167" s="11" t="s">
        <v>29</v>
      </c>
    </row>
    <row r="168">
      <c r="A168" s="48">
        <v>0.48819444444444443</v>
      </c>
      <c r="B168" s="56" t="s">
        <v>405</v>
      </c>
      <c r="C168" s="45" t="s">
        <v>22</v>
      </c>
      <c r="D168" s="56" t="s">
        <v>403</v>
      </c>
      <c r="E168" s="11" t="s">
        <v>33</v>
      </c>
    </row>
    <row r="169">
      <c r="A169" s="48">
        <v>0.4986111111111111</v>
      </c>
      <c r="B169" s="56" t="s">
        <v>402</v>
      </c>
      <c r="C169" s="45" t="s">
        <v>220</v>
      </c>
      <c r="D169" s="56" t="s">
        <v>403</v>
      </c>
      <c r="E169" s="11" t="s">
        <v>29</v>
      </c>
    </row>
    <row r="170">
      <c r="A170" s="48">
        <v>0.4986111111111111</v>
      </c>
      <c r="B170" s="56" t="s">
        <v>405</v>
      </c>
      <c r="C170" s="45" t="s">
        <v>394</v>
      </c>
      <c r="D170" s="56" t="s">
        <v>406</v>
      </c>
      <c r="E170" s="11" t="s">
        <v>33</v>
      </c>
    </row>
    <row r="171">
      <c r="A171" s="48">
        <v>0.5083333333333333</v>
      </c>
      <c r="B171" s="56" t="s">
        <v>403</v>
      </c>
      <c r="C171" s="45" t="s">
        <v>408</v>
      </c>
      <c r="D171" s="56" t="s">
        <v>406</v>
      </c>
      <c r="E171" s="11" t="s">
        <v>29</v>
      </c>
    </row>
    <row r="172">
      <c r="A172" s="48">
        <v>0.5083333333333333</v>
      </c>
      <c r="B172" s="56" t="s">
        <v>401</v>
      </c>
      <c r="C172" s="45" t="s">
        <v>219</v>
      </c>
      <c r="D172" s="56" t="s">
        <v>405</v>
      </c>
      <c r="E172" s="11" t="s">
        <v>33</v>
      </c>
    </row>
    <row r="173">
      <c r="A173" s="48">
        <v>0.51875</v>
      </c>
      <c r="B173" s="56" t="s">
        <v>402</v>
      </c>
      <c r="C173" s="45" t="s">
        <v>16</v>
      </c>
      <c r="D173" s="56" t="s">
        <v>406</v>
      </c>
      <c r="E173" s="11" t="s">
        <v>29</v>
      </c>
    </row>
    <row r="174">
      <c r="A174" s="48">
        <v>0.51875</v>
      </c>
      <c r="B174" s="56" t="s">
        <v>403</v>
      </c>
      <c r="C174" s="45" t="s">
        <v>354</v>
      </c>
      <c r="D174" s="56" t="s">
        <v>401</v>
      </c>
      <c r="E174" s="11" t="s">
        <v>33</v>
      </c>
    </row>
    <row r="175">
      <c r="A175" s="48">
        <v>0.5291666666666667</v>
      </c>
      <c r="B175" s="56" t="s">
        <v>402</v>
      </c>
      <c r="C175" s="45" t="s">
        <v>210</v>
      </c>
      <c r="D175" s="56" t="s">
        <v>405</v>
      </c>
      <c r="E175" s="11" t="s">
        <v>29</v>
      </c>
    </row>
    <row r="176">
      <c r="A176" s="48">
        <v>0.5291666666666667</v>
      </c>
      <c r="B176" s="56" t="s">
        <v>406</v>
      </c>
      <c r="C176" s="45" t="s">
        <v>180</v>
      </c>
      <c r="D176" s="56" t="s">
        <v>401</v>
      </c>
      <c r="E176" s="11" t="s">
        <v>33</v>
      </c>
    </row>
    <row r="177">
      <c r="A177" s="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56" t="s">
        <v>409</v>
      </c>
      <c r="C179" s="45" t="s">
        <v>279</v>
      </c>
      <c r="D179" s="56" t="s">
        <v>410</v>
      </c>
      <c r="E179" s="11" t="s">
        <v>9</v>
      </c>
    </row>
    <row r="180">
      <c r="A180" s="48">
        <v>0.5416666666666666</v>
      </c>
      <c r="B180" s="56" t="s">
        <v>411</v>
      </c>
      <c r="C180" s="45" t="s">
        <v>14</v>
      </c>
      <c r="D180" s="56" t="s">
        <v>80</v>
      </c>
      <c r="E180" s="11" t="s">
        <v>13</v>
      </c>
    </row>
    <row r="181">
      <c r="A181" s="48">
        <v>0.5513888888888889</v>
      </c>
      <c r="B181" s="56" t="s">
        <v>411</v>
      </c>
      <c r="C181" s="45" t="s">
        <v>294</v>
      </c>
      <c r="D181" s="56" t="s">
        <v>410</v>
      </c>
      <c r="E181" s="11" t="s">
        <v>9</v>
      </c>
    </row>
    <row r="182">
      <c r="A182" s="48">
        <v>0.5513888888888889</v>
      </c>
      <c r="B182" s="56" t="s">
        <v>412</v>
      </c>
      <c r="C182" s="45" t="s">
        <v>302</v>
      </c>
      <c r="D182" s="56" t="s">
        <v>80</v>
      </c>
      <c r="E182" s="11" t="s">
        <v>13</v>
      </c>
    </row>
    <row r="183">
      <c r="A183" s="48">
        <v>0.5618055555555556</v>
      </c>
      <c r="B183" s="56" t="s">
        <v>412</v>
      </c>
      <c r="C183" s="45" t="s">
        <v>171</v>
      </c>
      <c r="D183" s="56" t="s">
        <v>411</v>
      </c>
      <c r="E183" s="11" t="s">
        <v>9</v>
      </c>
    </row>
    <row r="184">
      <c r="A184" s="48">
        <v>0.5618055555555556</v>
      </c>
      <c r="B184" s="56" t="s">
        <v>80</v>
      </c>
      <c r="C184" s="45" t="s">
        <v>245</v>
      </c>
      <c r="D184" s="56" t="s">
        <v>409</v>
      </c>
      <c r="E184" s="11" t="s">
        <v>13</v>
      </c>
    </row>
    <row r="185">
      <c r="A185" s="48">
        <v>0.5722222222222222</v>
      </c>
      <c r="B185" s="56" t="s">
        <v>412</v>
      </c>
      <c r="C185" s="45" t="s">
        <v>185</v>
      </c>
      <c r="D185" s="56" t="s">
        <v>410</v>
      </c>
      <c r="E185" s="11" t="s">
        <v>9</v>
      </c>
    </row>
    <row r="186">
      <c r="A186" s="48">
        <v>0.5722222222222222</v>
      </c>
      <c r="B186" s="56" t="s">
        <v>409</v>
      </c>
      <c r="C186" s="45" t="s">
        <v>155</v>
      </c>
      <c r="D186" s="56" t="s">
        <v>411</v>
      </c>
      <c r="E186" s="11" t="s">
        <v>13</v>
      </c>
    </row>
    <row r="187">
      <c r="A187" s="48">
        <v>0.5819444444444445</v>
      </c>
      <c r="B187" s="56" t="s">
        <v>80</v>
      </c>
      <c r="C187" s="45" t="s">
        <v>161</v>
      </c>
      <c r="D187" s="56" t="s">
        <v>410</v>
      </c>
      <c r="E187" s="11" t="s">
        <v>9</v>
      </c>
    </row>
    <row r="188">
      <c r="A188" s="48">
        <v>0.5819444444444445</v>
      </c>
      <c r="B188" s="56" t="s">
        <v>409</v>
      </c>
      <c r="C188" s="45" t="s">
        <v>195</v>
      </c>
      <c r="D188" s="56" t="s">
        <v>412</v>
      </c>
      <c r="E188" s="11" t="s">
        <v>13</v>
      </c>
    </row>
    <row r="189">
      <c r="A189" s="48">
        <v>0.5923611111111111</v>
      </c>
      <c r="B189" s="56" t="s">
        <v>410</v>
      </c>
      <c r="C189" s="45" t="s">
        <v>289</v>
      </c>
      <c r="D189" s="56" t="s">
        <v>409</v>
      </c>
      <c r="E189" s="11" t="s">
        <v>9</v>
      </c>
    </row>
    <row r="190">
      <c r="A190" s="48">
        <v>0.5923611111111111</v>
      </c>
      <c r="B190" s="56" t="s">
        <v>80</v>
      </c>
      <c r="C190" s="45" t="s">
        <v>161</v>
      </c>
      <c r="D190" s="56" t="s">
        <v>411</v>
      </c>
      <c r="E190" s="11" t="s">
        <v>13</v>
      </c>
    </row>
    <row r="191">
      <c r="A191" s="48">
        <v>0.6027777777777777</v>
      </c>
      <c r="B191" s="56" t="s">
        <v>410</v>
      </c>
      <c r="C191" s="45" t="s">
        <v>157</v>
      </c>
      <c r="D191" s="56" t="s">
        <v>411</v>
      </c>
      <c r="E191" s="11" t="s">
        <v>9</v>
      </c>
    </row>
    <row r="192">
      <c r="A192" s="48">
        <v>0.6027777777777777</v>
      </c>
      <c r="B192" s="56" t="s">
        <v>80</v>
      </c>
      <c r="C192" s="45" t="s">
        <v>163</v>
      </c>
      <c r="D192" s="56" t="s">
        <v>412</v>
      </c>
      <c r="E192" s="11" t="s">
        <v>13</v>
      </c>
    </row>
    <row r="193">
      <c r="A193" s="48">
        <v>0.6125</v>
      </c>
      <c r="B193" s="56" t="s">
        <v>411</v>
      </c>
      <c r="C193" s="45" t="s">
        <v>163</v>
      </c>
      <c r="D193" s="56" t="s">
        <v>412</v>
      </c>
      <c r="E193" s="11" t="s">
        <v>9</v>
      </c>
    </row>
    <row r="194">
      <c r="A194" s="48">
        <v>0.6125</v>
      </c>
      <c r="B194" s="56" t="s">
        <v>409</v>
      </c>
      <c r="C194" s="45" t="s">
        <v>219</v>
      </c>
      <c r="D194" s="56" t="s">
        <v>80</v>
      </c>
      <c r="E194" s="11" t="s">
        <v>13</v>
      </c>
    </row>
    <row r="195">
      <c r="A195" s="48">
        <v>0.6229166666666667</v>
      </c>
      <c r="B195" s="56" t="s">
        <v>410</v>
      </c>
      <c r="C195" s="45" t="s">
        <v>185</v>
      </c>
      <c r="D195" s="56" t="s">
        <v>412</v>
      </c>
      <c r="E195" s="11" t="s">
        <v>9</v>
      </c>
    </row>
    <row r="196">
      <c r="A196" s="48">
        <v>0.6229166666666667</v>
      </c>
      <c r="B196" s="56" t="s">
        <v>411</v>
      </c>
      <c r="C196" s="45" t="s">
        <v>38</v>
      </c>
      <c r="D196" s="56" t="s">
        <v>409</v>
      </c>
      <c r="E196" s="11" t="s">
        <v>13</v>
      </c>
    </row>
    <row r="197">
      <c r="A197" s="48">
        <v>0.6333333333333333</v>
      </c>
      <c r="B197" s="56" t="s">
        <v>410</v>
      </c>
      <c r="C197" s="45" t="s">
        <v>185</v>
      </c>
      <c r="D197" s="56" t="s">
        <v>80</v>
      </c>
      <c r="E197" s="11" t="s">
        <v>9</v>
      </c>
    </row>
    <row r="198">
      <c r="A198" s="48">
        <v>0.6333333333333333</v>
      </c>
      <c r="B198" s="56" t="s">
        <v>412</v>
      </c>
      <c r="C198" s="45" t="s">
        <v>162</v>
      </c>
      <c r="D198" s="56" t="s">
        <v>409</v>
      </c>
      <c r="E198" s="11" t="s">
        <v>13</v>
      </c>
    </row>
    <row r="199">
      <c r="A199" s="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56" t="s">
        <v>413</v>
      </c>
      <c r="C201" s="45" t="s">
        <v>193</v>
      </c>
      <c r="D201" s="56" t="s">
        <v>260</v>
      </c>
      <c r="E201" s="11" t="s">
        <v>29</v>
      </c>
    </row>
    <row r="202">
      <c r="A202" s="48">
        <v>0.5416666666666666</v>
      </c>
      <c r="B202" s="56" t="s">
        <v>86</v>
      </c>
      <c r="C202" s="45" t="s">
        <v>271</v>
      </c>
      <c r="D202" s="56" t="s">
        <v>414</v>
      </c>
      <c r="E202" s="11" t="s">
        <v>33</v>
      </c>
    </row>
    <row r="203">
      <c r="A203" s="48">
        <v>0.5513888888888889</v>
      </c>
      <c r="B203" s="56" t="s">
        <v>86</v>
      </c>
      <c r="C203" s="45" t="s">
        <v>23</v>
      </c>
      <c r="D203" s="56" t="s">
        <v>260</v>
      </c>
      <c r="E203" s="11" t="s">
        <v>29</v>
      </c>
    </row>
    <row r="204">
      <c r="A204" s="48">
        <v>0.5513888888888889</v>
      </c>
      <c r="B204" s="56" t="s">
        <v>415</v>
      </c>
      <c r="C204" s="45" t="s">
        <v>416</v>
      </c>
      <c r="D204" s="56" t="s">
        <v>414</v>
      </c>
      <c r="E204" s="11" t="s">
        <v>33</v>
      </c>
    </row>
    <row r="205">
      <c r="A205" s="48">
        <v>0.5618055555555556</v>
      </c>
      <c r="B205" s="56" t="s">
        <v>415</v>
      </c>
      <c r="C205" s="45" t="s">
        <v>185</v>
      </c>
      <c r="D205" s="56" t="s">
        <v>86</v>
      </c>
      <c r="E205" s="11" t="s">
        <v>29</v>
      </c>
    </row>
    <row r="206">
      <c r="A206" s="48">
        <v>0.5618055555555556</v>
      </c>
      <c r="B206" s="56" t="s">
        <v>414</v>
      </c>
      <c r="C206" s="45" t="s">
        <v>158</v>
      </c>
      <c r="D206" s="56" t="s">
        <v>413</v>
      </c>
      <c r="E206" s="11" t="s">
        <v>33</v>
      </c>
    </row>
    <row r="207">
      <c r="A207" s="48">
        <v>0.5722222222222222</v>
      </c>
      <c r="B207" s="56" t="s">
        <v>415</v>
      </c>
      <c r="C207" s="45" t="s">
        <v>302</v>
      </c>
      <c r="D207" s="56" t="s">
        <v>260</v>
      </c>
      <c r="E207" s="11" t="s">
        <v>29</v>
      </c>
    </row>
    <row r="208">
      <c r="A208" s="48">
        <v>0.5722222222222222</v>
      </c>
      <c r="B208" s="56" t="s">
        <v>413</v>
      </c>
      <c r="C208" s="45" t="s">
        <v>195</v>
      </c>
      <c r="D208" s="56" t="s">
        <v>86</v>
      </c>
      <c r="E208" s="11" t="s">
        <v>33</v>
      </c>
    </row>
    <row r="209">
      <c r="A209" s="48">
        <v>0.5819444444444445</v>
      </c>
      <c r="B209" s="56" t="s">
        <v>414</v>
      </c>
      <c r="C209" s="45" t="s">
        <v>196</v>
      </c>
      <c r="D209" s="56" t="s">
        <v>260</v>
      </c>
      <c r="E209" s="11" t="s">
        <v>29</v>
      </c>
    </row>
    <row r="210">
      <c r="A210" s="48">
        <v>0.5819444444444445</v>
      </c>
      <c r="B210" s="56" t="s">
        <v>413</v>
      </c>
      <c r="C210" s="45" t="s">
        <v>38</v>
      </c>
      <c r="D210" s="56" t="s">
        <v>415</v>
      </c>
      <c r="E210" s="11" t="s">
        <v>33</v>
      </c>
    </row>
    <row r="211">
      <c r="A211" s="48">
        <v>0.5923611111111111</v>
      </c>
      <c r="B211" s="56" t="s">
        <v>260</v>
      </c>
      <c r="C211" s="45" t="s">
        <v>218</v>
      </c>
      <c r="D211" s="56" t="s">
        <v>413</v>
      </c>
      <c r="E211" s="11" t="s">
        <v>29</v>
      </c>
    </row>
    <row r="212">
      <c r="A212" s="48">
        <v>0.5923611111111111</v>
      </c>
      <c r="B212" s="56" t="s">
        <v>414</v>
      </c>
      <c r="C212" s="45" t="s">
        <v>17</v>
      </c>
      <c r="D212" s="56" t="s">
        <v>86</v>
      </c>
      <c r="E212" s="11" t="s">
        <v>33</v>
      </c>
    </row>
    <row r="213">
      <c r="A213" s="48">
        <v>0.6027777777777777</v>
      </c>
      <c r="B213" s="56" t="s">
        <v>260</v>
      </c>
      <c r="C213" s="45" t="s">
        <v>417</v>
      </c>
      <c r="D213" s="56" t="s">
        <v>86</v>
      </c>
      <c r="E213" s="11" t="s">
        <v>29</v>
      </c>
    </row>
    <row r="214">
      <c r="A214" s="48">
        <v>0.6027777777777777</v>
      </c>
      <c r="B214" s="56" t="s">
        <v>414</v>
      </c>
      <c r="C214" s="45" t="s">
        <v>418</v>
      </c>
      <c r="D214" s="56" t="s">
        <v>415</v>
      </c>
      <c r="E214" s="11" t="s">
        <v>33</v>
      </c>
    </row>
    <row r="215">
      <c r="A215" s="48">
        <v>0.6125</v>
      </c>
      <c r="B215" s="56" t="s">
        <v>86</v>
      </c>
      <c r="C215" s="45" t="s">
        <v>342</v>
      </c>
      <c r="D215" s="56" t="s">
        <v>415</v>
      </c>
      <c r="E215" s="11" t="s">
        <v>29</v>
      </c>
    </row>
    <row r="216">
      <c r="A216" s="48">
        <v>0.6125</v>
      </c>
      <c r="B216" s="56" t="s">
        <v>413</v>
      </c>
      <c r="C216" s="45" t="s">
        <v>419</v>
      </c>
      <c r="D216" s="56" t="s">
        <v>414</v>
      </c>
      <c r="E216" s="11" t="s">
        <v>33</v>
      </c>
    </row>
    <row r="217">
      <c r="A217" s="48">
        <v>0.6229166666666667</v>
      </c>
      <c r="B217" s="56" t="s">
        <v>260</v>
      </c>
      <c r="C217" s="45" t="s">
        <v>292</v>
      </c>
      <c r="D217" s="56" t="s">
        <v>415</v>
      </c>
      <c r="E217" s="11" t="s">
        <v>29</v>
      </c>
    </row>
    <row r="218">
      <c r="A218" s="48">
        <v>0.6229166666666667</v>
      </c>
      <c r="B218" s="56" t="s">
        <v>86</v>
      </c>
      <c r="C218" s="45" t="s">
        <v>157</v>
      </c>
      <c r="D218" s="56" t="s">
        <v>413</v>
      </c>
      <c r="E218" s="11" t="s">
        <v>33</v>
      </c>
    </row>
    <row r="219">
      <c r="A219" s="48">
        <v>0.6333333333333333</v>
      </c>
      <c r="B219" s="56" t="s">
        <v>260</v>
      </c>
      <c r="C219" s="45" t="s">
        <v>244</v>
      </c>
      <c r="D219" s="56" t="s">
        <v>414</v>
      </c>
      <c r="E219" s="11" t="s">
        <v>29</v>
      </c>
    </row>
    <row r="220">
      <c r="A220" s="48">
        <v>0.6333333333333333</v>
      </c>
      <c r="B220" s="56" t="s">
        <v>415</v>
      </c>
      <c r="C220" s="45" t="s">
        <v>20</v>
      </c>
      <c r="D220" s="56" t="s">
        <v>413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58" t="s">
        <v>420</v>
      </c>
      <c r="C223" s="57" t="s">
        <v>421</v>
      </c>
      <c r="D223" s="58" t="s">
        <v>422</v>
      </c>
      <c r="E223" s="11" t="s">
        <v>9</v>
      </c>
    </row>
    <row r="224">
      <c r="A224" s="48">
        <v>0.6458333333333334</v>
      </c>
      <c r="B224" s="58" t="s">
        <v>423</v>
      </c>
      <c r="C224" s="57" t="s">
        <v>301</v>
      </c>
      <c r="D224" s="58" t="s">
        <v>94</v>
      </c>
      <c r="E224" s="11" t="s">
        <v>13</v>
      </c>
    </row>
    <row r="225">
      <c r="A225" s="48">
        <v>0.6555555555555556</v>
      </c>
      <c r="B225" s="58" t="s">
        <v>423</v>
      </c>
      <c r="C225" s="57" t="s">
        <v>17</v>
      </c>
      <c r="D225" s="58" t="s">
        <v>422</v>
      </c>
      <c r="E225" s="11" t="s">
        <v>9</v>
      </c>
    </row>
    <row r="226">
      <c r="A226" s="48">
        <v>0.6555555555555556</v>
      </c>
      <c r="B226" s="58" t="s">
        <v>424</v>
      </c>
      <c r="C226" s="57" t="s">
        <v>16</v>
      </c>
      <c r="D226" s="58" t="s">
        <v>94</v>
      </c>
      <c r="E226" s="11" t="s">
        <v>13</v>
      </c>
    </row>
    <row r="227">
      <c r="A227" s="48">
        <v>0.6659722222222222</v>
      </c>
      <c r="B227" s="58" t="s">
        <v>424</v>
      </c>
      <c r="C227" s="57" t="s">
        <v>425</v>
      </c>
      <c r="D227" s="58" t="s">
        <v>423</v>
      </c>
      <c r="E227" s="11" t="s">
        <v>9</v>
      </c>
    </row>
    <row r="228">
      <c r="A228" s="48">
        <v>0.6659722222222222</v>
      </c>
      <c r="B228" s="58" t="s">
        <v>94</v>
      </c>
      <c r="C228" s="57" t="s">
        <v>18</v>
      </c>
      <c r="D228" s="58" t="s">
        <v>420</v>
      </c>
      <c r="E228" s="11" t="s">
        <v>13</v>
      </c>
    </row>
    <row r="229">
      <c r="A229" s="48">
        <v>0.6763888888888889</v>
      </c>
      <c r="B229" s="58" t="s">
        <v>424</v>
      </c>
      <c r="C229" s="57" t="s">
        <v>18</v>
      </c>
      <c r="D229" s="58" t="s">
        <v>422</v>
      </c>
      <c r="E229" s="11" t="s">
        <v>9</v>
      </c>
    </row>
    <row r="230">
      <c r="A230" s="48">
        <v>0.6763888888888889</v>
      </c>
      <c r="B230" s="58" t="s">
        <v>420</v>
      </c>
      <c r="C230" s="57" t="s">
        <v>161</v>
      </c>
      <c r="D230" s="58" t="s">
        <v>423</v>
      </c>
      <c r="E230" s="11" t="s">
        <v>13</v>
      </c>
    </row>
    <row r="231">
      <c r="A231" s="48">
        <v>0.6861111111111111</v>
      </c>
      <c r="B231" s="58" t="s">
        <v>94</v>
      </c>
      <c r="C231" s="57" t="s">
        <v>195</v>
      </c>
      <c r="D231" s="58" t="s">
        <v>422</v>
      </c>
      <c r="E231" s="11" t="s">
        <v>9</v>
      </c>
    </row>
    <row r="232">
      <c r="A232" s="48">
        <v>0.6861111111111111</v>
      </c>
      <c r="B232" s="58" t="s">
        <v>420</v>
      </c>
      <c r="C232" s="57" t="s">
        <v>18</v>
      </c>
      <c r="D232" s="58" t="s">
        <v>424</v>
      </c>
      <c r="E232" s="11" t="s">
        <v>13</v>
      </c>
    </row>
    <row r="233">
      <c r="A233" s="48">
        <v>0.6965277777777777</v>
      </c>
      <c r="B233" s="58" t="s">
        <v>422</v>
      </c>
      <c r="C233" s="57" t="s">
        <v>209</v>
      </c>
      <c r="D233" s="58" t="s">
        <v>420</v>
      </c>
      <c r="E233" s="11" t="s">
        <v>9</v>
      </c>
    </row>
    <row r="234">
      <c r="A234" s="48">
        <v>0.6965277777777777</v>
      </c>
      <c r="B234" s="58" t="s">
        <v>94</v>
      </c>
      <c r="C234" s="57" t="s">
        <v>157</v>
      </c>
      <c r="D234" s="58" t="s">
        <v>423</v>
      </c>
      <c r="E234" s="11" t="s">
        <v>13</v>
      </c>
    </row>
    <row r="235">
      <c r="A235" s="48">
        <v>0.7069444444444445</v>
      </c>
      <c r="B235" s="58" t="s">
        <v>422</v>
      </c>
      <c r="C235" s="45" t="s">
        <v>352</v>
      </c>
      <c r="D235" s="58" t="s">
        <v>423</v>
      </c>
      <c r="E235" s="11" t="s">
        <v>9</v>
      </c>
    </row>
    <row r="236">
      <c r="A236" s="48">
        <v>0.7069444444444445</v>
      </c>
      <c r="B236" s="58" t="s">
        <v>94</v>
      </c>
      <c r="C236" s="45" t="s">
        <v>181</v>
      </c>
      <c r="D236" s="58" t="s">
        <v>424</v>
      </c>
      <c r="E236" s="11" t="s">
        <v>13</v>
      </c>
    </row>
    <row r="237">
      <c r="A237" s="48">
        <v>0.7166666666666667</v>
      </c>
      <c r="B237" s="58" t="s">
        <v>423</v>
      </c>
      <c r="C237" s="45" t="s">
        <v>426</v>
      </c>
      <c r="D237" s="58" t="s">
        <v>424</v>
      </c>
      <c r="E237" s="11" t="s">
        <v>9</v>
      </c>
    </row>
    <row r="238">
      <c r="A238" s="48">
        <v>0.7166666666666667</v>
      </c>
      <c r="B238" s="58" t="s">
        <v>420</v>
      </c>
      <c r="C238" s="45" t="s">
        <v>16</v>
      </c>
      <c r="D238" s="58" t="s">
        <v>94</v>
      </c>
      <c r="E238" s="11" t="s">
        <v>13</v>
      </c>
    </row>
    <row r="239">
      <c r="A239" s="48">
        <v>0.7270833333333333</v>
      </c>
      <c r="B239" s="58" t="s">
        <v>422</v>
      </c>
      <c r="C239" s="45" t="s">
        <v>163</v>
      </c>
      <c r="D239" s="58" t="s">
        <v>424</v>
      </c>
      <c r="E239" s="11" t="s">
        <v>9</v>
      </c>
    </row>
    <row r="240">
      <c r="A240" s="48">
        <v>0.7270833333333333</v>
      </c>
      <c r="B240" s="58" t="s">
        <v>423</v>
      </c>
      <c r="C240" s="45" t="s">
        <v>162</v>
      </c>
      <c r="D240" s="58" t="s">
        <v>420</v>
      </c>
      <c r="E240" s="11" t="s">
        <v>13</v>
      </c>
    </row>
    <row r="241">
      <c r="A241" s="48">
        <v>0.7375</v>
      </c>
      <c r="B241" s="58" t="s">
        <v>422</v>
      </c>
      <c r="C241" s="45" t="s">
        <v>163</v>
      </c>
      <c r="D241" s="58" t="s">
        <v>94</v>
      </c>
      <c r="E241" s="11" t="s">
        <v>9</v>
      </c>
    </row>
    <row r="242">
      <c r="A242" s="48">
        <v>0.7375</v>
      </c>
      <c r="B242" s="58" t="s">
        <v>424</v>
      </c>
      <c r="C242" s="45" t="s">
        <v>24</v>
      </c>
      <c r="D242" s="58" t="s">
        <v>420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58" t="s">
        <v>283</v>
      </c>
      <c r="C245" s="45" t="s">
        <v>251</v>
      </c>
      <c r="D245" s="58" t="s">
        <v>427</v>
      </c>
      <c r="E245" s="11" t="s">
        <v>29</v>
      </c>
    </row>
    <row r="246">
      <c r="A246" s="48">
        <v>0.6458333333333334</v>
      </c>
      <c r="B246" s="58" t="s">
        <v>428</v>
      </c>
      <c r="C246" s="45" t="s">
        <v>429</v>
      </c>
      <c r="D246" s="58" t="s">
        <v>430</v>
      </c>
      <c r="E246" s="11" t="s">
        <v>33</v>
      </c>
    </row>
    <row r="247">
      <c r="A247" s="48">
        <v>0.6555555555555556</v>
      </c>
      <c r="B247" s="58" t="s">
        <v>428</v>
      </c>
      <c r="C247" s="45" t="s">
        <v>18</v>
      </c>
      <c r="D247" s="58" t="s">
        <v>427</v>
      </c>
      <c r="E247" s="11" t="s">
        <v>29</v>
      </c>
    </row>
    <row r="248">
      <c r="A248" s="48">
        <v>0.6555555555555556</v>
      </c>
      <c r="B248" s="58" t="s">
        <v>431</v>
      </c>
      <c r="C248" s="45" t="s">
        <v>218</v>
      </c>
      <c r="D248" s="58" t="s">
        <v>430</v>
      </c>
      <c r="E248" s="11" t="s">
        <v>33</v>
      </c>
    </row>
    <row r="249">
      <c r="A249" s="48">
        <v>0.6659722222222222</v>
      </c>
      <c r="B249" s="58" t="s">
        <v>431</v>
      </c>
      <c r="C249" s="45" t="s">
        <v>432</v>
      </c>
      <c r="D249" s="58" t="s">
        <v>428</v>
      </c>
      <c r="E249" s="11" t="s">
        <v>29</v>
      </c>
    </row>
    <row r="250">
      <c r="A250" s="48">
        <v>0.6659722222222222</v>
      </c>
      <c r="B250" s="58" t="s">
        <v>430</v>
      </c>
      <c r="C250" s="45" t="s">
        <v>157</v>
      </c>
      <c r="D250" s="58" t="s">
        <v>283</v>
      </c>
      <c r="E250" s="11" t="s">
        <v>33</v>
      </c>
    </row>
    <row r="251">
      <c r="A251" s="48">
        <v>0.6763888888888889</v>
      </c>
      <c r="B251" s="58" t="s">
        <v>431</v>
      </c>
      <c r="C251" s="45" t="s">
        <v>23</v>
      </c>
      <c r="D251" s="58" t="s">
        <v>427</v>
      </c>
      <c r="E251" s="11" t="s">
        <v>29</v>
      </c>
    </row>
    <row r="252">
      <c r="A252" s="48">
        <v>0.6763888888888889</v>
      </c>
      <c r="B252" s="58" t="s">
        <v>283</v>
      </c>
      <c r="C252" s="45" t="s">
        <v>433</v>
      </c>
      <c r="D252" s="58" t="s">
        <v>428</v>
      </c>
      <c r="E252" s="11" t="s">
        <v>33</v>
      </c>
    </row>
    <row r="253">
      <c r="A253" s="48">
        <v>0.6861111111111111</v>
      </c>
      <c r="B253" s="58" t="s">
        <v>430</v>
      </c>
      <c r="C253" s="45" t="s">
        <v>193</v>
      </c>
      <c r="D253" s="58" t="s">
        <v>427</v>
      </c>
      <c r="E253" s="11" t="s">
        <v>29</v>
      </c>
    </row>
    <row r="254">
      <c r="A254" s="48">
        <v>0.6861111111111111</v>
      </c>
      <c r="B254" s="58" t="s">
        <v>283</v>
      </c>
      <c r="C254" s="45" t="s">
        <v>43</v>
      </c>
      <c r="D254" s="58" t="s">
        <v>431</v>
      </c>
      <c r="E254" s="11" t="s">
        <v>33</v>
      </c>
    </row>
    <row r="255">
      <c r="A255" s="48">
        <v>0.6965277777777777</v>
      </c>
      <c r="B255" s="58" t="s">
        <v>427</v>
      </c>
      <c r="C255" s="45" t="s">
        <v>248</v>
      </c>
      <c r="D255" s="58" t="s">
        <v>283</v>
      </c>
      <c r="E255" s="11" t="s">
        <v>29</v>
      </c>
    </row>
    <row r="256">
      <c r="A256" s="48">
        <v>0.6965277777777777</v>
      </c>
      <c r="B256" s="58" t="s">
        <v>430</v>
      </c>
      <c r="C256" s="45" t="s">
        <v>18</v>
      </c>
      <c r="D256" s="58" t="s">
        <v>428</v>
      </c>
      <c r="E256" s="11" t="s">
        <v>33</v>
      </c>
    </row>
    <row r="257">
      <c r="A257" s="48">
        <v>0.7069444444444445</v>
      </c>
      <c r="B257" s="58" t="s">
        <v>427</v>
      </c>
      <c r="C257" s="45" t="s">
        <v>289</v>
      </c>
      <c r="D257" s="58" t="s">
        <v>428</v>
      </c>
      <c r="E257" s="11" t="s">
        <v>29</v>
      </c>
    </row>
    <row r="258">
      <c r="A258" s="48">
        <v>0.7069444444444445</v>
      </c>
      <c r="B258" s="58" t="s">
        <v>430</v>
      </c>
      <c r="C258" s="45" t="s">
        <v>433</v>
      </c>
      <c r="D258" s="58" t="s">
        <v>431</v>
      </c>
      <c r="E258" s="11" t="s">
        <v>33</v>
      </c>
    </row>
    <row r="259">
      <c r="A259" s="48">
        <v>0.7166666666666667</v>
      </c>
      <c r="B259" s="58" t="s">
        <v>428</v>
      </c>
      <c r="C259" s="45" t="s">
        <v>315</v>
      </c>
      <c r="D259" s="58" t="s">
        <v>431</v>
      </c>
      <c r="E259" s="11" t="s">
        <v>29</v>
      </c>
    </row>
    <row r="260">
      <c r="A260" s="48">
        <v>0.7166666666666667</v>
      </c>
      <c r="B260" s="58" t="s">
        <v>283</v>
      </c>
      <c r="C260" s="45" t="s">
        <v>38</v>
      </c>
      <c r="D260" s="58" t="s">
        <v>430</v>
      </c>
      <c r="E260" s="11" t="s">
        <v>33</v>
      </c>
    </row>
    <row r="261">
      <c r="A261" s="48">
        <v>0.7270833333333333</v>
      </c>
      <c r="B261" s="58" t="s">
        <v>427</v>
      </c>
      <c r="C261" s="45" t="s">
        <v>177</v>
      </c>
      <c r="D261" s="58" t="s">
        <v>431</v>
      </c>
      <c r="E261" s="11" t="s">
        <v>29</v>
      </c>
    </row>
    <row r="262">
      <c r="A262" s="48">
        <v>0.7270833333333333</v>
      </c>
      <c r="B262" s="58" t="s">
        <v>428</v>
      </c>
      <c r="C262" s="45" t="s">
        <v>362</v>
      </c>
      <c r="D262" s="58" t="s">
        <v>283</v>
      </c>
      <c r="E262" s="11" t="s">
        <v>33</v>
      </c>
    </row>
    <row r="263">
      <c r="A263" s="48">
        <v>0.7375</v>
      </c>
      <c r="B263" s="58" t="s">
        <v>427</v>
      </c>
      <c r="C263" s="45" t="s">
        <v>298</v>
      </c>
      <c r="D263" s="58" t="s">
        <v>430</v>
      </c>
      <c r="E263" s="11" t="s">
        <v>29</v>
      </c>
    </row>
    <row r="264">
      <c r="A264" s="48">
        <v>0.7375</v>
      </c>
      <c r="B264" s="58" t="s">
        <v>431</v>
      </c>
      <c r="C264" s="45" t="s">
        <v>352</v>
      </c>
      <c r="D264" s="58" t="s">
        <v>283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58" t="s">
        <v>434</v>
      </c>
      <c r="C267" s="45" t="s">
        <v>18</v>
      </c>
      <c r="D267" s="58" t="s">
        <v>435</v>
      </c>
      <c r="E267" s="11" t="s">
        <v>9</v>
      </c>
    </row>
    <row r="268">
      <c r="A268" s="48">
        <v>0.75</v>
      </c>
      <c r="B268" s="58" t="s">
        <v>436</v>
      </c>
      <c r="C268" s="45" t="s">
        <v>155</v>
      </c>
      <c r="D268" s="58" t="s">
        <v>437</v>
      </c>
      <c r="E268" s="11" t="s">
        <v>13</v>
      </c>
    </row>
    <row r="269">
      <c r="A269" s="48">
        <v>0.7597222222222222</v>
      </c>
      <c r="B269" s="58" t="s">
        <v>436</v>
      </c>
      <c r="C269" s="45" t="s">
        <v>281</v>
      </c>
      <c r="D269" s="58" t="s">
        <v>435</v>
      </c>
      <c r="E269" s="11" t="s">
        <v>9</v>
      </c>
    </row>
    <row r="270">
      <c r="A270" s="48">
        <v>0.7597222222222222</v>
      </c>
      <c r="B270" s="58" t="s">
        <v>438</v>
      </c>
      <c r="C270" s="45" t="s">
        <v>220</v>
      </c>
      <c r="D270" s="58" t="s">
        <v>437</v>
      </c>
      <c r="E270" s="11" t="s">
        <v>13</v>
      </c>
    </row>
    <row r="271">
      <c r="A271" s="48">
        <v>0.7701388888888889</v>
      </c>
      <c r="B271" s="58" t="s">
        <v>438</v>
      </c>
      <c r="C271" s="45" t="s">
        <v>225</v>
      </c>
      <c r="D271" s="58" t="s">
        <v>436</v>
      </c>
      <c r="E271" s="11" t="s">
        <v>9</v>
      </c>
    </row>
    <row r="272">
      <c r="A272" s="48">
        <v>0.7701388888888889</v>
      </c>
      <c r="B272" s="58" t="s">
        <v>437</v>
      </c>
      <c r="C272" s="45" t="s">
        <v>24</v>
      </c>
      <c r="D272" s="58" t="s">
        <v>434</v>
      </c>
      <c r="E272" s="11" t="s">
        <v>13</v>
      </c>
    </row>
    <row r="273">
      <c r="A273" s="48">
        <v>0.7805555555555556</v>
      </c>
      <c r="B273" s="58" t="s">
        <v>438</v>
      </c>
      <c r="C273" s="45" t="s">
        <v>18</v>
      </c>
      <c r="D273" s="58" t="s">
        <v>435</v>
      </c>
      <c r="E273" s="11" t="s">
        <v>9</v>
      </c>
    </row>
    <row r="274">
      <c r="A274" s="48">
        <v>0.7805555555555556</v>
      </c>
      <c r="B274" s="58" t="s">
        <v>434</v>
      </c>
      <c r="C274" s="45" t="s">
        <v>155</v>
      </c>
      <c r="D274" s="58" t="s">
        <v>436</v>
      </c>
      <c r="E274" s="11" t="s">
        <v>13</v>
      </c>
    </row>
    <row r="275">
      <c r="A275" s="48">
        <v>0.7902777777777777</v>
      </c>
      <c r="B275" s="58" t="s">
        <v>437</v>
      </c>
      <c r="C275" s="45" t="s">
        <v>198</v>
      </c>
      <c r="D275" s="58" t="s">
        <v>435</v>
      </c>
      <c r="E275" s="11" t="s">
        <v>9</v>
      </c>
    </row>
    <row r="276">
      <c r="A276" s="48">
        <v>0.7902777777777777</v>
      </c>
      <c r="B276" s="58" t="s">
        <v>434</v>
      </c>
      <c r="C276" s="45" t="s">
        <v>251</v>
      </c>
      <c r="D276" s="58" t="s">
        <v>438</v>
      </c>
      <c r="E276" s="11" t="s">
        <v>13</v>
      </c>
    </row>
    <row r="277">
      <c r="A277" s="48">
        <v>0.8006944444444445</v>
      </c>
      <c r="B277" s="58" t="s">
        <v>435</v>
      </c>
      <c r="C277" s="45" t="s">
        <v>439</v>
      </c>
      <c r="D277" s="58" t="s">
        <v>434</v>
      </c>
      <c r="E277" s="11" t="s">
        <v>9</v>
      </c>
    </row>
    <row r="278">
      <c r="A278" s="48">
        <v>0.8006944444444445</v>
      </c>
      <c r="B278" s="58" t="s">
        <v>437</v>
      </c>
      <c r="C278" s="45" t="s">
        <v>203</v>
      </c>
      <c r="D278" s="58" t="s">
        <v>436</v>
      </c>
      <c r="E278" s="11" t="s">
        <v>13</v>
      </c>
    </row>
    <row r="279">
      <c r="A279" s="48">
        <v>0.8111111111111111</v>
      </c>
      <c r="B279" s="58" t="s">
        <v>435</v>
      </c>
      <c r="C279" s="45" t="s">
        <v>440</v>
      </c>
      <c r="D279" s="58" t="s">
        <v>436</v>
      </c>
      <c r="E279" s="60" t="str">
        <f>HYPERLINK("https://youtu.be/GFeU49uGLXs?t=5324","channel 1")</f>
        <v>channel 1</v>
      </c>
    </row>
    <row r="280">
      <c r="A280" s="48">
        <v>0.8111111111111111</v>
      </c>
      <c r="B280" s="58" t="s">
        <v>437</v>
      </c>
      <c r="C280" s="45" t="s">
        <v>24</v>
      </c>
      <c r="D280" s="58" t="s">
        <v>438</v>
      </c>
      <c r="E280" s="11" t="s">
        <v>13</v>
      </c>
    </row>
    <row r="281">
      <c r="A281" s="48">
        <v>0.8208333333333333</v>
      </c>
      <c r="B281" s="58" t="s">
        <v>436</v>
      </c>
      <c r="C281" s="45" t="s">
        <v>195</v>
      </c>
      <c r="D281" s="58" t="s">
        <v>438</v>
      </c>
      <c r="E281" s="11" t="s">
        <v>9</v>
      </c>
    </row>
    <row r="282">
      <c r="A282" s="48">
        <v>0.8208333333333333</v>
      </c>
      <c r="B282" s="58" t="s">
        <v>434</v>
      </c>
      <c r="C282" s="45" t="s">
        <v>7</v>
      </c>
      <c r="D282" s="58" t="s">
        <v>437</v>
      </c>
      <c r="E282" s="11" t="s">
        <v>13</v>
      </c>
    </row>
    <row r="283">
      <c r="A283" s="48">
        <v>0.83125</v>
      </c>
      <c r="B283" s="58" t="s">
        <v>435</v>
      </c>
      <c r="C283" s="45" t="s">
        <v>441</v>
      </c>
      <c r="D283" s="58" t="s">
        <v>438</v>
      </c>
      <c r="E283" s="11" t="s">
        <v>9</v>
      </c>
    </row>
    <row r="284">
      <c r="A284" s="48">
        <v>0.83125</v>
      </c>
      <c r="B284" s="58" t="s">
        <v>436</v>
      </c>
      <c r="C284" s="45" t="s">
        <v>193</v>
      </c>
      <c r="D284" s="58" t="s">
        <v>434</v>
      </c>
      <c r="E284" s="11" t="s">
        <v>13</v>
      </c>
    </row>
    <row r="285">
      <c r="A285" s="48">
        <v>0.8416666666666667</v>
      </c>
      <c r="B285" s="58" t="s">
        <v>435</v>
      </c>
      <c r="C285" s="45" t="s">
        <v>290</v>
      </c>
      <c r="D285" s="58" t="s">
        <v>437</v>
      </c>
      <c r="E285" s="11" t="s">
        <v>9</v>
      </c>
    </row>
    <row r="286">
      <c r="A286" s="48">
        <v>0.8416666666666667</v>
      </c>
      <c r="B286" s="58" t="s">
        <v>438</v>
      </c>
      <c r="C286" s="45" t="s">
        <v>442</v>
      </c>
      <c r="D286" s="58" t="s">
        <v>434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58" t="s">
        <v>306</v>
      </c>
      <c r="C289" s="45" t="s">
        <v>443</v>
      </c>
      <c r="D289" s="58" t="s">
        <v>444</v>
      </c>
      <c r="E289" s="11" t="s">
        <v>29</v>
      </c>
    </row>
    <row r="290">
      <c r="A290" s="48">
        <v>0.75</v>
      </c>
      <c r="B290" s="58" t="s">
        <v>445</v>
      </c>
      <c r="C290" s="45" t="s">
        <v>302</v>
      </c>
      <c r="D290" s="58" t="s">
        <v>446</v>
      </c>
      <c r="E290" s="11" t="s">
        <v>33</v>
      </c>
    </row>
    <row r="291">
      <c r="A291" s="48">
        <v>0.7597222222222222</v>
      </c>
      <c r="B291" s="58" t="s">
        <v>445</v>
      </c>
      <c r="C291" s="45" t="s">
        <v>16</v>
      </c>
      <c r="D291" s="58" t="s">
        <v>444</v>
      </c>
      <c r="E291" s="11" t="s">
        <v>29</v>
      </c>
    </row>
    <row r="292">
      <c r="A292" s="48">
        <v>0.7597222222222222</v>
      </c>
      <c r="B292" s="58" t="s">
        <v>447</v>
      </c>
      <c r="C292" s="45" t="s">
        <v>162</v>
      </c>
      <c r="D292" s="58" t="s">
        <v>446</v>
      </c>
      <c r="E292" s="11" t="s">
        <v>33</v>
      </c>
    </row>
    <row r="293">
      <c r="A293" s="48">
        <v>0.7701388888888889</v>
      </c>
      <c r="B293" s="58" t="s">
        <v>447</v>
      </c>
      <c r="C293" s="45" t="s">
        <v>210</v>
      </c>
      <c r="D293" s="58" t="s">
        <v>445</v>
      </c>
      <c r="E293" s="11" t="s">
        <v>29</v>
      </c>
    </row>
    <row r="294">
      <c r="A294" s="48">
        <v>0.7701388888888889</v>
      </c>
      <c r="B294" s="58" t="s">
        <v>446</v>
      </c>
      <c r="C294" s="45" t="s">
        <v>448</v>
      </c>
      <c r="D294" s="58" t="s">
        <v>306</v>
      </c>
      <c r="E294" s="11" t="s">
        <v>33</v>
      </c>
    </row>
    <row r="295">
      <c r="A295" s="48">
        <v>0.7805555555555556</v>
      </c>
      <c r="B295" s="58" t="s">
        <v>447</v>
      </c>
      <c r="C295" s="45" t="s">
        <v>449</v>
      </c>
      <c r="D295" s="58" t="s">
        <v>444</v>
      </c>
      <c r="E295" s="11" t="s">
        <v>29</v>
      </c>
    </row>
    <row r="296">
      <c r="A296" s="48">
        <v>0.7805555555555556</v>
      </c>
      <c r="B296" s="58" t="s">
        <v>306</v>
      </c>
      <c r="C296" s="45" t="s">
        <v>450</v>
      </c>
      <c r="D296" s="58" t="s">
        <v>445</v>
      </c>
      <c r="E296" s="11" t="s">
        <v>33</v>
      </c>
    </row>
    <row r="297">
      <c r="A297" s="48">
        <v>0.7902777777777777</v>
      </c>
      <c r="B297" s="58" t="s">
        <v>446</v>
      </c>
      <c r="C297" s="45" t="s">
        <v>173</v>
      </c>
      <c r="D297" s="58" t="s">
        <v>444</v>
      </c>
      <c r="E297" s="11" t="s">
        <v>29</v>
      </c>
    </row>
    <row r="298">
      <c r="A298" s="48">
        <v>0.7902777777777777</v>
      </c>
      <c r="B298" s="58" t="s">
        <v>306</v>
      </c>
      <c r="C298" s="45" t="s">
        <v>232</v>
      </c>
      <c r="D298" s="58" t="s">
        <v>447</v>
      </c>
      <c r="E298" s="11" t="s">
        <v>33</v>
      </c>
    </row>
    <row r="299">
      <c r="A299" s="48">
        <v>0.8006944444444445</v>
      </c>
      <c r="B299" s="58" t="s">
        <v>444</v>
      </c>
      <c r="C299" s="45" t="s">
        <v>292</v>
      </c>
      <c r="D299" s="58" t="s">
        <v>306</v>
      </c>
      <c r="E299" s="11" t="s">
        <v>29</v>
      </c>
    </row>
    <row r="300">
      <c r="A300" s="48">
        <v>0.8006944444444445</v>
      </c>
      <c r="B300" s="58" t="s">
        <v>446</v>
      </c>
      <c r="C300" s="45" t="s">
        <v>440</v>
      </c>
      <c r="D300" s="58" t="s">
        <v>445</v>
      </c>
      <c r="E300" s="11" t="s">
        <v>33</v>
      </c>
    </row>
    <row r="301">
      <c r="A301" s="48">
        <v>0.8111111111111111</v>
      </c>
      <c r="B301" s="58" t="s">
        <v>444</v>
      </c>
      <c r="C301" s="45" t="s">
        <v>19</v>
      </c>
      <c r="D301" s="58" t="s">
        <v>445</v>
      </c>
      <c r="E301" s="11" t="s">
        <v>29</v>
      </c>
    </row>
    <row r="302">
      <c r="A302" s="48">
        <v>0.8111111111111111</v>
      </c>
      <c r="B302" s="58" t="s">
        <v>446</v>
      </c>
      <c r="C302" s="45" t="s">
        <v>451</v>
      </c>
      <c r="D302" s="58" t="s">
        <v>447</v>
      </c>
      <c r="E302" s="11" t="s">
        <v>33</v>
      </c>
    </row>
    <row r="303">
      <c r="A303" s="48">
        <v>0.8208333333333333</v>
      </c>
      <c r="B303" s="58" t="s">
        <v>445</v>
      </c>
      <c r="C303" s="45" t="s">
        <v>38</v>
      </c>
      <c r="D303" s="58" t="s">
        <v>447</v>
      </c>
      <c r="E303" s="11" t="s">
        <v>29</v>
      </c>
    </row>
    <row r="304">
      <c r="A304" s="48">
        <v>0.8208333333333333</v>
      </c>
      <c r="B304" s="58" t="s">
        <v>306</v>
      </c>
      <c r="C304" s="45" t="s">
        <v>452</v>
      </c>
      <c r="D304" s="58" t="s">
        <v>446</v>
      </c>
      <c r="E304" s="11" t="s">
        <v>33</v>
      </c>
    </row>
    <row r="305">
      <c r="A305" s="48">
        <v>0.83125</v>
      </c>
      <c r="B305" s="58" t="s">
        <v>444</v>
      </c>
      <c r="C305" s="45" t="s">
        <v>24</v>
      </c>
      <c r="D305" s="58" t="s">
        <v>447</v>
      </c>
      <c r="E305" s="11" t="s">
        <v>29</v>
      </c>
    </row>
    <row r="306">
      <c r="A306" s="48">
        <v>0.83125</v>
      </c>
      <c r="B306" s="58" t="s">
        <v>445</v>
      </c>
      <c r="C306" s="45" t="s">
        <v>245</v>
      </c>
      <c r="D306" s="58" t="s">
        <v>306</v>
      </c>
      <c r="E306" s="11" t="s">
        <v>33</v>
      </c>
    </row>
    <row r="307">
      <c r="A307" s="48">
        <v>0.8416666666666667</v>
      </c>
      <c r="B307" s="58" t="s">
        <v>444</v>
      </c>
      <c r="C307" s="45" t="s">
        <v>161</v>
      </c>
      <c r="D307" s="58" t="s">
        <v>446</v>
      </c>
      <c r="E307" s="11" t="s">
        <v>29</v>
      </c>
    </row>
    <row r="308">
      <c r="A308" s="48">
        <v>0.8416666666666667</v>
      </c>
      <c r="B308" s="58" t="s">
        <v>447</v>
      </c>
      <c r="C308" s="45" t="s">
        <v>164</v>
      </c>
      <c r="D308" s="58" t="s">
        <v>306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58" t="s">
        <v>453</v>
      </c>
      <c r="C311" s="57" t="s">
        <v>454</v>
      </c>
      <c r="D311" s="58" t="s">
        <v>455</v>
      </c>
      <c r="E311" s="11" t="s">
        <v>9</v>
      </c>
    </row>
    <row r="312">
      <c r="A312" s="48">
        <v>0.8541666666666666</v>
      </c>
      <c r="B312" s="58" t="s">
        <v>456</v>
      </c>
      <c r="C312" s="57" t="s">
        <v>302</v>
      </c>
      <c r="D312" s="58" t="s">
        <v>457</v>
      </c>
      <c r="E312" s="11" t="s">
        <v>13</v>
      </c>
    </row>
    <row r="313">
      <c r="A313" s="48">
        <v>0.8638888888888889</v>
      </c>
      <c r="B313" s="58" t="s">
        <v>456</v>
      </c>
      <c r="C313" s="57" t="s">
        <v>36</v>
      </c>
      <c r="D313" s="58" t="s">
        <v>455</v>
      </c>
      <c r="E313" s="11" t="s">
        <v>9</v>
      </c>
    </row>
    <row r="314">
      <c r="A314" s="48">
        <v>0.8638888888888889</v>
      </c>
      <c r="B314" s="58" t="s">
        <v>458</v>
      </c>
      <c r="C314" s="57" t="s">
        <v>161</v>
      </c>
      <c r="D314" s="58" t="s">
        <v>457</v>
      </c>
      <c r="E314" s="11" t="s">
        <v>13</v>
      </c>
    </row>
    <row r="315">
      <c r="A315" s="48">
        <v>0.8743055555555556</v>
      </c>
      <c r="B315" s="58" t="s">
        <v>458</v>
      </c>
      <c r="C315" s="57" t="s">
        <v>292</v>
      </c>
      <c r="D315" s="58" t="s">
        <v>456</v>
      </c>
      <c r="E315" s="11" t="s">
        <v>9</v>
      </c>
    </row>
    <row r="316">
      <c r="A316" s="48">
        <v>0.8743055555555556</v>
      </c>
      <c r="B316" s="58" t="s">
        <v>457</v>
      </c>
      <c r="C316" s="57" t="s">
        <v>155</v>
      </c>
      <c r="D316" s="58" t="s">
        <v>453</v>
      </c>
      <c r="E316" s="11" t="s">
        <v>13</v>
      </c>
    </row>
    <row r="317">
      <c r="A317" s="48">
        <v>0.8847222222222222</v>
      </c>
      <c r="B317" s="58" t="s">
        <v>458</v>
      </c>
      <c r="C317" s="57" t="s">
        <v>185</v>
      </c>
      <c r="D317" s="58" t="s">
        <v>455</v>
      </c>
      <c r="E317" s="11" t="s">
        <v>9</v>
      </c>
    </row>
    <row r="318">
      <c r="A318" s="48">
        <v>0.8847222222222222</v>
      </c>
      <c r="B318" s="58" t="s">
        <v>453</v>
      </c>
      <c r="C318" s="57" t="s">
        <v>20</v>
      </c>
      <c r="D318" s="58" t="s">
        <v>456</v>
      </c>
      <c r="E318" s="11" t="s">
        <v>13</v>
      </c>
    </row>
    <row r="319">
      <c r="A319" s="48">
        <v>0.8944444444444445</v>
      </c>
      <c r="B319" s="58" t="s">
        <v>457</v>
      </c>
      <c r="C319" s="57" t="s">
        <v>198</v>
      </c>
      <c r="D319" s="58" t="s">
        <v>455</v>
      </c>
      <c r="E319" s="11" t="s">
        <v>9</v>
      </c>
    </row>
    <row r="320">
      <c r="A320" s="48">
        <v>0.8944444444444445</v>
      </c>
      <c r="B320" s="58" t="s">
        <v>453</v>
      </c>
      <c r="C320" s="57" t="s">
        <v>162</v>
      </c>
      <c r="D320" s="58" t="s">
        <v>458</v>
      </c>
      <c r="E320" s="11" t="s">
        <v>13</v>
      </c>
    </row>
    <row r="321">
      <c r="A321" s="48">
        <v>0.9048611111111111</v>
      </c>
      <c r="B321" s="58" t="s">
        <v>455</v>
      </c>
      <c r="C321" s="57" t="s">
        <v>173</v>
      </c>
      <c r="D321" s="58" t="s">
        <v>453</v>
      </c>
      <c r="E321" s="11" t="s">
        <v>9</v>
      </c>
    </row>
    <row r="322">
      <c r="A322" s="48">
        <v>0.9048611111111111</v>
      </c>
      <c r="B322" s="58" t="s">
        <v>457</v>
      </c>
      <c r="C322" s="57" t="s">
        <v>185</v>
      </c>
      <c r="D322" s="58" t="s">
        <v>456</v>
      </c>
      <c r="E322" s="11" t="s">
        <v>13</v>
      </c>
    </row>
    <row r="323">
      <c r="A323" s="48">
        <v>0.9152777777777777</v>
      </c>
      <c r="B323" s="58" t="s">
        <v>455</v>
      </c>
      <c r="C323" s="45" t="s">
        <v>219</v>
      </c>
      <c r="D323" s="58" t="s">
        <v>456</v>
      </c>
      <c r="E323" s="11" t="s">
        <v>9</v>
      </c>
    </row>
    <row r="324">
      <c r="A324" s="48">
        <v>0.9152777777777777</v>
      </c>
      <c r="B324" s="58" t="s">
        <v>457</v>
      </c>
      <c r="C324" s="45" t="s">
        <v>18</v>
      </c>
      <c r="D324" s="58" t="s">
        <v>458</v>
      </c>
      <c r="E324" s="11" t="s">
        <v>13</v>
      </c>
    </row>
    <row r="325">
      <c r="A325" s="48">
        <v>0.925</v>
      </c>
      <c r="B325" s="58" t="s">
        <v>456</v>
      </c>
      <c r="C325" s="45" t="s">
        <v>248</v>
      </c>
      <c r="D325" s="58" t="s">
        <v>458</v>
      </c>
      <c r="E325" s="11" t="s">
        <v>9</v>
      </c>
    </row>
    <row r="326">
      <c r="A326" s="48">
        <v>0.925</v>
      </c>
      <c r="B326" s="58" t="s">
        <v>453</v>
      </c>
      <c r="C326" s="45" t="s">
        <v>23</v>
      </c>
      <c r="D326" s="58" t="s">
        <v>457</v>
      </c>
      <c r="E326" s="11" t="s">
        <v>13</v>
      </c>
    </row>
    <row r="327">
      <c r="A327" s="48">
        <v>0.9354166666666667</v>
      </c>
      <c r="B327" s="58" t="s">
        <v>455</v>
      </c>
      <c r="C327" s="45" t="s">
        <v>459</v>
      </c>
      <c r="D327" s="58" t="s">
        <v>458</v>
      </c>
      <c r="E327" s="11" t="s">
        <v>9</v>
      </c>
    </row>
    <row r="328">
      <c r="A328" s="48">
        <v>0.9354166666666667</v>
      </c>
      <c r="B328" s="58" t="s">
        <v>456</v>
      </c>
      <c r="C328" s="45" t="s">
        <v>222</v>
      </c>
      <c r="D328" s="58" t="s">
        <v>453</v>
      </c>
      <c r="E328" s="11" t="s">
        <v>13</v>
      </c>
    </row>
    <row r="329">
      <c r="A329" s="48">
        <v>0.9458333333333333</v>
      </c>
      <c r="B329" s="58" t="s">
        <v>455</v>
      </c>
      <c r="C329" s="45" t="s">
        <v>248</v>
      </c>
      <c r="D329" s="58" t="s">
        <v>457</v>
      </c>
      <c r="E329" s="11" t="s">
        <v>9</v>
      </c>
    </row>
    <row r="330">
      <c r="A330" s="48">
        <v>0.9458333333333333</v>
      </c>
      <c r="B330" s="58" t="s">
        <v>458</v>
      </c>
      <c r="C330" s="45" t="s">
        <v>193</v>
      </c>
      <c r="D330" s="58" t="s">
        <v>453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58" t="s">
        <v>460</v>
      </c>
      <c r="C333" s="45" t="s">
        <v>251</v>
      </c>
      <c r="D333" s="58" t="s">
        <v>120</v>
      </c>
      <c r="E333" s="11" t="s">
        <v>29</v>
      </c>
    </row>
    <row r="334">
      <c r="A334" s="48">
        <v>0.8541666666666666</v>
      </c>
      <c r="B334" s="58" t="s">
        <v>117</v>
      </c>
      <c r="C334" s="45" t="s">
        <v>227</v>
      </c>
      <c r="D334" s="58" t="s">
        <v>461</v>
      </c>
      <c r="E334" s="11" t="s">
        <v>33</v>
      </c>
    </row>
    <row r="335">
      <c r="A335" s="48">
        <v>0.8638888888888889</v>
      </c>
      <c r="B335" s="58" t="s">
        <v>117</v>
      </c>
      <c r="C335" s="45" t="s">
        <v>195</v>
      </c>
      <c r="D335" s="58" t="s">
        <v>120</v>
      </c>
      <c r="E335" s="11" t="s">
        <v>29</v>
      </c>
    </row>
    <row r="336">
      <c r="A336" s="48">
        <v>0.8638888888888889</v>
      </c>
      <c r="B336" s="58" t="s">
        <v>121</v>
      </c>
      <c r="C336" s="45" t="s">
        <v>155</v>
      </c>
      <c r="D336" s="58" t="s">
        <v>461</v>
      </c>
      <c r="E336" s="11" t="s">
        <v>33</v>
      </c>
    </row>
    <row r="337">
      <c r="A337" s="48">
        <v>0.8743055555555556</v>
      </c>
      <c r="B337" s="58" t="s">
        <v>121</v>
      </c>
      <c r="C337" s="45" t="s">
        <v>155</v>
      </c>
      <c r="D337" s="58" t="s">
        <v>117</v>
      </c>
      <c r="E337" s="11" t="s">
        <v>29</v>
      </c>
    </row>
    <row r="338">
      <c r="A338" s="48">
        <v>0.8743055555555556</v>
      </c>
      <c r="B338" s="58" t="s">
        <v>461</v>
      </c>
      <c r="C338" s="45" t="s">
        <v>462</v>
      </c>
      <c r="D338" s="58" t="s">
        <v>460</v>
      </c>
      <c r="E338" s="11" t="s">
        <v>33</v>
      </c>
    </row>
    <row r="339">
      <c r="A339" s="48">
        <v>0.8847222222222222</v>
      </c>
      <c r="B339" s="58" t="s">
        <v>121</v>
      </c>
      <c r="C339" s="45" t="s">
        <v>334</v>
      </c>
      <c r="D339" s="58" t="s">
        <v>120</v>
      </c>
      <c r="E339" s="11" t="s">
        <v>29</v>
      </c>
    </row>
    <row r="340">
      <c r="A340" s="48">
        <v>0.8847222222222222</v>
      </c>
      <c r="B340" s="58" t="s">
        <v>460</v>
      </c>
      <c r="C340" s="45" t="s">
        <v>155</v>
      </c>
      <c r="D340" s="58" t="s">
        <v>117</v>
      </c>
      <c r="E340" s="11" t="s">
        <v>33</v>
      </c>
    </row>
    <row r="341">
      <c r="A341" s="48">
        <v>0.8944444444444445</v>
      </c>
      <c r="B341" s="58" t="s">
        <v>461</v>
      </c>
      <c r="C341" s="45" t="s">
        <v>20</v>
      </c>
      <c r="D341" s="58" t="s">
        <v>120</v>
      </c>
      <c r="E341" s="11" t="s">
        <v>29</v>
      </c>
    </row>
    <row r="342">
      <c r="A342" s="48">
        <v>0.8944444444444445</v>
      </c>
      <c r="B342" s="58" t="s">
        <v>460</v>
      </c>
      <c r="C342" s="45" t="s">
        <v>173</v>
      </c>
      <c r="D342" s="58" t="s">
        <v>121</v>
      </c>
      <c r="E342" s="11" t="s">
        <v>33</v>
      </c>
    </row>
    <row r="343">
      <c r="A343" s="48">
        <v>0.9048611111111111</v>
      </c>
      <c r="B343" s="58" t="s">
        <v>120</v>
      </c>
      <c r="C343" s="45" t="s">
        <v>20</v>
      </c>
      <c r="D343" s="58" t="s">
        <v>460</v>
      </c>
      <c r="E343" s="11" t="s">
        <v>29</v>
      </c>
    </row>
    <row r="344">
      <c r="A344" s="48">
        <v>0.9048611111111111</v>
      </c>
      <c r="B344" s="58" t="s">
        <v>461</v>
      </c>
      <c r="C344" s="45" t="s">
        <v>164</v>
      </c>
      <c r="D344" s="58" t="s">
        <v>117</v>
      </c>
      <c r="E344" s="11" t="s">
        <v>33</v>
      </c>
    </row>
    <row r="345">
      <c r="A345" s="48">
        <v>0.9152777777777777</v>
      </c>
      <c r="B345" s="58" t="s">
        <v>120</v>
      </c>
      <c r="C345" s="45" t="s">
        <v>23</v>
      </c>
      <c r="D345" s="58" t="s">
        <v>117</v>
      </c>
      <c r="E345" s="11" t="s">
        <v>29</v>
      </c>
    </row>
    <row r="346">
      <c r="A346" s="48">
        <v>0.9152777777777777</v>
      </c>
      <c r="B346" s="58" t="s">
        <v>461</v>
      </c>
      <c r="C346" s="45" t="s">
        <v>355</v>
      </c>
      <c r="D346" s="58" t="s">
        <v>121</v>
      </c>
      <c r="E346" s="11" t="s">
        <v>33</v>
      </c>
    </row>
    <row r="347">
      <c r="A347" s="48">
        <v>0.925</v>
      </c>
      <c r="B347" s="58" t="s">
        <v>117</v>
      </c>
      <c r="C347" s="45" t="s">
        <v>439</v>
      </c>
      <c r="D347" s="58" t="s">
        <v>121</v>
      </c>
      <c r="E347" s="11" t="s">
        <v>29</v>
      </c>
    </row>
    <row r="348">
      <c r="A348" s="48">
        <v>0.925</v>
      </c>
      <c r="B348" s="58" t="s">
        <v>460</v>
      </c>
      <c r="C348" s="45" t="s">
        <v>463</v>
      </c>
      <c r="D348" s="58" t="s">
        <v>461</v>
      </c>
      <c r="E348" s="11" t="s">
        <v>33</v>
      </c>
    </row>
    <row r="349">
      <c r="A349" s="48">
        <v>0.9354166666666667</v>
      </c>
      <c r="B349" s="58" t="s">
        <v>120</v>
      </c>
      <c r="C349" s="45" t="s">
        <v>464</v>
      </c>
      <c r="D349" s="58" t="s">
        <v>121</v>
      </c>
      <c r="E349" s="11" t="s">
        <v>29</v>
      </c>
    </row>
    <row r="350">
      <c r="A350" s="48">
        <v>0.9354166666666667</v>
      </c>
      <c r="B350" s="58" t="s">
        <v>117</v>
      </c>
      <c r="C350" s="45" t="s">
        <v>465</v>
      </c>
      <c r="D350" s="58" t="s">
        <v>460</v>
      </c>
      <c r="E350" s="11" t="s">
        <v>33</v>
      </c>
    </row>
    <row r="351">
      <c r="A351" s="48">
        <v>0.9458333333333333</v>
      </c>
      <c r="B351" s="58" t="s">
        <v>120</v>
      </c>
      <c r="C351" s="45" t="s">
        <v>239</v>
      </c>
      <c r="D351" s="58" t="s">
        <v>461</v>
      </c>
      <c r="E351" s="11" t="s">
        <v>29</v>
      </c>
    </row>
    <row r="352">
      <c r="A352" s="48">
        <v>0.9458333333333333</v>
      </c>
      <c r="B352" s="58" t="s">
        <v>121</v>
      </c>
      <c r="C352" s="45" t="s">
        <v>466</v>
      </c>
      <c r="D352" s="58" t="s">
        <v>460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58" t="s">
        <v>467</v>
      </c>
      <c r="C355" s="45" t="s">
        <v>162</v>
      </c>
      <c r="D355" s="58" t="s">
        <v>468</v>
      </c>
      <c r="E355" s="11" t="s">
        <v>9</v>
      </c>
    </row>
    <row r="356">
      <c r="A356" s="48">
        <v>0.9583333333333334</v>
      </c>
      <c r="B356" s="58" t="s">
        <v>469</v>
      </c>
      <c r="C356" s="45" t="s">
        <v>16</v>
      </c>
      <c r="D356" s="58" t="s">
        <v>470</v>
      </c>
      <c r="E356" s="11" t="s">
        <v>13</v>
      </c>
    </row>
    <row r="357">
      <c r="A357" s="48">
        <v>0.9680555555555556</v>
      </c>
      <c r="B357" s="58" t="s">
        <v>469</v>
      </c>
      <c r="C357" s="45" t="s">
        <v>220</v>
      </c>
      <c r="D357" s="58" t="s">
        <v>468</v>
      </c>
      <c r="E357" s="11" t="s">
        <v>9</v>
      </c>
    </row>
    <row r="358">
      <c r="A358" s="48">
        <v>0.9680555555555556</v>
      </c>
      <c r="B358" s="58" t="s">
        <v>471</v>
      </c>
      <c r="C358" s="45" t="s">
        <v>20</v>
      </c>
      <c r="D358" s="58" t="s">
        <v>470</v>
      </c>
      <c r="E358" s="11" t="s">
        <v>13</v>
      </c>
    </row>
    <row r="359">
      <c r="A359" s="48">
        <v>0.9784722222222222</v>
      </c>
      <c r="B359" s="58" t="s">
        <v>471</v>
      </c>
      <c r="C359" s="45" t="s">
        <v>41</v>
      </c>
      <c r="D359" s="58" t="s">
        <v>469</v>
      </c>
      <c r="E359" s="11" t="s">
        <v>9</v>
      </c>
    </row>
    <row r="360">
      <c r="A360" s="48">
        <v>0.9784722222222222</v>
      </c>
      <c r="B360" s="58" t="s">
        <v>470</v>
      </c>
      <c r="C360" s="45" t="s">
        <v>16</v>
      </c>
      <c r="D360" s="58" t="s">
        <v>467</v>
      </c>
      <c r="E360" s="11" t="s">
        <v>13</v>
      </c>
    </row>
    <row r="361">
      <c r="A361" s="48">
        <v>0.9888888888888889</v>
      </c>
      <c r="B361" s="58" t="s">
        <v>471</v>
      </c>
      <c r="C361" s="45" t="s">
        <v>302</v>
      </c>
      <c r="D361" s="58" t="s">
        <v>468</v>
      </c>
      <c r="E361" s="11" t="s">
        <v>9</v>
      </c>
    </row>
    <row r="362">
      <c r="A362" s="48">
        <v>0.9888888888888889</v>
      </c>
      <c r="B362" s="58" t="s">
        <v>467</v>
      </c>
      <c r="C362" s="45" t="s">
        <v>158</v>
      </c>
      <c r="D362" s="58" t="s">
        <v>469</v>
      </c>
      <c r="E362" s="11" t="s">
        <v>13</v>
      </c>
    </row>
    <row r="363">
      <c r="A363" s="48">
        <v>0.9986111111111111</v>
      </c>
      <c r="B363" s="58" t="s">
        <v>470</v>
      </c>
      <c r="C363" s="45" t="s">
        <v>158</v>
      </c>
      <c r="D363" s="58" t="s">
        <v>468</v>
      </c>
      <c r="E363" s="11" t="s">
        <v>9</v>
      </c>
    </row>
    <row r="364">
      <c r="A364" s="48">
        <v>0.9986111111111111</v>
      </c>
      <c r="B364" s="58" t="s">
        <v>467</v>
      </c>
      <c r="C364" s="45" t="s">
        <v>248</v>
      </c>
      <c r="D364" s="58" t="s">
        <v>471</v>
      </c>
      <c r="E364" s="11" t="s">
        <v>13</v>
      </c>
    </row>
    <row r="365">
      <c r="A365" s="48">
        <v>0.009027777777777777</v>
      </c>
      <c r="B365" s="58" t="s">
        <v>468</v>
      </c>
      <c r="C365" s="45" t="s">
        <v>256</v>
      </c>
      <c r="D365" s="58" t="s">
        <v>467</v>
      </c>
      <c r="E365" s="11" t="s">
        <v>9</v>
      </c>
    </row>
    <row r="366">
      <c r="A366" s="48">
        <v>0.009027777777777777</v>
      </c>
      <c r="B366" s="58" t="s">
        <v>470</v>
      </c>
      <c r="C366" s="45" t="s">
        <v>41</v>
      </c>
      <c r="D366" s="58" t="s">
        <v>469</v>
      </c>
      <c r="E366" s="11" t="s">
        <v>13</v>
      </c>
    </row>
    <row r="367">
      <c r="A367" s="48">
        <v>0.019444444444444445</v>
      </c>
      <c r="B367" s="58" t="s">
        <v>468</v>
      </c>
      <c r="C367" s="45" t="s">
        <v>158</v>
      </c>
      <c r="D367" s="58" t="s">
        <v>469</v>
      </c>
      <c r="E367" s="11" t="s">
        <v>9</v>
      </c>
    </row>
    <row r="368">
      <c r="A368" s="48">
        <v>0.019444444444444445</v>
      </c>
      <c r="B368" s="58" t="s">
        <v>470</v>
      </c>
      <c r="C368" s="45" t="s">
        <v>181</v>
      </c>
      <c r="D368" s="58" t="s">
        <v>471</v>
      </c>
      <c r="E368" s="11" t="s">
        <v>13</v>
      </c>
    </row>
    <row r="369">
      <c r="A369" s="48">
        <v>0.029166666666666667</v>
      </c>
      <c r="B369" s="58" t="s">
        <v>469</v>
      </c>
      <c r="C369" s="45" t="s">
        <v>454</v>
      </c>
      <c r="D369" s="58" t="s">
        <v>471</v>
      </c>
      <c r="E369" s="11" t="s">
        <v>9</v>
      </c>
    </row>
    <row r="370">
      <c r="A370" s="48">
        <v>0.029166666666666667</v>
      </c>
      <c r="B370" s="58" t="s">
        <v>467</v>
      </c>
      <c r="C370" s="45" t="s">
        <v>173</v>
      </c>
      <c r="D370" s="58" t="s">
        <v>470</v>
      </c>
      <c r="E370" s="11" t="s">
        <v>13</v>
      </c>
    </row>
    <row r="371">
      <c r="A371" s="48">
        <v>0.03958333333333333</v>
      </c>
      <c r="B371" s="58" t="s">
        <v>468</v>
      </c>
      <c r="C371" s="45" t="s">
        <v>162</v>
      </c>
      <c r="D371" s="58" t="s">
        <v>471</v>
      </c>
      <c r="E371" s="11" t="s">
        <v>9</v>
      </c>
    </row>
    <row r="372">
      <c r="A372" s="48">
        <v>0.03958333333333333</v>
      </c>
      <c r="B372" s="58" t="s">
        <v>469</v>
      </c>
      <c r="C372" s="45" t="s">
        <v>181</v>
      </c>
      <c r="D372" s="58" t="s">
        <v>467</v>
      </c>
      <c r="E372" s="11" t="s">
        <v>13</v>
      </c>
    </row>
    <row r="373">
      <c r="A373" s="48">
        <v>0.05</v>
      </c>
      <c r="B373" s="58" t="s">
        <v>468</v>
      </c>
      <c r="C373" s="45" t="s">
        <v>155</v>
      </c>
      <c r="D373" s="58" t="s">
        <v>470</v>
      </c>
      <c r="E373" s="11" t="s">
        <v>9</v>
      </c>
    </row>
    <row r="374">
      <c r="A374" s="48">
        <v>0.05</v>
      </c>
      <c r="B374" s="58" t="s">
        <v>471</v>
      </c>
      <c r="C374" s="45" t="s">
        <v>218</v>
      </c>
      <c r="D374" s="58" t="s">
        <v>467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58" t="s">
        <v>472</v>
      </c>
      <c r="C377" s="45" t="s">
        <v>17</v>
      </c>
      <c r="D377" s="58" t="s">
        <v>473</v>
      </c>
      <c r="E377" s="11" t="s">
        <v>29</v>
      </c>
    </row>
    <row r="378">
      <c r="A378" s="48">
        <v>0.9583333333333334</v>
      </c>
      <c r="B378" s="58" t="s">
        <v>474</v>
      </c>
      <c r="C378" s="45" t="s">
        <v>168</v>
      </c>
      <c r="D378" s="58" t="s">
        <v>475</v>
      </c>
      <c r="E378" s="11" t="s">
        <v>33</v>
      </c>
    </row>
    <row r="379">
      <c r="A379" s="48">
        <v>0.9680555555555556</v>
      </c>
      <c r="B379" s="58" t="s">
        <v>474</v>
      </c>
      <c r="C379" s="45" t="s">
        <v>233</v>
      </c>
      <c r="D379" s="58" t="s">
        <v>473</v>
      </c>
      <c r="E379" s="11" t="s">
        <v>29</v>
      </c>
    </row>
    <row r="380">
      <c r="A380" s="48">
        <v>0.9680555555555556</v>
      </c>
      <c r="B380" s="58" t="s">
        <v>476</v>
      </c>
      <c r="C380" s="45" t="s">
        <v>421</v>
      </c>
      <c r="D380" s="58" t="s">
        <v>475</v>
      </c>
      <c r="E380" s="11" t="s">
        <v>33</v>
      </c>
    </row>
    <row r="381">
      <c r="A381" s="48">
        <v>0.9784722222222222</v>
      </c>
      <c r="B381" s="58" t="s">
        <v>476</v>
      </c>
      <c r="C381" s="45" t="s">
        <v>177</v>
      </c>
      <c r="D381" s="58" t="s">
        <v>474</v>
      </c>
      <c r="E381" s="11" t="s">
        <v>29</v>
      </c>
    </row>
    <row r="382">
      <c r="A382" s="48">
        <v>0.9784722222222222</v>
      </c>
      <c r="B382" s="58" t="s">
        <v>475</v>
      </c>
      <c r="C382" s="45" t="s">
        <v>20</v>
      </c>
      <c r="D382" s="58" t="s">
        <v>472</v>
      </c>
      <c r="E382" s="11" t="s">
        <v>33</v>
      </c>
    </row>
    <row r="383">
      <c r="A383" s="48">
        <v>0.9888888888888889</v>
      </c>
      <c r="B383" s="58" t="s">
        <v>476</v>
      </c>
      <c r="C383" s="45" t="s">
        <v>230</v>
      </c>
      <c r="D383" s="58" t="s">
        <v>473</v>
      </c>
      <c r="E383" s="11" t="s">
        <v>29</v>
      </c>
    </row>
    <row r="384">
      <c r="A384" s="48">
        <v>0.9888888888888889</v>
      </c>
      <c r="B384" s="58" t="s">
        <v>472</v>
      </c>
      <c r="C384" s="45" t="s">
        <v>7</v>
      </c>
      <c r="D384" s="58" t="s">
        <v>474</v>
      </c>
      <c r="E384" s="11" t="s">
        <v>33</v>
      </c>
    </row>
    <row r="385">
      <c r="A385" s="48">
        <v>0.9986111111111111</v>
      </c>
      <c r="B385" s="58" t="s">
        <v>475</v>
      </c>
      <c r="C385" s="45" t="s">
        <v>463</v>
      </c>
      <c r="D385" s="58" t="s">
        <v>473</v>
      </c>
      <c r="E385" s="11" t="s">
        <v>29</v>
      </c>
    </row>
    <row r="386">
      <c r="A386" s="48">
        <v>0.9986111111111111</v>
      </c>
      <c r="B386" s="58" t="s">
        <v>472</v>
      </c>
      <c r="C386" s="45" t="s">
        <v>207</v>
      </c>
      <c r="D386" s="58" t="s">
        <v>476</v>
      </c>
      <c r="E386" s="11" t="s">
        <v>33</v>
      </c>
    </row>
    <row r="387">
      <c r="A387" s="48">
        <v>0.009027777777777777</v>
      </c>
      <c r="B387" s="58" t="s">
        <v>473</v>
      </c>
      <c r="C387" s="45" t="s">
        <v>184</v>
      </c>
      <c r="D387" s="58" t="s">
        <v>472</v>
      </c>
      <c r="E387" s="11" t="s">
        <v>29</v>
      </c>
    </row>
    <row r="388">
      <c r="A388" s="48">
        <v>0.009027777777777777</v>
      </c>
      <c r="B388" s="58" t="s">
        <v>475</v>
      </c>
      <c r="C388" s="45" t="s">
        <v>225</v>
      </c>
      <c r="D388" s="58" t="s">
        <v>474</v>
      </c>
      <c r="E388" s="11" t="s">
        <v>33</v>
      </c>
    </row>
    <row r="389">
      <c r="A389" s="48">
        <v>0.019444444444444445</v>
      </c>
      <c r="B389" s="58" t="s">
        <v>473</v>
      </c>
      <c r="C389" s="45" t="s">
        <v>477</v>
      </c>
      <c r="D389" s="58" t="s">
        <v>474</v>
      </c>
      <c r="E389" s="11" t="s">
        <v>29</v>
      </c>
    </row>
    <row r="390">
      <c r="A390" s="48">
        <v>0.019444444444444445</v>
      </c>
      <c r="B390" s="58" t="s">
        <v>475</v>
      </c>
      <c r="C390" s="45" t="s">
        <v>366</v>
      </c>
      <c r="D390" s="58" t="s">
        <v>476</v>
      </c>
      <c r="E390" s="11" t="s">
        <v>33</v>
      </c>
    </row>
    <row r="391">
      <c r="A391" s="48">
        <v>0.029166666666666667</v>
      </c>
      <c r="B391" s="58" t="s">
        <v>474</v>
      </c>
      <c r="C391" s="45" t="s">
        <v>194</v>
      </c>
      <c r="D391" s="58" t="s">
        <v>476</v>
      </c>
      <c r="E391" s="11" t="s">
        <v>29</v>
      </c>
    </row>
    <row r="392">
      <c r="A392" s="48">
        <v>0.029166666666666667</v>
      </c>
      <c r="B392" s="58" t="s">
        <v>472</v>
      </c>
      <c r="C392" s="45" t="s">
        <v>248</v>
      </c>
      <c r="D392" s="58" t="s">
        <v>475</v>
      </c>
      <c r="E392" s="11" t="s">
        <v>33</v>
      </c>
    </row>
    <row r="393">
      <c r="A393" s="48">
        <v>0.03958333333333333</v>
      </c>
      <c r="B393" s="58" t="s">
        <v>473</v>
      </c>
      <c r="C393" s="45" t="s">
        <v>325</v>
      </c>
      <c r="D393" s="58" t="s">
        <v>476</v>
      </c>
      <c r="E393" s="11" t="s">
        <v>29</v>
      </c>
    </row>
    <row r="394">
      <c r="A394" s="48">
        <v>0.03958333333333333</v>
      </c>
      <c r="B394" s="58" t="s">
        <v>474</v>
      </c>
      <c r="C394" s="45" t="s">
        <v>20</v>
      </c>
      <c r="D394" s="58" t="s">
        <v>472</v>
      </c>
      <c r="E394" s="11" t="s">
        <v>33</v>
      </c>
    </row>
    <row r="395">
      <c r="A395" s="48">
        <v>0.05</v>
      </c>
      <c r="B395" s="58" t="s">
        <v>473</v>
      </c>
      <c r="C395" s="45" t="s">
        <v>225</v>
      </c>
      <c r="D395" s="58" t="s">
        <v>475</v>
      </c>
      <c r="E395" s="11" t="s">
        <v>29</v>
      </c>
    </row>
    <row r="396">
      <c r="A396" s="48">
        <v>0.05</v>
      </c>
      <c r="B396" s="58" t="s">
        <v>476</v>
      </c>
      <c r="C396" s="45" t="s">
        <v>177</v>
      </c>
      <c r="D396" s="58" t="s">
        <v>472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478</v>
      </c>
      <c r="C3" s="57" t="s">
        <v>21</v>
      </c>
      <c r="D3" s="62" t="s">
        <v>479</v>
      </c>
      <c r="E3" s="11" t="s">
        <v>9</v>
      </c>
    </row>
    <row r="4">
      <c r="A4" s="7">
        <v>0.0625</v>
      </c>
      <c r="B4" s="61" t="s">
        <v>480</v>
      </c>
      <c r="C4" s="57" t="s">
        <v>16</v>
      </c>
      <c r="D4" s="61" t="s">
        <v>481</v>
      </c>
      <c r="E4" s="11" t="s">
        <v>13</v>
      </c>
    </row>
    <row r="5">
      <c r="A5" s="7">
        <v>0.07222222222222222</v>
      </c>
      <c r="B5" s="62" t="s">
        <v>480</v>
      </c>
      <c r="C5" s="57" t="s">
        <v>251</v>
      </c>
      <c r="D5" s="61" t="s">
        <v>479</v>
      </c>
      <c r="E5" s="11" t="s">
        <v>9</v>
      </c>
    </row>
    <row r="6">
      <c r="A6" s="7">
        <v>0.07222222222222222</v>
      </c>
      <c r="B6" s="61" t="s">
        <v>482</v>
      </c>
      <c r="C6" s="57" t="s">
        <v>155</v>
      </c>
      <c r="D6" s="62" t="s">
        <v>481</v>
      </c>
      <c r="E6" s="11" t="s">
        <v>13</v>
      </c>
    </row>
    <row r="7">
      <c r="A7" s="7">
        <v>0.08263888888888889</v>
      </c>
      <c r="B7" s="62" t="s">
        <v>482</v>
      </c>
      <c r="C7" s="57" t="s">
        <v>184</v>
      </c>
      <c r="D7" s="61" t="s">
        <v>480</v>
      </c>
      <c r="E7" s="11" t="s">
        <v>9</v>
      </c>
    </row>
    <row r="8">
      <c r="A8" s="7">
        <v>0.08263888888888889</v>
      </c>
      <c r="B8" s="61" t="s">
        <v>481</v>
      </c>
      <c r="C8" s="57" t="s">
        <v>185</v>
      </c>
      <c r="D8" s="61" t="s">
        <v>478</v>
      </c>
      <c r="E8" s="11" t="s">
        <v>13</v>
      </c>
    </row>
    <row r="9">
      <c r="A9" s="7">
        <v>0.09305555555555556</v>
      </c>
      <c r="B9" s="62" t="s">
        <v>482</v>
      </c>
      <c r="C9" s="57" t="s">
        <v>155</v>
      </c>
      <c r="D9" s="62" t="s">
        <v>479</v>
      </c>
      <c r="E9" s="11" t="s">
        <v>9</v>
      </c>
    </row>
    <row r="10">
      <c r="A10" s="7">
        <v>0.09305555555555556</v>
      </c>
      <c r="B10" s="61" t="s">
        <v>478</v>
      </c>
      <c r="C10" s="57" t="s">
        <v>302</v>
      </c>
      <c r="D10" s="61" t="s">
        <v>480</v>
      </c>
      <c r="E10" s="11" t="s">
        <v>13</v>
      </c>
    </row>
    <row r="11">
      <c r="A11" s="7">
        <v>0.10277777777777777</v>
      </c>
      <c r="B11" s="62" t="s">
        <v>481</v>
      </c>
      <c r="C11" s="57" t="s">
        <v>44</v>
      </c>
      <c r="D11" s="61" t="s">
        <v>479</v>
      </c>
      <c r="E11" s="11" t="s">
        <v>9</v>
      </c>
    </row>
    <row r="12">
      <c r="A12" s="7">
        <v>0.10277777777777777</v>
      </c>
      <c r="B12" s="61" t="s">
        <v>478</v>
      </c>
      <c r="C12" s="57" t="s">
        <v>20</v>
      </c>
      <c r="D12" s="62" t="s">
        <v>482</v>
      </c>
      <c r="E12" s="11" t="s">
        <v>13</v>
      </c>
    </row>
    <row r="13">
      <c r="A13" s="7">
        <v>0.11319444444444444</v>
      </c>
      <c r="B13" s="62" t="s">
        <v>479</v>
      </c>
      <c r="C13" s="57" t="s">
        <v>219</v>
      </c>
      <c r="D13" s="61" t="s">
        <v>478</v>
      </c>
      <c r="E13" s="11" t="s">
        <v>9</v>
      </c>
    </row>
    <row r="14">
      <c r="A14" s="7">
        <v>0.11319444444444444</v>
      </c>
      <c r="B14" s="61" t="s">
        <v>481</v>
      </c>
      <c r="C14" s="57" t="s">
        <v>165</v>
      </c>
      <c r="D14" s="61" t="s">
        <v>480</v>
      </c>
      <c r="E14" s="11" t="s">
        <v>13</v>
      </c>
    </row>
    <row r="15">
      <c r="A15" s="7">
        <v>0.12361111111111112</v>
      </c>
      <c r="B15" s="61" t="s">
        <v>479</v>
      </c>
      <c r="C15" s="45" t="s">
        <v>7</v>
      </c>
      <c r="D15" s="62" t="s">
        <v>480</v>
      </c>
      <c r="E15" s="11" t="s">
        <v>9</v>
      </c>
    </row>
    <row r="16">
      <c r="A16" s="7">
        <v>0.12361111111111112</v>
      </c>
      <c r="B16" s="62" t="s">
        <v>481</v>
      </c>
      <c r="C16" s="45" t="s">
        <v>250</v>
      </c>
      <c r="D16" s="61" t="s">
        <v>482</v>
      </c>
      <c r="E16" s="11" t="s">
        <v>13</v>
      </c>
    </row>
    <row r="17">
      <c r="A17" s="7">
        <v>0.13333333333333333</v>
      </c>
      <c r="B17" s="61" t="s">
        <v>480</v>
      </c>
      <c r="C17" s="45" t="s">
        <v>173</v>
      </c>
      <c r="D17" s="62" t="s">
        <v>482</v>
      </c>
      <c r="E17" s="11" t="s">
        <v>9</v>
      </c>
    </row>
    <row r="18">
      <c r="A18" s="7">
        <v>0.13333333333333333</v>
      </c>
      <c r="B18" s="61" t="s">
        <v>478</v>
      </c>
      <c r="C18" s="45" t="s">
        <v>302</v>
      </c>
      <c r="D18" s="61" t="s">
        <v>481</v>
      </c>
      <c r="E18" s="11" t="s">
        <v>13</v>
      </c>
    </row>
    <row r="19">
      <c r="A19" s="7">
        <v>0.14375</v>
      </c>
      <c r="B19" s="62" t="s">
        <v>479</v>
      </c>
      <c r="C19" s="45" t="s">
        <v>209</v>
      </c>
      <c r="D19" s="62" t="s">
        <v>482</v>
      </c>
      <c r="E19" s="11" t="s">
        <v>9</v>
      </c>
    </row>
    <row r="20">
      <c r="A20" s="7">
        <v>0.14375</v>
      </c>
      <c r="B20" s="61" t="s">
        <v>480</v>
      </c>
      <c r="C20" s="45" t="s">
        <v>14</v>
      </c>
      <c r="D20" s="61" t="s">
        <v>478</v>
      </c>
      <c r="E20" s="11" t="s">
        <v>13</v>
      </c>
    </row>
    <row r="21">
      <c r="A21" s="7">
        <v>0.15416666666666667</v>
      </c>
      <c r="B21" s="61" t="s">
        <v>479</v>
      </c>
      <c r="C21" s="45" t="s">
        <v>41</v>
      </c>
      <c r="D21" s="62" t="s">
        <v>481</v>
      </c>
      <c r="E21" s="11" t="s">
        <v>9</v>
      </c>
    </row>
    <row r="22">
      <c r="A22" s="7">
        <v>0.15416666666666667</v>
      </c>
      <c r="B22" s="62" t="s">
        <v>482</v>
      </c>
      <c r="C22" s="45" t="s">
        <v>21</v>
      </c>
      <c r="D22" s="61" t="s">
        <v>478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483</v>
      </c>
      <c r="C25" s="57" t="s">
        <v>41</v>
      </c>
      <c r="D25" s="61" t="s">
        <v>484</v>
      </c>
      <c r="E25" s="11" t="s">
        <v>29</v>
      </c>
    </row>
    <row r="26">
      <c r="A26" s="7">
        <v>0.0625</v>
      </c>
      <c r="B26" s="61" t="s">
        <v>485</v>
      </c>
      <c r="C26" s="57" t="s">
        <v>23</v>
      </c>
      <c r="D26" s="61" t="s">
        <v>486</v>
      </c>
      <c r="E26" s="11" t="s">
        <v>33</v>
      </c>
    </row>
    <row r="27">
      <c r="A27" s="7">
        <v>0.07222222222222222</v>
      </c>
      <c r="B27" s="62" t="s">
        <v>485</v>
      </c>
      <c r="C27" s="57" t="s">
        <v>487</v>
      </c>
      <c r="D27" s="62" t="s">
        <v>484</v>
      </c>
      <c r="E27" s="11" t="s">
        <v>29</v>
      </c>
    </row>
    <row r="28">
      <c r="A28" s="7">
        <v>0.07222222222222222</v>
      </c>
      <c r="B28" s="61" t="s">
        <v>488</v>
      </c>
      <c r="C28" s="57" t="s">
        <v>163</v>
      </c>
      <c r="D28" s="61" t="s">
        <v>486</v>
      </c>
      <c r="E28" s="11" t="s">
        <v>33</v>
      </c>
    </row>
    <row r="29">
      <c r="A29" s="7">
        <v>0.08263888888888889</v>
      </c>
      <c r="B29" s="62" t="s">
        <v>488</v>
      </c>
      <c r="C29" s="57" t="s">
        <v>23</v>
      </c>
      <c r="D29" s="61" t="s">
        <v>485</v>
      </c>
      <c r="E29" s="11" t="s">
        <v>29</v>
      </c>
    </row>
    <row r="30">
      <c r="A30" s="7">
        <v>0.08263888888888889</v>
      </c>
      <c r="B30" s="61" t="s">
        <v>486</v>
      </c>
      <c r="C30" s="57" t="s">
        <v>443</v>
      </c>
      <c r="D30" s="61" t="s">
        <v>483</v>
      </c>
      <c r="E30" s="11" t="s">
        <v>33</v>
      </c>
    </row>
    <row r="31">
      <c r="A31" s="7">
        <v>0.09305555555555556</v>
      </c>
      <c r="B31" s="62" t="s">
        <v>488</v>
      </c>
      <c r="C31" s="57" t="s">
        <v>40</v>
      </c>
      <c r="D31" s="61" t="s">
        <v>484</v>
      </c>
      <c r="E31" s="11" t="s">
        <v>29</v>
      </c>
    </row>
    <row r="32">
      <c r="A32" s="7">
        <v>0.09305555555555556</v>
      </c>
      <c r="B32" s="61" t="s">
        <v>483</v>
      </c>
      <c r="C32" s="57" t="s">
        <v>302</v>
      </c>
      <c r="D32" s="62" t="s">
        <v>485</v>
      </c>
      <c r="E32" s="11" t="s">
        <v>33</v>
      </c>
    </row>
    <row r="33">
      <c r="A33" s="7">
        <v>0.10277777777777777</v>
      </c>
      <c r="B33" s="61" t="s">
        <v>486</v>
      </c>
      <c r="C33" s="57" t="s">
        <v>291</v>
      </c>
      <c r="D33" s="61" t="s">
        <v>484</v>
      </c>
      <c r="E33" s="11" t="s">
        <v>29</v>
      </c>
    </row>
    <row r="34">
      <c r="A34" s="7">
        <v>0.10277777777777777</v>
      </c>
      <c r="B34" s="61" t="s">
        <v>483</v>
      </c>
      <c r="C34" s="57" t="s">
        <v>16</v>
      </c>
      <c r="D34" s="61" t="s">
        <v>488</v>
      </c>
      <c r="E34" s="11" t="s">
        <v>33</v>
      </c>
    </row>
    <row r="35">
      <c r="A35" s="7">
        <v>0.11319444444444444</v>
      </c>
      <c r="B35" s="61" t="s">
        <v>484</v>
      </c>
      <c r="C35" s="57" t="s">
        <v>158</v>
      </c>
      <c r="D35" s="61" t="s">
        <v>483</v>
      </c>
      <c r="E35" s="11" t="s">
        <v>29</v>
      </c>
    </row>
    <row r="36">
      <c r="A36" s="7">
        <v>0.11319444444444444</v>
      </c>
      <c r="B36" s="61" t="s">
        <v>486</v>
      </c>
      <c r="C36" s="57" t="s">
        <v>18</v>
      </c>
      <c r="D36" s="61" t="s">
        <v>485</v>
      </c>
      <c r="E36" s="11" t="s">
        <v>33</v>
      </c>
    </row>
    <row r="37">
      <c r="A37" s="7">
        <v>0.12361111111111112</v>
      </c>
      <c r="B37" s="62" t="s">
        <v>484</v>
      </c>
      <c r="C37" s="45" t="s">
        <v>489</v>
      </c>
      <c r="D37" s="62" t="s">
        <v>485</v>
      </c>
      <c r="E37" s="11" t="s">
        <v>29</v>
      </c>
    </row>
    <row r="38">
      <c r="A38" s="7">
        <v>0.12361111111111112</v>
      </c>
      <c r="B38" s="61" t="s">
        <v>486</v>
      </c>
      <c r="C38" s="45" t="s">
        <v>18</v>
      </c>
      <c r="D38" s="61" t="s">
        <v>488</v>
      </c>
      <c r="E38" s="11" t="s">
        <v>33</v>
      </c>
    </row>
    <row r="39">
      <c r="A39" s="7">
        <v>0.13333333333333333</v>
      </c>
      <c r="B39" s="61" t="s">
        <v>485</v>
      </c>
      <c r="C39" s="45" t="s">
        <v>220</v>
      </c>
      <c r="D39" s="62" t="s">
        <v>488</v>
      </c>
      <c r="E39" s="11" t="s">
        <v>29</v>
      </c>
    </row>
    <row r="40">
      <c r="A40" s="7">
        <v>0.13333333333333333</v>
      </c>
      <c r="B40" s="61" t="s">
        <v>483</v>
      </c>
      <c r="C40" s="45" t="s">
        <v>17</v>
      </c>
      <c r="D40" s="61" t="s">
        <v>486</v>
      </c>
      <c r="E40" s="11" t="s">
        <v>33</v>
      </c>
    </row>
    <row r="41">
      <c r="A41" s="7">
        <v>0.14375</v>
      </c>
      <c r="B41" s="61" t="s">
        <v>484</v>
      </c>
      <c r="C41" s="45" t="s">
        <v>14</v>
      </c>
      <c r="D41" s="62" t="s">
        <v>488</v>
      </c>
      <c r="E41" s="11" t="s">
        <v>29</v>
      </c>
    </row>
    <row r="42">
      <c r="A42" s="7">
        <v>0.14375</v>
      </c>
      <c r="B42" s="62" t="s">
        <v>485</v>
      </c>
      <c r="C42" s="45" t="s">
        <v>232</v>
      </c>
      <c r="D42" s="61" t="s">
        <v>483</v>
      </c>
      <c r="E42" s="11" t="s">
        <v>33</v>
      </c>
    </row>
    <row r="43">
      <c r="A43" s="7">
        <v>0.15416666666666667</v>
      </c>
      <c r="B43" s="61" t="s">
        <v>484</v>
      </c>
      <c r="C43" s="45" t="s">
        <v>490</v>
      </c>
      <c r="D43" s="61" t="s">
        <v>486</v>
      </c>
      <c r="E43" s="11" t="s">
        <v>29</v>
      </c>
    </row>
    <row r="44">
      <c r="A44" s="7">
        <v>0.15416666666666667</v>
      </c>
      <c r="B44" s="61" t="s">
        <v>488</v>
      </c>
      <c r="C44" s="45" t="s">
        <v>352</v>
      </c>
      <c r="D44" s="61" t="s">
        <v>483</v>
      </c>
      <c r="E44" s="11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1" t="s">
        <v>491</v>
      </c>
      <c r="C47" s="45" t="s">
        <v>219</v>
      </c>
      <c r="D47" s="61" t="s">
        <v>492</v>
      </c>
      <c r="E47" s="11" t="s">
        <v>9</v>
      </c>
    </row>
    <row r="48">
      <c r="A48" s="7">
        <v>0.16666666666666666</v>
      </c>
      <c r="B48" s="61" t="s">
        <v>493</v>
      </c>
      <c r="C48" s="45" t="s">
        <v>166</v>
      </c>
      <c r="D48" s="61" t="s">
        <v>494</v>
      </c>
      <c r="E48" s="11" t="s">
        <v>13</v>
      </c>
    </row>
    <row r="49">
      <c r="A49" s="7">
        <v>0.1763888888888889</v>
      </c>
      <c r="B49" s="61" t="s">
        <v>493</v>
      </c>
      <c r="C49" s="45" t="s">
        <v>20</v>
      </c>
      <c r="D49" s="61" t="s">
        <v>492</v>
      </c>
      <c r="E49" s="11" t="s">
        <v>9</v>
      </c>
    </row>
    <row r="50">
      <c r="A50" s="7">
        <v>0.1763888888888889</v>
      </c>
      <c r="B50" s="61" t="s">
        <v>495</v>
      </c>
      <c r="C50" s="45" t="s">
        <v>41</v>
      </c>
      <c r="D50" s="61" t="s">
        <v>494</v>
      </c>
      <c r="E50" s="11" t="s">
        <v>13</v>
      </c>
    </row>
    <row r="51">
      <c r="A51" s="7">
        <v>0.18680555555555556</v>
      </c>
      <c r="B51" s="61" t="s">
        <v>495</v>
      </c>
      <c r="C51" s="45" t="s">
        <v>162</v>
      </c>
      <c r="D51" s="61" t="s">
        <v>493</v>
      </c>
      <c r="E51" s="11" t="s">
        <v>9</v>
      </c>
    </row>
    <row r="52">
      <c r="A52" s="7">
        <v>0.18680555555555556</v>
      </c>
      <c r="B52" s="61" t="s">
        <v>494</v>
      </c>
      <c r="C52" s="45" t="s">
        <v>203</v>
      </c>
      <c r="D52" s="61" t="s">
        <v>491</v>
      </c>
      <c r="E52" s="11" t="s">
        <v>13</v>
      </c>
    </row>
    <row r="53">
      <c r="A53" s="7">
        <v>0.19722222222222222</v>
      </c>
      <c r="B53" s="61" t="s">
        <v>495</v>
      </c>
      <c r="C53" s="45" t="s">
        <v>496</v>
      </c>
      <c r="D53" s="61" t="s">
        <v>492</v>
      </c>
      <c r="E53" s="11" t="s">
        <v>9</v>
      </c>
    </row>
    <row r="54">
      <c r="A54" s="7">
        <v>0.19722222222222222</v>
      </c>
      <c r="B54" s="61" t="s">
        <v>491</v>
      </c>
      <c r="C54" s="45" t="s">
        <v>16</v>
      </c>
      <c r="D54" s="61" t="s">
        <v>493</v>
      </c>
      <c r="E54" s="11" t="s">
        <v>13</v>
      </c>
    </row>
    <row r="55">
      <c r="A55" s="7">
        <v>0.20694444444444443</v>
      </c>
      <c r="B55" s="61" t="s">
        <v>494</v>
      </c>
      <c r="C55" s="45" t="s">
        <v>177</v>
      </c>
      <c r="D55" s="61" t="s">
        <v>492</v>
      </c>
      <c r="E55" s="11" t="s">
        <v>9</v>
      </c>
    </row>
    <row r="56">
      <c r="A56" s="7">
        <v>0.20694444444444443</v>
      </c>
      <c r="B56" s="61" t="s">
        <v>491</v>
      </c>
      <c r="C56" s="45" t="s">
        <v>248</v>
      </c>
      <c r="D56" s="61" t="s">
        <v>495</v>
      </c>
      <c r="E56" s="11" t="s">
        <v>13</v>
      </c>
    </row>
    <row r="57">
      <c r="A57" s="7">
        <v>0.21736111111111112</v>
      </c>
      <c r="B57" s="61" t="s">
        <v>492</v>
      </c>
      <c r="C57" s="45" t="s">
        <v>155</v>
      </c>
      <c r="D57" s="61" t="s">
        <v>491</v>
      </c>
      <c r="E57" s="11" t="s">
        <v>9</v>
      </c>
    </row>
    <row r="58">
      <c r="A58" s="7">
        <v>0.21736111111111112</v>
      </c>
      <c r="B58" s="61" t="s">
        <v>494</v>
      </c>
      <c r="C58" s="45" t="s">
        <v>14</v>
      </c>
      <c r="D58" s="61" t="s">
        <v>493</v>
      </c>
      <c r="E58" s="11" t="s">
        <v>13</v>
      </c>
    </row>
    <row r="59">
      <c r="A59" s="7">
        <v>0.22777777777777777</v>
      </c>
      <c r="B59" s="61" t="s">
        <v>492</v>
      </c>
      <c r="C59" s="45" t="s">
        <v>193</v>
      </c>
      <c r="D59" s="61" t="s">
        <v>493</v>
      </c>
      <c r="E59" s="11" t="s">
        <v>9</v>
      </c>
    </row>
    <row r="60">
      <c r="A60" s="7">
        <v>0.22777777777777777</v>
      </c>
      <c r="B60" s="61" t="s">
        <v>494</v>
      </c>
      <c r="C60" s="45" t="s">
        <v>302</v>
      </c>
      <c r="D60" s="61" t="s">
        <v>495</v>
      </c>
      <c r="E60" s="11" t="s">
        <v>13</v>
      </c>
    </row>
    <row r="61">
      <c r="A61" s="7">
        <v>0.2375</v>
      </c>
      <c r="B61" s="61" t="s">
        <v>493</v>
      </c>
      <c r="C61" s="45" t="s">
        <v>38</v>
      </c>
      <c r="D61" s="61" t="s">
        <v>495</v>
      </c>
      <c r="E61" s="11" t="s">
        <v>9</v>
      </c>
    </row>
    <row r="62">
      <c r="A62" s="7">
        <v>0.2375</v>
      </c>
      <c r="B62" s="61" t="s">
        <v>491</v>
      </c>
      <c r="C62" s="45" t="s">
        <v>42</v>
      </c>
      <c r="D62" s="61" t="s">
        <v>494</v>
      </c>
      <c r="E62" s="11" t="s">
        <v>13</v>
      </c>
    </row>
    <row r="63">
      <c r="A63" s="7">
        <v>0.24791666666666667</v>
      </c>
      <c r="B63" s="61" t="s">
        <v>492</v>
      </c>
      <c r="C63" s="45" t="s">
        <v>497</v>
      </c>
      <c r="D63" s="61" t="s">
        <v>495</v>
      </c>
      <c r="E63" s="11" t="s">
        <v>9</v>
      </c>
    </row>
    <row r="64">
      <c r="A64" s="7">
        <v>0.24791666666666667</v>
      </c>
      <c r="B64" s="61" t="s">
        <v>493</v>
      </c>
      <c r="C64" s="45" t="s">
        <v>394</v>
      </c>
      <c r="D64" s="61" t="s">
        <v>491</v>
      </c>
      <c r="E64" s="11" t="s">
        <v>13</v>
      </c>
    </row>
    <row r="65">
      <c r="A65" s="7">
        <v>0.25833333333333336</v>
      </c>
      <c r="B65" s="61" t="s">
        <v>492</v>
      </c>
      <c r="C65" s="45" t="s">
        <v>177</v>
      </c>
      <c r="D65" s="61" t="s">
        <v>494</v>
      </c>
      <c r="E65" s="11" t="s">
        <v>9</v>
      </c>
    </row>
    <row r="66">
      <c r="A66" s="7">
        <v>0.25833333333333336</v>
      </c>
      <c r="B66" s="61" t="s">
        <v>495</v>
      </c>
      <c r="C66" s="45" t="s">
        <v>38</v>
      </c>
      <c r="D66" s="61" t="s">
        <v>491</v>
      </c>
      <c r="E66" s="11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1" t="s">
        <v>498</v>
      </c>
      <c r="C69" s="45" t="s">
        <v>20</v>
      </c>
      <c r="D69" s="61" t="s">
        <v>499</v>
      </c>
      <c r="E69" s="11" t="s">
        <v>29</v>
      </c>
    </row>
    <row r="70">
      <c r="A70" s="7">
        <v>0.16666666666666666</v>
      </c>
      <c r="B70" s="61" t="s">
        <v>130</v>
      </c>
      <c r="C70" s="45" t="s">
        <v>324</v>
      </c>
      <c r="D70" s="56" t="s">
        <v>500</v>
      </c>
      <c r="E70" s="11" t="s">
        <v>33</v>
      </c>
    </row>
    <row r="71">
      <c r="A71" s="7">
        <v>0.1763888888888889</v>
      </c>
      <c r="B71" s="61" t="s">
        <v>130</v>
      </c>
      <c r="C71" s="45" t="s">
        <v>193</v>
      </c>
      <c r="D71" s="61" t="s">
        <v>499</v>
      </c>
      <c r="E71" s="11" t="s">
        <v>29</v>
      </c>
    </row>
    <row r="72">
      <c r="A72" s="7">
        <v>0.1763888888888889</v>
      </c>
      <c r="B72" s="61" t="s">
        <v>501</v>
      </c>
      <c r="C72" s="45" t="s">
        <v>209</v>
      </c>
      <c r="D72" s="56" t="s">
        <v>500</v>
      </c>
      <c r="E72" s="11" t="s">
        <v>33</v>
      </c>
    </row>
    <row r="73">
      <c r="A73" s="7">
        <v>0.18680555555555556</v>
      </c>
      <c r="B73" s="61" t="s">
        <v>501</v>
      </c>
      <c r="C73" s="45" t="s">
        <v>225</v>
      </c>
      <c r="D73" s="61" t="s">
        <v>130</v>
      </c>
      <c r="E73" s="11" t="s">
        <v>29</v>
      </c>
    </row>
    <row r="74">
      <c r="A74" s="7">
        <v>0.18680555555555556</v>
      </c>
      <c r="B74" s="56" t="s">
        <v>500</v>
      </c>
      <c r="C74" s="45" t="s">
        <v>193</v>
      </c>
      <c r="D74" s="61" t="s">
        <v>498</v>
      </c>
      <c r="E74" s="11" t="s">
        <v>33</v>
      </c>
    </row>
    <row r="75">
      <c r="A75" s="7">
        <v>0.19722222222222222</v>
      </c>
      <c r="B75" s="61" t="s">
        <v>501</v>
      </c>
      <c r="C75" s="45" t="s">
        <v>155</v>
      </c>
      <c r="D75" s="61" t="s">
        <v>499</v>
      </c>
      <c r="E75" s="11" t="s">
        <v>29</v>
      </c>
    </row>
    <row r="76">
      <c r="A76" s="7">
        <v>0.19722222222222222</v>
      </c>
      <c r="B76" s="61" t="s">
        <v>498</v>
      </c>
      <c r="C76" s="45" t="s">
        <v>17</v>
      </c>
      <c r="D76" s="61" t="s">
        <v>130</v>
      </c>
      <c r="E76" s="11" t="s">
        <v>33</v>
      </c>
    </row>
    <row r="77">
      <c r="A77" s="7">
        <v>0.20694444444444443</v>
      </c>
      <c r="B77" s="56" t="s">
        <v>500</v>
      </c>
      <c r="C77" s="45" t="s">
        <v>184</v>
      </c>
      <c r="D77" s="61" t="s">
        <v>499</v>
      </c>
      <c r="E77" s="11" t="s">
        <v>29</v>
      </c>
    </row>
    <row r="78">
      <c r="A78" s="7">
        <v>0.20694444444444443</v>
      </c>
      <c r="B78" s="61" t="s">
        <v>498</v>
      </c>
      <c r="C78" s="45" t="s">
        <v>195</v>
      </c>
      <c r="D78" s="61" t="s">
        <v>501</v>
      </c>
      <c r="E78" s="11" t="s">
        <v>33</v>
      </c>
    </row>
    <row r="79">
      <c r="A79" s="7">
        <v>0.21736111111111112</v>
      </c>
      <c r="B79" s="61" t="s">
        <v>499</v>
      </c>
      <c r="C79" s="45" t="s">
        <v>220</v>
      </c>
      <c r="D79" s="61" t="s">
        <v>498</v>
      </c>
      <c r="E79" s="11" t="s">
        <v>29</v>
      </c>
    </row>
    <row r="80">
      <c r="A80" s="7">
        <v>0.21736111111111112</v>
      </c>
      <c r="B80" s="56" t="s">
        <v>500</v>
      </c>
      <c r="C80" s="45" t="s">
        <v>163</v>
      </c>
      <c r="D80" s="61" t="s">
        <v>130</v>
      </c>
      <c r="E80" s="11" t="s">
        <v>33</v>
      </c>
    </row>
    <row r="81">
      <c r="A81" s="7">
        <v>0.22777777777777777</v>
      </c>
      <c r="B81" s="61" t="s">
        <v>499</v>
      </c>
      <c r="C81" s="45" t="s">
        <v>209</v>
      </c>
      <c r="D81" s="61" t="s">
        <v>130</v>
      </c>
      <c r="E81" s="11" t="s">
        <v>29</v>
      </c>
    </row>
    <row r="82">
      <c r="A82" s="7">
        <v>0.22777777777777777</v>
      </c>
      <c r="B82" s="56" t="s">
        <v>500</v>
      </c>
      <c r="C82" s="45" t="s">
        <v>251</v>
      </c>
      <c r="D82" s="61" t="s">
        <v>501</v>
      </c>
      <c r="E82" s="11" t="s">
        <v>33</v>
      </c>
    </row>
    <row r="83">
      <c r="A83" s="7">
        <v>0.2375</v>
      </c>
      <c r="B83" s="61" t="s">
        <v>130</v>
      </c>
      <c r="C83" s="45" t="s">
        <v>279</v>
      </c>
      <c r="D83" s="61" t="s">
        <v>501</v>
      </c>
      <c r="E83" s="11" t="s">
        <v>29</v>
      </c>
    </row>
    <row r="84">
      <c r="A84" s="7">
        <v>0.2375</v>
      </c>
      <c r="B84" s="61" t="s">
        <v>498</v>
      </c>
      <c r="C84" s="45" t="s">
        <v>271</v>
      </c>
      <c r="D84" s="56" t="s">
        <v>500</v>
      </c>
      <c r="E84" s="11" t="s">
        <v>33</v>
      </c>
    </row>
    <row r="85">
      <c r="A85" s="7">
        <v>0.24791666666666667</v>
      </c>
      <c r="B85" s="61" t="s">
        <v>499</v>
      </c>
      <c r="C85" s="45" t="s">
        <v>279</v>
      </c>
      <c r="D85" s="61" t="s">
        <v>501</v>
      </c>
      <c r="E85" s="11" t="s">
        <v>29</v>
      </c>
    </row>
    <row r="86">
      <c r="A86" s="7">
        <v>0.24791666666666667</v>
      </c>
      <c r="B86" s="61" t="s">
        <v>130</v>
      </c>
      <c r="C86" s="45" t="s">
        <v>502</v>
      </c>
      <c r="D86" s="61" t="s">
        <v>498</v>
      </c>
      <c r="E86" s="11" t="s">
        <v>33</v>
      </c>
    </row>
    <row r="87">
      <c r="A87" s="7">
        <v>0.25833333333333336</v>
      </c>
      <c r="B87" s="61" t="s">
        <v>499</v>
      </c>
      <c r="C87" s="45" t="s">
        <v>219</v>
      </c>
      <c r="D87" s="56" t="s">
        <v>500</v>
      </c>
      <c r="E87" s="11" t="s">
        <v>29</v>
      </c>
    </row>
    <row r="88">
      <c r="A88" s="7">
        <v>0.25833333333333336</v>
      </c>
      <c r="B88" s="61" t="s">
        <v>501</v>
      </c>
      <c r="C88" s="45" t="s">
        <v>185</v>
      </c>
      <c r="D88" s="61" t="s">
        <v>498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59" t="s">
        <v>384</v>
      </c>
      <c r="C91" s="45" t="s">
        <v>14</v>
      </c>
      <c r="D91" s="59" t="s">
        <v>503</v>
      </c>
      <c r="E91" s="11" t="s">
        <v>9</v>
      </c>
    </row>
    <row r="92">
      <c r="A92" s="48">
        <v>0.3333333333333333</v>
      </c>
      <c r="B92" s="59" t="s">
        <v>386</v>
      </c>
      <c r="C92" s="45" t="s">
        <v>366</v>
      </c>
      <c r="D92" s="59" t="s">
        <v>504</v>
      </c>
      <c r="E92" s="11" t="s">
        <v>13</v>
      </c>
      <c r="G92" s="50" t="s">
        <v>505</v>
      </c>
    </row>
    <row r="93">
      <c r="A93" s="48">
        <v>0.34305555555555556</v>
      </c>
      <c r="B93" s="59" t="s">
        <v>386</v>
      </c>
      <c r="C93" s="45" t="s">
        <v>302</v>
      </c>
      <c r="D93" s="59" t="s">
        <v>503</v>
      </c>
      <c r="E93" s="11" t="s">
        <v>9</v>
      </c>
    </row>
    <row r="94">
      <c r="A94" s="48">
        <v>0.34305555555555556</v>
      </c>
      <c r="B94" s="59" t="s">
        <v>506</v>
      </c>
      <c r="C94" s="45" t="s">
        <v>219</v>
      </c>
      <c r="D94" s="59" t="s">
        <v>504</v>
      </c>
      <c r="E94" s="11" t="s">
        <v>13</v>
      </c>
    </row>
    <row r="95">
      <c r="A95" s="48">
        <v>0.35347222222222224</v>
      </c>
      <c r="B95" s="59" t="s">
        <v>506</v>
      </c>
      <c r="C95" s="45" t="s">
        <v>185</v>
      </c>
      <c r="D95" s="59" t="s">
        <v>386</v>
      </c>
      <c r="E95" s="11" t="s">
        <v>9</v>
      </c>
    </row>
    <row r="96">
      <c r="A96" s="48">
        <v>0.35347222222222224</v>
      </c>
      <c r="B96" s="59" t="s">
        <v>504</v>
      </c>
      <c r="C96" s="45" t="s">
        <v>18</v>
      </c>
      <c r="D96" s="59" t="s">
        <v>384</v>
      </c>
      <c r="E96" s="11" t="s">
        <v>13</v>
      </c>
    </row>
    <row r="97">
      <c r="A97" s="48">
        <v>0.3638888888888889</v>
      </c>
      <c r="B97" s="59" t="s">
        <v>506</v>
      </c>
      <c r="C97" s="45" t="s">
        <v>158</v>
      </c>
      <c r="D97" s="59" t="s">
        <v>503</v>
      </c>
      <c r="E97" s="11" t="s">
        <v>9</v>
      </c>
    </row>
    <row r="98">
      <c r="A98" s="48">
        <v>0.3638888888888889</v>
      </c>
      <c r="B98" s="59" t="s">
        <v>384</v>
      </c>
      <c r="C98" s="45" t="s">
        <v>195</v>
      </c>
      <c r="D98" s="59" t="s">
        <v>386</v>
      </c>
      <c r="E98" s="11" t="s">
        <v>13</v>
      </c>
    </row>
    <row r="99">
      <c r="A99" s="48">
        <v>0.3736111111111111</v>
      </c>
      <c r="B99" s="59" t="s">
        <v>504</v>
      </c>
      <c r="C99" s="45" t="s">
        <v>18</v>
      </c>
      <c r="D99" s="59" t="s">
        <v>503</v>
      </c>
      <c r="E99" s="11" t="s">
        <v>9</v>
      </c>
    </row>
    <row r="100">
      <c r="A100" s="48">
        <v>0.3736111111111111</v>
      </c>
      <c r="B100" s="59" t="s">
        <v>384</v>
      </c>
      <c r="C100" s="45" t="s">
        <v>507</v>
      </c>
      <c r="D100" s="59" t="s">
        <v>506</v>
      </c>
      <c r="E100" s="11" t="s">
        <v>13</v>
      </c>
    </row>
    <row r="101">
      <c r="A101" s="48">
        <v>0.3840277777777778</v>
      </c>
      <c r="B101" s="59" t="s">
        <v>503</v>
      </c>
      <c r="C101" s="45" t="s">
        <v>155</v>
      </c>
      <c r="D101" s="59" t="s">
        <v>384</v>
      </c>
      <c r="E101" s="11" t="s">
        <v>9</v>
      </c>
    </row>
    <row r="102">
      <c r="A102" s="48">
        <v>0.3840277777777778</v>
      </c>
      <c r="B102" s="59" t="s">
        <v>504</v>
      </c>
      <c r="C102" s="45" t="s">
        <v>251</v>
      </c>
      <c r="D102" s="59" t="s">
        <v>386</v>
      </c>
      <c r="E102" s="11" t="s">
        <v>13</v>
      </c>
    </row>
    <row r="103">
      <c r="A103" s="48">
        <v>0.39444444444444443</v>
      </c>
      <c r="B103" s="59" t="s">
        <v>503</v>
      </c>
      <c r="C103" s="45" t="s">
        <v>344</v>
      </c>
      <c r="D103" s="59" t="s">
        <v>386</v>
      </c>
      <c r="E103" s="11" t="s">
        <v>9</v>
      </c>
    </row>
    <row r="104">
      <c r="A104" s="48">
        <v>0.39444444444444443</v>
      </c>
      <c r="B104" s="59" t="s">
        <v>504</v>
      </c>
      <c r="C104" s="45" t="s">
        <v>173</v>
      </c>
      <c r="D104" s="59" t="s">
        <v>506</v>
      </c>
      <c r="E104" s="11" t="s">
        <v>13</v>
      </c>
    </row>
    <row r="105">
      <c r="A105" s="48">
        <v>0.4041666666666667</v>
      </c>
      <c r="B105" s="59" t="s">
        <v>386</v>
      </c>
      <c r="C105" s="45" t="s">
        <v>291</v>
      </c>
      <c r="D105" s="59" t="s">
        <v>506</v>
      </c>
      <c r="E105" s="11" t="s">
        <v>9</v>
      </c>
    </row>
    <row r="106">
      <c r="A106" s="48">
        <v>0.4041666666666667</v>
      </c>
      <c r="B106" s="59" t="s">
        <v>384</v>
      </c>
      <c r="C106" s="45" t="s">
        <v>7</v>
      </c>
      <c r="D106" s="59" t="s">
        <v>504</v>
      </c>
      <c r="E106" s="11" t="s">
        <v>13</v>
      </c>
    </row>
    <row r="107">
      <c r="A107" s="48">
        <v>0.41458333333333336</v>
      </c>
      <c r="B107" s="59" t="s">
        <v>503</v>
      </c>
      <c r="C107" s="45" t="s">
        <v>165</v>
      </c>
      <c r="D107" s="59" t="s">
        <v>506</v>
      </c>
      <c r="E107" s="11" t="s">
        <v>9</v>
      </c>
    </row>
    <row r="108">
      <c r="A108" s="48">
        <v>0.41458333333333336</v>
      </c>
      <c r="B108" s="59" t="s">
        <v>386</v>
      </c>
      <c r="C108" s="45" t="s">
        <v>245</v>
      </c>
      <c r="D108" s="59" t="s">
        <v>384</v>
      </c>
      <c r="E108" s="11" t="s">
        <v>13</v>
      </c>
    </row>
    <row r="109">
      <c r="A109" s="48">
        <v>0.425</v>
      </c>
      <c r="B109" s="59" t="s">
        <v>503</v>
      </c>
      <c r="C109" s="45" t="s">
        <v>23</v>
      </c>
      <c r="D109" s="59" t="s">
        <v>504</v>
      </c>
      <c r="E109" s="11" t="s">
        <v>9</v>
      </c>
    </row>
    <row r="110">
      <c r="A110" s="48">
        <v>0.425</v>
      </c>
      <c r="B110" s="59" t="s">
        <v>506</v>
      </c>
      <c r="C110" s="45" t="s">
        <v>508</v>
      </c>
      <c r="D110" s="59" t="s">
        <v>384</v>
      </c>
      <c r="E110" s="11" t="s">
        <v>13</v>
      </c>
    </row>
    <row r="111">
      <c r="A111" s="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56" t="s">
        <v>509</v>
      </c>
      <c r="C113" s="45" t="s">
        <v>193</v>
      </c>
      <c r="D113" s="56" t="s">
        <v>510</v>
      </c>
      <c r="E113" s="11" t="s">
        <v>29</v>
      </c>
    </row>
    <row r="114">
      <c r="A114" s="30">
        <v>0.3333333333333333</v>
      </c>
      <c r="B114" s="56" t="s">
        <v>511</v>
      </c>
      <c r="C114" s="45" t="s">
        <v>155</v>
      </c>
      <c r="D114" s="56" t="s">
        <v>221</v>
      </c>
      <c r="E114" s="11" t="s">
        <v>33</v>
      </c>
    </row>
    <row r="115">
      <c r="A115" s="30">
        <v>0.34305555555555556</v>
      </c>
      <c r="B115" s="56" t="s">
        <v>511</v>
      </c>
      <c r="C115" s="45" t="s">
        <v>158</v>
      </c>
      <c r="D115" s="56" t="s">
        <v>510</v>
      </c>
      <c r="E115" s="11" t="s">
        <v>29</v>
      </c>
    </row>
    <row r="116">
      <c r="A116" s="30">
        <v>0.34305555555555556</v>
      </c>
      <c r="B116" s="56" t="s">
        <v>512</v>
      </c>
      <c r="C116" s="45" t="s">
        <v>171</v>
      </c>
      <c r="D116" s="56" t="s">
        <v>221</v>
      </c>
      <c r="E116" s="11" t="s">
        <v>33</v>
      </c>
    </row>
    <row r="117">
      <c r="A117" s="30">
        <v>0.35347222222222224</v>
      </c>
      <c r="B117" s="56" t="s">
        <v>512</v>
      </c>
      <c r="C117" s="45" t="s">
        <v>41</v>
      </c>
      <c r="D117" s="56" t="s">
        <v>511</v>
      </c>
      <c r="E117" s="11" t="s">
        <v>29</v>
      </c>
    </row>
    <row r="118">
      <c r="A118" s="30">
        <v>0.35347222222222224</v>
      </c>
      <c r="B118" s="56" t="s">
        <v>221</v>
      </c>
      <c r="C118" s="45" t="s">
        <v>23</v>
      </c>
      <c r="D118" s="56" t="s">
        <v>509</v>
      </c>
      <c r="E118" s="11" t="s">
        <v>33</v>
      </c>
      <c r="G118" s="50"/>
    </row>
    <row r="119">
      <c r="A119" s="30">
        <v>0.3638888888888889</v>
      </c>
      <c r="B119" s="56" t="s">
        <v>512</v>
      </c>
      <c r="C119" s="45" t="s">
        <v>18</v>
      </c>
      <c r="D119" s="56" t="s">
        <v>510</v>
      </c>
      <c r="E119" s="11" t="s">
        <v>29</v>
      </c>
    </row>
    <row r="120">
      <c r="A120" s="30">
        <v>0.3638888888888889</v>
      </c>
      <c r="B120" s="56" t="s">
        <v>509</v>
      </c>
      <c r="C120" s="45" t="s">
        <v>248</v>
      </c>
      <c r="D120" s="56" t="s">
        <v>511</v>
      </c>
      <c r="E120" s="11" t="s">
        <v>33</v>
      </c>
    </row>
    <row r="121">
      <c r="A121" s="30">
        <v>0.3736111111111111</v>
      </c>
      <c r="B121" s="56" t="s">
        <v>221</v>
      </c>
      <c r="C121" s="45" t="s">
        <v>18</v>
      </c>
      <c r="D121" s="56" t="s">
        <v>510</v>
      </c>
      <c r="E121" s="11" t="s">
        <v>29</v>
      </c>
    </row>
    <row r="122">
      <c r="A122" s="30">
        <v>0.3736111111111111</v>
      </c>
      <c r="B122" s="56" t="s">
        <v>509</v>
      </c>
      <c r="C122" s="45" t="s">
        <v>251</v>
      </c>
      <c r="D122" s="56" t="s">
        <v>512</v>
      </c>
      <c r="E122" s="11" t="s">
        <v>33</v>
      </c>
    </row>
    <row r="123">
      <c r="A123" s="30">
        <v>0.3840277777777778</v>
      </c>
      <c r="B123" s="56" t="s">
        <v>510</v>
      </c>
      <c r="C123" s="45" t="s">
        <v>19</v>
      </c>
      <c r="D123" s="56" t="s">
        <v>509</v>
      </c>
      <c r="E123" s="11" t="s">
        <v>29</v>
      </c>
    </row>
    <row r="124">
      <c r="A124" s="30">
        <v>0.3840277777777778</v>
      </c>
      <c r="B124" s="56" t="s">
        <v>221</v>
      </c>
      <c r="C124" s="45" t="s">
        <v>220</v>
      </c>
      <c r="D124" s="56" t="s">
        <v>511</v>
      </c>
      <c r="E124" s="11" t="s">
        <v>33</v>
      </c>
    </row>
    <row r="125">
      <c r="A125" s="30">
        <v>0.39444444444444443</v>
      </c>
      <c r="B125" s="56" t="s">
        <v>510</v>
      </c>
      <c r="C125" s="45" t="s">
        <v>18</v>
      </c>
      <c r="D125" s="56" t="s">
        <v>511</v>
      </c>
      <c r="E125" s="11" t="s">
        <v>29</v>
      </c>
    </row>
    <row r="126">
      <c r="A126" s="30">
        <v>0.39444444444444443</v>
      </c>
      <c r="B126" s="56" t="s">
        <v>221</v>
      </c>
      <c r="C126" s="45" t="s">
        <v>14</v>
      </c>
      <c r="D126" s="56" t="s">
        <v>512</v>
      </c>
      <c r="E126" s="11" t="s">
        <v>33</v>
      </c>
    </row>
    <row r="127">
      <c r="A127" s="30">
        <v>0.4041666666666667</v>
      </c>
      <c r="B127" s="56" t="s">
        <v>511</v>
      </c>
      <c r="C127" s="45" t="s">
        <v>336</v>
      </c>
      <c r="D127" s="56" t="s">
        <v>512</v>
      </c>
      <c r="E127" s="11" t="s">
        <v>29</v>
      </c>
    </row>
    <row r="128">
      <c r="A128" s="30">
        <v>0.4041666666666667</v>
      </c>
      <c r="B128" s="56" t="s">
        <v>509</v>
      </c>
      <c r="C128" s="45" t="s">
        <v>513</v>
      </c>
      <c r="D128" s="56" t="s">
        <v>221</v>
      </c>
      <c r="E128" s="11" t="s">
        <v>33</v>
      </c>
    </row>
    <row r="129">
      <c r="A129" s="30">
        <v>0.41458333333333336</v>
      </c>
      <c r="B129" s="56" t="s">
        <v>510</v>
      </c>
      <c r="C129" s="45" t="s">
        <v>209</v>
      </c>
      <c r="D129" s="56" t="s">
        <v>512</v>
      </c>
      <c r="E129" s="11" t="s">
        <v>29</v>
      </c>
      <c r="J129" s="50" t="s">
        <v>514</v>
      </c>
    </row>
    <row r="130">
      <c r="A130" s="30">
        <v>0.41458333333333336</v>
      </c>
      <c r="B130" s="56" t="s">
        <v>511</v>
      </c>
      <c r="C130" s="45" t="s">
        <v>23</v>
      </c>
      <c r="D130" s="56" t="s">
        <v>509</v>
      </c>
      <c r="E130" s="11" t="s">
        <v>33</v>
      </c>
    </row>
    <row r="131">
      <c r="A131" s="30">
        <v>0.425</v>
      </c>
      <c r="B131" s="56" t="s">
        <v>510</v>
      </c>
      <c r="C131" s="45" t="s">
        <v>244</v>
      </c>
      <c r="D131" s="56" t="s">
        <v>221</v>
      </c>
      <c r="E131" s="11" t="s">
        <v>29</v>
      </c>
    </row>
    <row r="132">
      <c r="A132" s="30">
        <v>0.425</v>
      </c>
      <c r="B132" s="56" t="s">
        <v>512</v>
      </c>
      <c r="C132" s="45" t="s">
        <v>440</v>
      </c>
      <c r="D132" s="56" t="s">
        <v>509</v>
      </c>
      <c r="E132" s="11" t="s">
        <v>33</v>
      </c>
    </row>
    <row r="133">
      <c r="A133" s="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56" t="s">
        <v>396</v>
      </c>
      <c r="C135" s="57" t="s">
        <v>515</v>
      </c>
      <c r="D135" s="56" t="s">
        <v>69</v>
      </c>
      <c r="E135" s="11" t="s">
        <v>9</v>
      </c>
    </row>
    <row r="136">
      <c r="A136" s="48">
        <v>0.4375</v>
      </c>
      <c r="B136" s="56" t="s">
        <v>398</v>
      </c>
      <c r="C136" s="57" t="s">
        <v>184</v>
      </c>
      <c r="D136" s="56" t="s">
        <v>516</v>
      </c>
      <c r="E136" s="11" t="s">
        <v>13</v>
      </c>
    </row>
    <row r="137">
      <c r="A137" s="48">
        <v>0.44722222222222224</v>
      </c>
      <c r="B137" s="56" t="s">
        <v>398</v>
      </c>
      <c r="C137" s="54" t="s">
        <v>181</v>
      </c>
      <c r="D137" s="56" t="s">
        <v>69</v>
      </c>
      <c r="E137" s="11" t="s">
        <v>9</v>
      </c>
    </row>
    <row r="138">
      <c r="A138" s="48">
        <v>0.44722222222222224</v>
      </c>
      <c r="B138" s="56" t="s">
        <v>71</v>
      </c>
      <c r="C138" s="57" t="s">
        <v>380</v>
      </c>
      <c r="D138" s="56" t="s">
        <v>516</v>
      </c>
      <c r="E138" s="11" t="s">
        <v>13</v>
      </c>
    </row>
    <row r="139">
      <c r="A139" s="48">
        <v>0.4576388888888889</v>
      </c>
      <c r="B139" s="56" t="s">
        <v>71</v>
      </c>
      <c r="C139" s="57" t="s">
        <v>182</v>
      </c>
      <c r="D139" s="56" t="s">
        <v>398</v>
      </c>
      <c r="E139" s="11" t="s">
        <v>9</v>
      </c>
    </row>
    <row r="140">
      <c r="A140" s="48">
        <v>0.4576388888888889</v>
      </c>
      <c r="B140" s="56" t="s">
        <v>516</v>
      </c>
      <c r="C140" s="57" t="s">
        <v>7</v>
      </c>
      <c r="D140" s="56" t="s">
        <v>396</v>
      </c>
      <c r="E140" s="11" t="s">
        <v>13</v>
      </c>
    </row>
    <row r="141">
      <c r="A141" s="48">
        <v>0.46805555555555556</v>
      </c>
      <c r="B141" s="56" t="s">
        <v>71</v>
      </c>
      <c r="C141" s="57" t="s">
        <v>20</v>
      </c>
      <c r="D141" s="56" t="s">
        <v>69</v>
      </c>
      <c r="E141" s="11" t="s">
        <v>9</v>
      </c>
    </row>
    <row r="142">
      <c r="A142" s="48">
        <v>0.46805555555555556</v>
      </c>
      <c r="B142" s="56" t="s">
        <v>396</v>
      </c>
      <c r="C142" s="57" t="s">
        <v>225</v>
      </c>
      <c r="D142" s="56" t="s">
        <v>398</v>
      </c>
      <c r="E142" s="11" t="s">
        <v>13</v>
      </c>
    </row>
    <row r="143">
      <c r="A143" s="48">
        <v>0.4777777777777778</v>
      </c>
      <c r="B143" s="56" t="s">
        <v>516</v>
      </c>
      <c r="C143" s="57" t="s">
        <v>158</v>
      </c>
      <c r="D143" s="56" t="s">
        <v>69</v>
      </c>
      <c r="E143" s="11" t="s">
        <v>9</v>
      </c>
    </row>
    <row r="144">
      <c r="A144" s="48">
        <v>0.4777777777777778</v>
      </c>
      <c r="B144" s="56" t="s">
        <v>396</v>
      </c>
      <c r="C144" s="57" t="s">
        <v>193</v>
      </c>
      <c r="D144" s="56" t="s">
        <v>71</v>
      </c>
      <c r="E144" s="11" t="s">
        <v>13</v>
      </c>
    </row>
    <row r="145">
      <c r="A145" s="48">
        <v>0.48819444444444443</v>
      </c>
      <c r="B145" s="56" t="s">
        <v>69</v>
      </c>
      <c r="C145" s="57" t="s">
        <v>158</v>
      </c>
      <c r="D145" s="56" t="s">
        <v>396</v>
      </c>
      <c r="E145" s="11" t="s">
        <v>9</v>
      </c>
      <c r="F145" s="63"/>
    </row>
    <row r="146">
      <c r="A146" s="48">
        <v>0.48819444444444443</v>
      </c>
      <c r="B146" s="56" t="s">
        <v>516</v>
      </c>
      <c r="C146" s="57" t="s">
        <v>517</v>
      </c>
      <c r="D146" s="56" t="s">
        <v>398</v>
      </c>
      <c r="E146" s="11" t="s">
        <v>13</v>
      </c>
    </row>
    <row r="147">
      <c r="A147" s="48">
        <v>0.4986111111111111</v>
      </c>
      <c r="B147" s="56" t="s">
        <v>69</v>
      </c>
      <c r="C147" s="45" t="s">
        <v>20</v>
      </c>
      <c r="D147" s="56" t="s">
        <v>398</v>
      </c>
      <c r="E147" s="11" t="s">
        <v>9</v>
      </c>
    </row>
    <row r="148">
      <c r="A148" s="48">
        <v>0.4986111111111111</v>
      </c>
      <c r="B148" s="56" t="s">
        <v>516</v>
      </c>
      <c r="C148" s="45" t="s">
        <v>257</v>
      </c>
      <c r="D148" s="56" t="s">
        <v>71</v>
      </c>
      <c r="E148" s="11" t="s">
        <v>13</v>
      </c>
    </row>
    <row r="149">
      <c r="A149" s="48">
        <v>0.5083333333333333</v>
      </c>
      <c r="B149" s="56" t="s">
        <v>398</v>
      </c>
      <c r="C149" s="45" t="s">
        <v>163</v>
      </c>
      <c r="D149" s="56" t="s">
        <v>71</v>
      </c>
      <c r="E149" s="11" t="s">
        <v>9</v>
      </c>
    </row>
    <row r="150">
      <c r="A150" s="48">
        <v>0.5083333333333333</v>
      </c>
      <c r="B150" s="56" t="s">
        <v>396</v>
      </c>
      <c r="C150" s="45" t="s">
        <v>219</v>
      </c>
      <c r="D150" s="56" t="s">
        <v>516</v>
      </c>
      <c r="E150" s="11" t="s">
        <v>13</v>
      </c>
    </row>
    <row r="151">
      <c r="A151" s="48">
        <v>0.51875</v>
      </c>
      <c r="B151" s="56" t="s">
        <v>69</v>
      </c>
      <c r="C151" s="45" t="s">
        <v>20</v>
      </c>
      <c r="D151" s="56" t="s">
        <v>71</v>
      </c>
      <c r="E151" s="11" t="s">
        <v>9</v>
      </c>
    </row>
    <row r="152">
      <c r="A152" s="48">
        <v>0.51875</v>
      </c>
      <c r="B152" s="56" t="s">
        <v>398</v>
      </c>
      <c r="C152" s="45" t="s">
        <v>16</v>
      </c>
      <c r="D152" s="56" t="s">
        <v>396</v>
      </c>
      <c r="E152" s="11" t="s">
        <v>13</v>
      </c>
    </row>
    <row r="153">
      <c r="A153" s="48">
        <v>0.5291666666666667</v>
      </c>
      <c r="B153" s="56" t="s">
        <v>69</v>
      </c>
      <c r="C153" s="45" t="s">
        <v>161</v>
      </c>
      <c r="D153" s="56" t="s">
        <v>516</v>
      </c>
      <c r="E153" s="11" t="s">
        <v>9</v>
      </c>
    </row>
    <row r="154">
      <c r="A154" s="48">
        <v>0.5291666666666667</v>
      </c>
      <c r="B154" s="56" t="s">
        <v>71</v>
      </c>
      <c r="C154" s="45" t="s">
        <v>38</v>
      </c>
      <c r="D154" s="56" t="s">
        <v>396</v>
      </c>
      <c r="E154" s="11" t="s">
        <v>13</v>
      </c>
    </row>
    <row r="155">
      <c r="A155" s="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56" t="s">
        <v>518</v>
      </c>
      <c r="C157" s="45" t="s">
        <v>181</v>
      </c>
      <c r="D157" s="56" t="s">
        <v>519</v>
      </c>
      <c r="E157" s="11" t="s">
        <v>29</v>
      </c>
    </row>
    <row r="158">
      <c r="A158" s="48">
        <v>0.4375</v>
      </c>
      <c r="B158" s="56" t="s">
        <v>520</v>
      </c>
      <c r="C158" s="45" t="s">
        <v>521</v>
      </c>
      <c r="D158" s="56" t="s">
        <v>522</v>
      </c>
      <c r="E158" s="11" t="s">
        <v>33</v>
      </c>
    </row>
    <row r="159">
      <c r="A159" s="48">
        <v>0.44722222222222224</v>
      </c>
      <c r="B159" s="56" t="s">
        <v>520</v>
      </c>
      <c r="C159" s="45" t="s">
        <v>302</v>
      </c>
      <c r="D159" s="56" t="s">
        <v>519</v>
      </c>
      <c r="E159" s="11" t="s">
        <v>29</v>
      </c>
    </row>
    <row r="160">
      <c r="A160" s="48">
        <v>0.44722222222222224</v>
      </c>
      <c r="B160" s="56" t="s">
        <v>523</v>
      </c>
      <c r="C160" s="45" t="s">
        <v>163</v>
      </c>
      <c r="D160" s="56" t="s">
        <v>522</v>
      </c>
      <c r="E160" s="11" t="s">
        <v>33</v>
      </c>
    </row>
    <row r="161">
      <c r="A161" s="48">
        <v>0.4576388888888889</v>
      </c>
      <c r="B161" s="56" t="s">
        <v>523</v>
      </c>
      <c r="C161" s="45" t="s">
        <v>524</v>
      </c>
      <c r="D161" s="56" t="s">
        <v>520</v>
      </c>
      <c r="E161" s="11" t="s">
        <v>29</v>
      </c>
    </row>
    <row r="162">
      <c r="A162" s="48">
        <v>0.4576388888888889</v>
      </c>
      <c r="B162" s="56" t="s">
        <v>522</v>
      </c>
      <c r="C162" s="45" t="s">
        <v>22</v>
      </c>
      <c r="D162" s="56" t="s">
        <v>518</v>
      </c>
      <c r="E162" s="11" t="s">
        <v>33</v>
      </c>
    </row>
    <row r="163">
      <c r="A163" s="48">
        <v>0.46805555555555556</v>
      </c>
      <c r="B163" s="56" t="s">
        <v>523</v>
      </c>
      <c r="C163" s="45" t="s">
        <v>43</v>
      </c>
      <c r="D163" s="56" t="s">
        <v>519</v>
      </c>
      <c r="E163" s="11" t="s">
        <v>29</v>
      </c>
    </row>
    <row r="164">
      <c r="A164" s="48">
        <v>0.46805555555555556</v>
      </c>
      <c r="B164" s="56" t="s">
        <v>518</v>
      </c>
      <c r="C164" s="45" t="s">
        <v>20</v>
      </c>
      <c r="D164" s="56" t="s">
        <v>520</v>
      </c>
      <c r="E164" s="11" t="s">
        <v>33</v>
      </c>
    </row>
    <row r="165">
      <c r="A165" s="48">
        <v>0.4777777777777778</v>
      </c>
      <c r="B165" s="56" t="s">
        <v>522</v>
      </c>
      <c r="C165" s="45" t="s">
        <v>18</v>
      </c>
      <c r="D165" s="56" t="s">
        <v>519</v>
      </c>
      <c r="E165" s="11" t="s">
        <v>29</v>
      </c>
    </row>
    <row r="166">
      <c r="A166" s="48">
        <v>0.4777777777777778</v>
      </c>
      <c r="B166" s="56" t="s">
        <v>518</v>
      </c>
      <c r="C166" s="45" t="s">
        <v>158</v>
      </c>
      <c r="D166" s="56" t="s">
        <v>523</v>
      </c>
      <c r="E166" s="11" t="s">
        <v>33</v>
      </c>
    </row>
    <row r="167">
      <c r="A167" s="48">
        <v>0.48819444444444443</v>
      </c>
      <c r="B167" s="56" t="s">
        <v>519</v>
      </c>
      <c r="C167" s="45" t="s">
        <v>525</v>
      </c>
      <c r="D167" s="56" t="s">
        <v>518</v>
      </c>
      <c r="E167" s="11" t="s">
        <v>29</v>
      </c>
    </row>
    <row r="168">
      <c r="A168" s="48">
        <v>0.48819444444444443</v>
      </c>
      <c r="B168" s="56" t="s">
        <v>522</v>
      </c>
      <c r="C168" s="45" t="s">
        <v>23</v>
      </c>
      <c r="D168" s="56" t="s">
        <v>520</v>
      </c>
      <c r="E168" s="11" t="s">
        <v>33</v>
      </c>
    </row>
    <row r="169">
      <c r="A169" s="48">
        <v>0.4986111111111111</v>
      </c>
      <c r="B169" s="56" t="s">
        <v>519</v>
      </c>
      <c r="C169" s="45" t="s">
        <v>158</v>
      </c>
      <c r="D169" s="56" t="s">
        <v>520</v>
      </c>
      <c r="E169" s="11" t="s">
        <v>29</v>
      </c>
      <c r="G169" s="50"/>
    </row>
    <row r="170">
      <c r="A170" s="48">
        <v>0.4986111111111111</v>
      </c>
      <c r="B170" s="56" t="s">
        <v>522</v>
      </c>
      <c r="C170" s="45" t="s">
        <v>219</v>
      </c>
      <c r="D170" s="56" t="s">
        <v>523</v>
      </c>
      <c r="E170" s="11" t="s">
        <v>33</v>
      </c>
    </row>
    <row r="171">
      <c r="A171" s="48">
        <v>0.5083333333333333</v>
      </c>
      <c r="B171" s="56" t="s">
        <v>520</v>
      </c>
      <c r="C171" s="45" t="s">
        <v>193</v>
      </c>
      <c r="D171" s="56" t="s">
        <v>523</v>
      </c>
      <c r="E171" s="11" t="s">
        <v>29</v>
      </c>
    </row>
    <row r="172">
      <c r="A172" s="48">
        <v>0.5083333333333333</v>
      </c>
      <c r="B172" s="56" t="s">
        <v>518</v>
      </c>
      <c r="C172" s="45" t="s">
        <v>158</v>
      </c>
      <c r="D172" s="56" t="s">
        <v>522</v>
      </c>
      <c r="E172" s="11" t="s">
        <v>33</v>
      </c>
    </row>
    <row r="173">
      <c r="A173" s="48">
        <v>0.51875</v>
      </c>
      <c r="B173" s="56" t="s">
        <v>519</v>
      </c>
      <c r="C173" s="45" t="s">
        <v>336</v>
      </c>
      <c r="D173" s="56" t="s">
        <v>523</v>
      </c>
      <c r="E173" s="11" t="s">
        <v>29</v>
      </c>
    </row>
    <row r="174">
      <c r="A174" s="48">
        <v>0.51875</v>
      </c>
      <c r="B174" s="56" t="s">
        <v>520</v>
      </c>
      <c r="C174" s="45" t="s">
        <v>257</v>
      </c>
      <c r="D174" s="56" t="s">
        <v>518</v>
      </c>
      <c r="E174" s="11" t="s">
        <v>33</v>
      </c>
    </row>
    <row r="175">
      <c r="A175" s="48">
        <v>0.5291666666666667</v>
      </c>
      <c r="B175" s="56" t="s">
        <v>519</v>
      </c>
      <c r="C175" s="45" t="s">
        <v>19</v>
      </c>
      <c r="D175" s="56" t="s">
        <v>522</v>
      </c>
      <c r="E175" s="11" t="s">
        <v>29</v>
      </c>
    </row>
    <row r="176">
      <c r="A176" s="48">
        <v>0.5291666666666667</v>
      </c>
      <c r="B176" s="56" t="s">
        <v>523</v>
      </c>
      <c r="C176" s="45" t="s">
        <v>17</v>
      </c>
      <c r="D176" s="56" t="s">
        <v>518</v>
      </c>
      <c r="E176" s="11" t="s">
        <v>33</v>
      </c>
    </row>
    <row r="177">
      <c r="A177" s="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56" t="s">
        <v>526</v>
      </c>
      <c r="C179" s="45" t="s">
        <v>185</v>
      </c>
      <c r="D179" s="56" t="s">
        <v>527</v>
      </c>
      <c r="E179" s="11" t="s">
        <v>9</v>
      </c>
    </row>
    <row r="180">
      <c r="A180" s="48">
        <v>0.5416666666666666</v>
      </c>
      <c r="B180" s="56" t="s">
        <v>528</v>
      </c>
      <c r="C180" s="45" t="s">
        <v>324</v>
      </c>
      <c r="D180" s="56" t="s">
        <v>529</v>
      </c>
      <c r="E180" s="11" t="s">
        <v>13</v>
      </c>
    </row>
    <row r="181">
      <c r="A181" s="48">
        <v>0.5513888888888889</v>
      </c>
      <c r="B181" s="56" t="s">
        <v>528</v>
      </c>
      <c r="C181" s="45" t="s">
        <v>196</v>
      </c>
      <c r="D181" s="56" t="s">
        <v>527</v>
      </c>
      <c r="E181" s="11" t="s">
        <v>9</v>
      </c>
    </row>
    <row r="182">
      <c r="A182" s="48">
        <v>0.5513888888888889</v>
      </c>
      <c r="B182" s="56" t="s">
        <v>530</v>
      </c>
      <c r="C182" s="45" t="s">
        <v>184</v>
      </c>
      <c r="D182" s="56" t="s">
        <v>529</v>
      </c>
      <c r="E182" s="15" t="s">
        <v>13</v>
      </c>
    </row>
    <row r="183">
      <c r="A183" s="48">
        <v>0.5618055555555556</v>
      </c>
      <c r="B183" s="56" t="s">
        <v>530</v>
      </c>
      <c r="C183" s="45" t="s">
        <v>16</v>
      </c>
      <c r="D183" s="56" t="s">
        <v>528</v>
      </c>
      <c r="E183" s="11" t="s">
        <v>9</v>
      </c>
    </row>
    <row r="184">
      <c r="A184" s="48">
        <v>0.5618055555555556</v>
      </c>
      <c r="B184" s="56" t="s">
        <v>529</v>
      </c>
      <c r="C184" s="45" t="s">
        <v>18</v>
      </c>
      <c r="D184" s="56" t="s">
        <v>526</v>
      </c>
      <c r="E184" s="15" t="s">
        <v>13</v>
      </c>
    </row>
    <row r="185">
      <c r="A185" s="48">
        <v>0.5722222222222222</v>
      </c>
      <c r="B185" s="56" t="s">
        <v>530</v>
      </c>
      <c r="C185" s="45" t="s">
        <v>185</v>
      </c>
      <c r="D185" s="56" t="s">
        <v>527</v>
      </c>
      <c r="E185" s="11" t="s">
        <v>9</v>
      </c>
    </row>
    <row r="186">
      <c r="A186" s="48">
        <v>0.5722222222222222</v>
      </c>
      <c r="B186" s="56" t="s">
        <v>526</v>
      </c>
      <c r="C186" s="45" t="s">
        <v>16</v>
      </c>
      <c r="D186" s="56" t="s">
        <v>528</v>
      </c>
      <c r="E186" s="15" t="s">
        <v>13</v>
      </c>
    </row>
    <row r="187">
      <c r="A187" s="48">
        <v>0.5819444444444445</v>
      </c>
      <c r="B187" s="56" t="s">
        <v>529</v>
      </c>
      <c r="C187" s="45" t="s">
        <v>185</v>
      </c>
      <c r="D187" s="56" t="s">
        <v>527</v>
      </c>
      <c r="E187" s="11" t="s">
        <v>9</v>
      </c>
    </row>
    <row r="188">
      <c r="A188" s="48">
        <v>0.5819444444444445</v>
      </c>
      <c r="B188" s="56" t="s">
        <v>526</v>
      </c>
      <c r="C188" s="45" t="s">
        <v>16</v>
      </c>
      <c r="D188" s="56" t="s">
        <v>530</v>
      </c>
      <c r="E188" s="15" t="s">
        <v>13</v>
      </c>
    </row>
    <row r="189">
      <c r="A189" s="48">
        <v>0.5923611111111111</v>
      </c>
      <c r="B189" s="56" t="s">
        <v>527</v>
      </c>
      <c r="C189" s="45" t="s">
        <v>278</v>
      </c>
      <c r="D189" s="56" t="s">
        <v>526</v>
      </c>
      <c r="E189" s="11" t="s">
        <v>9</v>
      </c>
    </row>
    <row r="190">
      <c r="A190" s="48">
        <v>0.5923611111111111</v>
      </c>
      <c r="B190" s="56" t="s">
        <v>529</v>
      </c>
      <c r="C190" s="45" t="s">
        <v>18</v>
      </c>
      <c r="D190" s="56" t="s">
        <v>528</v>
      </c>
      <c r="E190" s="15" t="s">
        <v>13</v>
      </c>
    </row>
    <row r="191">
      <c r="A191" s="48">
        <v>0.6027777777777777</v>
      </c>
      <c r="B191" s="56" t="s">
        <v>527</v>
      </c>
      <c r="C191" s="45" t="s">
        <v>531</v>
      </c>
      <c r="D191" s="56" t="s">
        <v>528</v>
      </c>
      <c r="E191" s="11" t="s">
        <v>9</v>
      </c>
    </row>
    <row r="192">
      <c r="A192" s="48">
        <v>0.6027777777777777</v>
      </c>
      <c r="B192" s="56" t="s">
        <v>529</v>
      </c>
      <c r="C192" s="45" t="s">
        <v>7</v>
      </c>
      <c r="D192" s="56" t="s">
        <v>530</v>
      </c>
      <c r="E192" s="15" t="s">
        <v>13</v>
      </c>
    </row>
    <row r="193">
      <c r="A193" s="48">
        <v>0.6125</v>
      </c>
      <c r="B193" s="56" t="s">
        <v>528</v>
      </c>
      <c r="C193" s="45" t="s">
        <v>168</v>
      </c>
      <c r="D193" s="56" t="s">
        <v>530</v>
      </c>
      <c r="E193" s="11" t="s">
        <v>9</v>
      </c>
    </row>
    <row r="194">
      <c r="A194" s="48">
        <v>0.6125</v>
      </c>
      <c r="B194" s="56" t="s">
        <v>526</v>
      </c>
      <c r="C194" s="45" t="s">
        <v>193</v>
      </c>
      <c r="D194" s="56" t="s">
        <v>529</v>
      </c>
      <c r="E194" s="15" t="s">
        <v>13</v>
      </c>
    </row>
    <row r="195">
      <c r="A195" s="48">
        <v>0.6229166666666667</v>
      </c>
      <c r="B195" s="56" t="s">
        <v>527</v>
      </c>
      <c r="C195" s="45" t="s">
        <v>218</v>
      </c>
      <c r="D195" s="56" t="s">
        <v>530</v>
      </c>
      <c r="E195" s="11" t="s">
        <v>9</v>
      </c>
    </row>
    <row r="196">
      <c r="A196" s="48">
        <v>0.6229166666666667</v>
      </c>
      <c r="B196" s="56" t="s">
        <v>528</v>
      </c>
      <c r="C196" s="45" t="s">
        <v>44</v>
      </c>
      <c r="D196" s="56" t="s">
        <v>526</v>
      </c>
      <c r="E196" s="15" t="s">
        <v>13</v>
      </c>
    </row>
    <row r="197">
      <c r="A197" s="48">
        <v>0.6333333333333333</v>
      </c>
      <c r="B197" s="56" t="s">
        <v>527</v>
      </c>
      <c r="C197" s="45" t="s">
        <v>184</v>
      </c>
      <c r="D197" s="56" t="s">
        <v>529</v>
      </c>
      <c r="E197" s="11" t="s">
        <v>9</v>
      </c>
    </row>
    <row r="198">
      <c r="A198" s="48">
        <v>0.6333333333333333</v>
      </c>
      <c r="B198" s="56" t="s">
        <v>530</v>
      </c>
      <c r="C198" s="45" t="s">
        <v>517</v>
      </c>
      <c r="D198" s="56" t="s">
        <v>526</v>
      </c>
      <c r="E198" s="15" t="s">
        <v>13</v>
      </c>
    </row>
    <row r="199">
      <c r="A199" s="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56" t="s">
        <v>532</v>
      </c>
      <c r="C201" s="45" t="s">
        <v>41</v>
      </c>
      <c r="D201" s="56" t="s">
        <v>392</v>
      </c>
      <c r="E201" s="11" t="s">
        <v>29</v>
      </c>
    </row>
    <row r="202">
      <c r="A202" s="48">
        <v>0.5416666666666666</v>
      </c>
      <c r="B202" s="56" t="s">
        <v>533</v>
      </c>
      <c r="C202" s="45" t="s">
        <v>534</v>
      </c>
      <c r="D202" s="56" t="s">
        <v>413</v>
      </c>
      <c r="E202" s="11" t="s">
        <v>33</v>
      </c>
    </row>
    <row r="203">
      <c r="A203" s="48">
        <v>0.5513888888888889</v>
      </c>
      <c r="B203" s="56" t="s">
        <v>533</v>
      </c>
      <c r="C203" s="45" t="s">
        <v>11</v>
      </c>
      <c r="D203" s="56" t="s">
        <v>392</v>
      </c>
      <c r="E203" s="11" t="s">
        <v>29</v>
      </c>
    </row>
    <row r="204">
      <c r="A204" s="48">
        <v>0.5513888888888889</v>
      </c>
      <c r="B204" s="56" t="s">
        <v>535</v>
      </c>
      <c r="C204" s="45" t="s">
        <v>301</v>
      </c>
      <c r="D204" s="56" t="s">
        <v>413</v>
      </c>
      <c r="E204" s="11" t="s">
        <v>33</v>
      </c>
    </row>
    <row r="205">
      <c r="A205" s="48">
        <v>0.5618055555555556</v>
      </c>
      <c r="B205" s="56" t="s">
        <v>535</v>
      </c>
      <c r="C205" s="45" t="s">
        <v>193</v>
      </c>
      <c r="D205" s="56" t="s">
        <v>533</v>
      </c>
      <c r="E205" s="11" t="s">
        <v>29</v>
      </c>
    </row>
    <row r="206">
      <c r="A206" s="48">
        <v>0.5618055555555556</v>
      </c>
      <c r="B206" s="56" t="s">
        <v>413</v>
      </c>
      <c r="C206" s="45" t="s">
        <v>194</v>
      </c>
      <c r="D206" s="56" t="s">
        <v>532</v>
      </c>
      <c r="E206" s="11" t="s">
        <v>33</v>
      </c>
    </row>
    <row r="207">
      <c r="A207" s="48">
        <v>0.5722222222222222</v>
      </c>
      <c r="B207" s="56" t="s">
        <v>535</v>
      </c>
      <c r="C207" s="45" t="s">
        <v>43</v>
      </c>
      <c r="D207" s="56" t="s">
        <v>392</v>
      </c>
      <c r="E207" s="11" t="s">
        <v>29</v>
      </c>
    </row>
    <row r="208">
      <c r="A208" s="48">
        <v>0.5722222222222222</v>
      </c>
      <c r="B208" s="56" t="s">
        <v>532</v>
      </c>
      <c r="C208" s="45" t="s">
        <v>536</v>
      </c>
      <c r="D208" s="56" t="s">
        <v>533</v>
      </c>
      <c r="E208" s="11" t="s">
        <v>33</v>
      </c>
    </row>
    <row r="209">
      <c r="A209" s="48">
        <v>0.5819444444444445</v>
      </c>
      <c r="B209" s="56" t="s">
        <v>413</v>
      </c>
      <c r="C209" s="45" t="s">
        <v>43</v>
      </c>
      <c r="D209" s="56" t="s">
        <v>392</v>
      </c>
      <c r="E209" s="11" t="s">
        <v>29</v>
      </c>
    </row>
    <row r="210">
      <c r="A210" s="48">
        <v>0.5819444444444445</v>
      </c>
      <c r="B210" s="56" t="s">
        <v>532</v>
      </c>
      <c r="C210" s="45" t="s">
        <v>195</v>
      </c>
      <c r="D210" s="56" t="s">
        <v>535</v>
      </c>
      <c r="E210" s="11" t="s">
        <v>33</v>
      </c>
    </row>
    <row r="211">
      <c r="A211" s="48">
        <v>0.5923611111111111</v>
      </c>
      <c r="B211" s="56" t="s">
        <v>392</v>
      </c>
      <c r="C211" s="45" t="s">
        <v>155</v>
      </c>
      <c r="D211" s="56" t="s">
        <v>532</v>
      </c>
      <c r="E211" s="11" t="s">
        <v>29</v>
      </c>
    </row>
    <row r="212">
      <c r="A212" s="48">
        <v>0.5923611111111111</v>
      </c>
      <c r="B212" s="56" t="s">
        <v>413</v>
      </c>
      <c r="C212" s="45" t="s">
        <v>537</v>
      </c>
      <c r="D212" s="56" t="s">
        <v>533</v>
      </c>
      <c r="E212" s="11" t="s">
        <v>33</v>
      </c>
    </row>
    <row r="213">
      <c r="A213" s="48">
        <v>0.6027777777777777</v>
      </c>
      <c r="B213" s="56" t="s">
        <v>392</v>
      </c>
      <c r="C213" s="45" t="s">
        <v>18</v>
      </c>
      <c r="D213" s="56" t="s">
        <v>533</v>
      </c>
      <c r="E213" s="11" t="s">
        <v>29</v>
      </c>
    </row>
    <row r="214">
      <c r="A214" s="48">
        <v>0.6027777777777777</v>
      </c>
      <c r="B214" s="56" t="s">
        <v>413</v>
      </c>
      <c r="C214" s="45" t="s">
        <v>166</v>
      </c>
      <c r="D214" s="56" t="s">
        <v>535</v>
      </c>
      <c r="E214" s="11" t="s">
        <v>33</v>
      </c>
    </row>
    <row r="215">
      <c r="A215" s="48">
        <v>0.6125</v>
      </c>
      <c r="B215" s="56" t="s">
        <v>533</v>
      </c>
      <c r="C215" s="45" t="s">
        <v>324</v>
      </c>
      <c r="D215" s="56" t="s">
        <v>535</v>
      </c>
      <c r="E215" s="11" t="s">
        <v>29</v>
      </c>
    </row>
    <row r="216">
      <c r="A216" s="48">
        <v>0.6125</v>
      </c>
      <c r="B216" s="56" t="s">
        <v>532</v>
      </c>
      <c r="C216" s="45" t="s">
        <v>193</v>
      </c>
      <c r="D216" s="56" t="s">
        <v>413</v>
      </c>
      <c r="E216" s="11" t="s">
        <v>33</v>
      </c>
    </row>
    <row r="217">
      <c r="A217" s="48">
        <v>0.6229166666666667</v>
      </c>
      <c r="B217" s="56" t="s">
        <v>392</v>
      </c>
      <c r="C217" s="45" t="s">
        <v>16</v>
      </c>
      <c r="D217" s="56" t="s">
        <v>535</v>
      </c>
      <c r="E217" s="11" t="s">
        <v>29</v>
      </c>
    </row>
    <row r="218">
      <c r="A218" s="48">
        <v>0.6229166666666667</v>
      </c>
      <c r="B218" s="56" t="s">
        <v>533</v>
      </c>
      <c r="C218" s="45" t="s">
        <v>23</v>
      </c>
      <c r="D218" s="56" t="s">
        <v>532</v>
      </c>
      <c r="E218" s="11" t="s">
        <v>33</v>
      </c>
    </row>
    <row r="219">
      <c r="A219" s="48">
        <v>0.6333333333333333</v>
      </c>
      <c r="B219" s="56" t="s">
        <v>392</v>
      </c>
      <c r="C219" s="45" t="s">
        <v>538</v>
      </c>
      <c r="D219" s="56" t="s">
        <v>413</v>
      </c>
      <c r="E219" s="11" t="s">
        <v>29</v>
      </c>
    </row>
    <row r="220">
      <c r="A220" s="48">
        <v>0.6333333333333333</v>
      </c>
      <c r="B220" s="56" t="s">
        <v>535</v>
      </c>
      <c r="C220" s="45" t="s">
        <v>14</v>
      </c>
      <c r="D220" s="56" t="s">
        <v>532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58" t="s">
        <v>424</v>
      </c>
      <c r="C223" s="45" t="s">
        <v>195</v>
      </c>
      <c r="D223" s="58" t="s">
        <v>422</v>
      </c>
      <c r="E223" s="11" t="s">
        <v>9</v>
      </c>
    </row>
    <row r="224">
      <c r="A224" s="48">
        <v>0.6458333333333334</v>
      </c>
      <c r="B224" s="58" t="s">
        <v>539</v>
      </c>
      <c r="C224" s="45" t="s">
        <v>239</v>
      </c>
      <c r="D224" s="58" t="s">
        <v>540</v>
      </c>
      <c r="E224" s="11" t="s">
        <v>13</v>
      </c>
    </row>
    <row r="225">
      <c r="A225" s="48">
        <v>0.6555555555555556</v>
      </c>
      <c r="B225" s="58" t="s">
        <v>539</v>
      </c>
      <c r="C225" s="45" t="s">
        <v>43</v>
      </c>
      <c r="D225" s="58" t="s">
        <v>422</v>
      </c>
      <c r="E225" s="11" t="s">
        <v>9</v>
      </c>
    </row>
    <row r="226">
      <c r="A226" s="48">
        <v>0.6555555555555556</v>
      </c>
      <c r="B226" s="58" t="s">
        <v>541</v>
      </c>
      <c r="C226" s="45" t="s">
        <v>219</v>
      </c>
      <c r="D226" s="58" t="s">
        <v>540</v>
      </c>
      <c r="E226" s="11" t="s">
        <v>13</v>
      </c>
    </row>
    <row r="227">
      <c r="A227" s="48">
        <v>0.6659722222222222</v>
      </c>
      <c r="B227" s="58" t="s">
        <v>541</v>
      </c>
      <c r="C227" s="45" t="s">
        <v>163</v>
      </c>
      <c r="D227" s="58" t="s">
        <v>539</v>
      </c>
      <c r="E227" s="11" t="s">
        <v>9</v>
      </c>
    </row>
    <row r="228">
      <c r="A228" s="48">
        <v>0.6659722222222222</v>
      </c>
      <c r="B228" s="58" t="s">
        <v>540</v>
      </c>
      <c r="C228" s="45" t="s">
        <v>279</v>
      </c>
      <c r="D228" s="58" t="s">
        <v>424</v>
      </c>
      <c r="E228" s="11" t="s">
        <v>13</v>
      </c>
    </row>
    <row r="229">
      <c r="A229" s="48">
        <v>0.6763888888888889</v>
      </c>
      <c r="B229" s="58" t="s">
        <v>541</v>
      </c>
      <c r="C229" s="45" t="s">
        <v>164</v>
      </c>
      <c r="D229" s="58" t="s">
        <v>422</v>
      </c>
      <c r="E229" s="11" t="s">
        <v>9</v>
      </c>
    </row>
    <row r="230">
      <c r="A230" s="48">
        <v>0.6763888888888889</v>
      </c>
      <c r="B230" s="58" t="s">
        <v>424</v>
      </c>
      <c r="C230" s="45" t="s">
        <v>158</v>
      </c>
      <c r="D230" s="58" t="s">
        <v>539</v>
      </c>
      <c r="E230" s="11" t="s">
        <v>13</v>
      </c>
    </row>
    <row r="231">
      <c r="A231" s="48">
        <v>0.6861111111111111</v>
      </c>
      <c r="B231" s="58" t="s">
        <v>540</v>
      </c>
      <c r="C231" s="45" t="s">
        <v>44</v>
      </c>
      <c r="D231" s="58" t="s">
        <v>422</v>
      </c>
      <c r="E231" s="11" t="s">
        <v>9</v>
      </c>
    </row>
    <row r="232">
      <c r="A232" s="48">
        <v>0.6861111111111111</v>
      </c>
      <c r="B232" s="58" t="s">
        <v>424</v>
      </c>
      <c r="C232" s="45" t="s">
        <v>196</v>
      </c>
      <c r="D232" s="58" t="s">
        <v>541</v>
      </c>
      <c r="E232" s="11" t="s">
        <v>13</v>
      </c>
    </row>
    <row r="233">
      <c r="A233" s="48">
        <v>0.6965277777777777</v>
      </c>
      <c r="B233" s="58" t="s">
        <v>422</v>
      </c>
      <c r="C233" s="45" t="s">
        <v>218</v>
      </c>
      <c r="D233" s="58" t="s">
        <v>424</v>
      </c>
      <c r="E233" s="11" t="s">
        <v>9</v>
      </c>
    </row>
    <row r="234">
      <c r="A234" s="48">
        <v>0.6965277777777777</v>
      </c>
      <c r="B234" s="58" t="s">
        <v>540</v>
      </c>
      <c r="C234" s="45" t="s">
        <v>264</v>
      </c>
      <c r="D234" s="58" t="s">
        <v>539</v>
      </c>
      <c r="E234" s="11" t="s">
        <v>13</v>
      </c>
    </row>
    <row r="235">
      <c r="A235" s="48">
        <v>0.7069444444444445</v>
      </c>
      <c r="B235" s="58" t="s">
        <v>422</v>
      </c>
      <c r="C235" s="45" t="s">
        <v>258</v>
      </c>
      <c r="D235" s="58" t="s">
        <v>539</v>
      </c>
      <c r="E235" s="11" t="s">
        <v>9</v>
      </c>
    </row>
    <row r="236">
      <c r="A236" s="48">
        <v>0.7069444444444445</v>
      </c>
      <c r="B236" s="58" t="s">
        <v>540</v>
      </c>
      <c r="C236" s="45" t="s">
        <v>24</v>
      </c>
      <c r="D236" s="58" t="s">
        <v>541</v>
      </c>
      <c r="E236" s="11" t="s">
        <v>13</v>
      </c>
    </row>
    <row r="237">
      <c r="A237" s="48">
        <v>0.7166666666666667</v>
      </c>
      <c r="B237" s="58" t="s">
        <v>539</v>
      </c>
      <c r="C237" s="45" t="s">
        <v>44</v>
      </c>
      <c r="D237" s="58" t="s">
        <v>541</v>
      </c>
      <c r="E237" s="11" t="s">
        <v>9</v>
      </c>
    </row>
    <row r="238">
      <c r="A238" s="48">
        <v>0.7166666666666667</v>
      </c>
      <c r="B238" s="58" t="s">
        <v>424</v>
      </c>
      <c r="C238" s="45" t="s">
        <v>166</v>
      </c>
      <c r="D238" s="58" t="s">
        <v>540</v>
      </c>
      <c r="E238" s="11" t="s">
        <v>13</v>
      </c>
    </row>
    <row r="239">
      <c r="A239" s="48">
        <v>0.7270833333333333</v>
      </c>
      <c r="B239" s="58" t="s">
        <v>422</v>
      </c>
      <c r="C239" s="45" t="s">
        <v>279</v>
      </c>
      <c r="D239" s="58" t="s">
        <v>541</v>
      </c>
      <c r="E239" s="11" t="s">
        <v>9</v>
      </c>
    </row>
    <row r="240">
      <c r="A240" s="48">
        <v>0.7270833333333333</v>
      </c>
      <c r="B240" s="58" t="s">
        <v>539</v>
      </c>
      <c r="C240" s="45" t="s">
        <v>210</v>
      </c>
      <c r="D240" s="58" t="s">
        <v>424</v>
      </c>
      <c r="E240" s="11" t="s">
        <v>13</v>
      </c>
    </row>
    <row r="241">
      <c r="A241" s="48">
        <v>0.7375</v>
      </c>
      <c r="B241" s="58" t="s">
        <v>422</v>
      </c>
      <c r="C241" s="45" t="s">
        <v>163</v>
      </c>
      <c r="D241" s="58" t="s">
        <v>540</v>
      </c>
      <c r="E241" s="11" t="s">
        <v>9</v>
      </c>
    </row>
    <row r="242">
      <c r="A242" s="48">
        <v>0.7375</v>
      </c>
      <c r="B242" s="58" t="s">
        <v>541</v>
      </c>
      <c r="C242" s="45" t="s">
        <v>344</v>
      </c>
      <c r="D242" s="58" t="s">
        <v>424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58" t="s">
        <v>542</v>
      </c>
      <c r="C245" s="45" t="s">
        <v>220</v>
      </c>
      <c r="D245" s="58" t="s">
        <v>430</v>
      </c>
      <c r="E245" s="11" t="s">
        <v>29</v>
      </c>
    </row>
    <row r="246">
      <c r="A246" s="48">
        <v>0.6458333333333334</v>
      </c>
      <c r="B246" s="58" t="s">
        <v>543</v>
      </c>
      <c r="C246" s="45" t="s">
        <v>281</v>
      </c>
      <c r="D246" s="58" t="s">
        <v>544</v>
      </c>
      <c r="E246" s="11" t="s">
        <v>33</v>
      </c>
    </row>
    <row r="247">
      <c r="A247" s="48">
        <v>0.6555555555555556</v>
      </c>
      <c r="B247" s="58" t="s">
        <v>543</v>
      </c>
      <c r="C247" s="45" t="s">
        <v>545</v>
      </c>
      <c r="D247" s="58" t="s">
        <v>430</v>
      </c>
      <c r="E247" s="11" t="s">
        <v>29</v>
      </c>
    </row>
    <row r="248">
      <c r="A248" s="48">
        <v>0.6555555555555556</v>
      </c>
      <c r="B248" s="58" t="s">
        <v>546</v>
      </c>
      <c r="C248" s="45" t="s">
        <v>24</v>
      </c>
      <c r="D248" s="58" t="s">
        <v>544</v>
      </c>
      <c r="E248" s="11" t="s">
        <v>33</v>
      </c>
    </row>
    <row r="249">
      <c r="A249" s="48">
        <v>0.6659722222222222</v>
      </c>
      <c r="B249" s="58" t="s">
        <v>546</v>
      </c>
      <c r="C249" s="45" t="s">
        <v>38</v>
      </c>
      <c r="D249" s="58" t="s">
        <v>543</v>
      </c>
      <c r="E249" s="11" t="s">
        <v>29</v>
      </c>
    </row>
    <row r="250">
      <c r="A250" s="48">
        <v>0.6659722222222222</v>
      </c>
      <c r="B250" s="58" t="s">
        <v>544</v>
      </c>
      <c r="C250" s="64" t="s">
        <v>344</v>
      </c>
      <c r="D250" s="58" t="s">
        <v>542</v>
      </c>
      <c r="E250" s="11" t="s">
        <v>33</v>
      </c>
    </row>
    <row r="251">
      <c r="A251" s="48">
        <v>0.6763888888888889</v>
      </c>
      <c r="B251" s="58" t="s">
        <v>546</v>
      </c>
      <c r="C251" s="45" t="s">
        <v>248</v>
      </c>
      <c r="D251" s="58" t="s">
        <v>430</v>
      </c>
      <c r="E251" s="11" t="s">
        <v>29</v>
      </c>
    </row>
    <row r="252">
      <c r="A252" s="48">
        <v>0.6763888888888889</v>
      </c>
      <c r="B252" s="58" t="s">
        <v>542</v>
      </c>
      <c r="C252" s="45" t="s">
        <v>547</v>
      </c>
      <c r="D252" s="58" t="s">
        <v>543</v>
      </c>
      <c r="E252" s="11" t="s">
        <v>33</v>
      </c>
    </row>
    <row r="253">
      <c r="A253" s="48">
        <v>0.6861111111111111</v>
      </c>
      <c r="B253" s="58" t="s">
        <v>544</v>
      </c>
      <c r="C253" s="45" t="s">
        <v>395</v>
      </c>
      <c r="D253" s="58" t="s">
        <v>430</v>
      </c>
      <c r="E253" s="11" t="s">
        <v>29</v>
      </c>
    </row>
    <row r="254">
      <c r="A254" s="48">
        <v>0.6861111111111111</v>
      </c>
      <c r="B254" s="58" t="s">
        <v>542</v>
      </c>
      <c r="C254" s="45" t="s">
        <v>162</v>
      </c>
      <c r="D254" s="58" t="s">
        <v>546</v>
      </c>
      <c r="E254" s="11" t="s">
        <v>33</v>
      </c>
    </row>
    <row r="255">
      <c r="A255" s="48">
        <v>0.6965277777777777</v>
      </c>
      <c r="B255" s="58" t="s">
        <v>430</v>
      </c>
      <c r="C255" s="45" t="s">
        <v>173</v>
      </c>
      <c r="D255" s="58" t="s">
        <v>542</v>
      </c>
      <c r="E255" s="11" t="s">
        <v>29</v>
      </c>
    </row>
    <row r="256">
      <c r="A256" s="48">
        <v>0.6965277777777777</v>
      </c>
      <c r="B256" s="58" t="s">
        <v>544</v>
      </c>
      <c r="C256" s="45" t="s">
        <v>256</v>
      </c>
      <c r="D256" s="58" t="s">
        <v>543</v>
      </c>
      <c r="E256" s="11" t="s">
        <v>33</v>
      </c>
    </row>
    <row r="257">
      <c r="A257" s="48">
        <v>0.7069444444444445</v>
      </c>
      <c r="B257" s="58" t="s">
        <v>430</v>
      </c>
      <c r="C257" s="45" t="s">
        <v>334</v>
      </c>
      <c r="D257" s="58" t="s">
        <v>543</v>
      </c>
      <c r="E257" s="11" t="s">
        <v>29</v>
      </c>
    </row>
    <row r="258">
      <c r="A258" s="48">
        <v>0.7069444444444445</v>
      </c>
      <c r="B258" s="58" t="s">
        <v>544</v>
      </c>
      <c r="C258" s="45" t="s">
        <v>195</v>
      </c>
      <c r="D258" s="58" t="s">
        <v>546</v>
      </c>
      <c r="E258" s="11" t="s">
        <v>33</v>
      </c>
    </row>
    <row r="259">
      <c r="A259" s="48">
        <v>0.7166666666666667</v>
      </c>
      <c r="B259" s="58" t="s">
        <v>543</v>
      </c>
      <c r="C259" s="45" t="s">
        <v>173</v>
      </c>
      <c r="D259" s="58" t="s">
        <v>546</v>
      </c>
      <c r="E259" s="11" t="s">
        <v>29</v>
      </c>
    </row>
    <row r="260">
      <c r="A260" s="48">
        <v>0.7166666666666667</v>
      </c>
      <c r="B260" s="58" t="s">
        <v>542</v>
      </c>
      <c r="C260" s="45" t="s">
        <v>195</v>
      </c>
      <c r="D260" s="58" t="s">
        <v>544</v>
      </c>
      <c r="E260" s="11" t="s">
        <v>33</v>
      </c>
    </row>
    <row r="261">
      <c r="A261" s="48">
        <v>0.7270833333333333</v>
      </c>
      <c r="B261" s="58" t="s">
        <v>430</v>
      </c>
      <c r="C261" s="45" t="s">
        <v>181</v>
      </c>
      <c r="D261" s="58" t="s">
        <v>546</v>
      </c>
      <c r="E261" s="11" t="s">
        <v>29</v>
      </c>
    </row>
    <row r="262">
      <c r="A262" s="48">
        <v>0.7270833333333333</v>
      </c>
      <c r="B262" s="58" t="s">
        <v>543</v>
      </c>
      <c r="C262" s="45" t="s">
        <v>366</v>
      </c>
      <c r="D262" s="58" t="s">
        <v>542</v>
      </c>
      <c r="E262" s="11" t="s">
        <v>33</v>
      </c>
    </row>
    <row r="263">
      <c r="A263" s="48">
        <v>0.7375</v>
      </c>
      <c r="B263" s="58" t="s">
        <v>430</v>
      </c>
      <c r="C263" s="45" t="s">
        <v>43</v>
      </c>
      <c r="D263" s="58" t="s">
        <v>544</v>
      </c>
      <c r="E263" s="11" t="s">
        <v>29</v>
      </c>
    </row>
    <row r="264">
      <c r="A264" s="48">
        <v>0.7375</v>
      </c>
      <c r="B264" s="58" t="s">
        <v>546</v>
      </c>
      <c r="C264" s="45" t="s">
        <v>257</v>
      </c>
      <c r="D264" s="58" t="s">
        <v>542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58" t="s">
        <v>548</v>
      </c>
      <c r="C267" s="45" t="s">
        <v>549</v>
      </c>
      <c r="D267" s="58" t="s">
        <v>550</v>
      </c>
      <c r="E267" s="11" t="s">
        <v>9</v>
      </c>
    </row>
    <row r="268">
      <c r="A268" s="48">
        <v>0.75</v>
      </c>
      <c r="B268" s="58" t="s">
        <v>551</v>
      </c>
      <c r="C268" s="45" t="s">
        <v>250</v>
      </c>
      <c r="D268" s="58" t="s">
        <v>552</v>
      </c>
      <c r="E268" s="11" t="s">
        <v>13</v>
      </c>
    </row>
    <row r="269">
      <c r="A269" s="48">
        <v>0.7597222222222222</v>
      </c>
      <c r="B269" s="58" t="s">
        <v>551</v>
      </c>
      <c r="C269" s="45" t="s">
        <v>36</v>
      </c>
      <c r="D269" s="58" t="s">
        <v>550</v>
      </c>
      <c r="E269" s="11" t="s">
        <v>9</v>
      </c>
    </row>
    <row r="270">
      <c r="A270" s="48">
        <v>0.7597222222222222</v>
      </c>
      <c r="B270" s="58" t="s">
        <v>553</v>
      </c>
      <c r="C270" s="45" t="s">
        <v>545</v>
      </c>
      <c r="D270" s="58" t="s">
        <v>552</v>
      </c>
      <c r="E270" s="11" t="s">
        <v>13</v>
      </c>
    </row>
    <row r="271">
      <c r="A271" s="48">
        <v>0.7701388888888889</v>
      </c>
      <c r="B271" s="58" t="s">
        <v>553</v>
      </c>
      <c r="C271" s="45" t="s">
        <v>554</v>
      </c>
      <c r="D271" s="58" t="s">
        <v>551</v>
      </c>
      <c r="E271" s="11" t="s">
        <v>9</v>
      </c>
    </row>
    <row r="272">
      <c r="A272" s="48">
        <v>0.7701388888888889</v>
      </c>
      <c r="B272" s="58" t="s">
        <v>552</v>
      </c>
      <c r="C272" s="45" t="s">
        <v>555</v>
      </c>
      <c r="D272" s="58" t="s">
        <v>548</v>
      </c>
      <c r="E272" s="11" t="s">
        <v>13</v>
      </c>
    </row>
    <row r="273">
      <c r="A273" s="48">
        <v>0.7805555555555556</v>
      </c>
      <c r="B273" s="58" t="s">
        <v>553</v>
      </c>
      <c r="C273" s="45" t="s">
        <v>155</v>
      </c>
      <c r="D273" s="58" t="s">
        <v>550</v>
      </c>
      <c r="E273" s="11" t="s">
        <v>9</v>
      </c>
    </row>
    <row r="274">
      <c r="A274" s="48">
        <v>0.7805555555555556</v>
      </c>
      <c r="B274" s="58" t="s">
        <v>548</v>
      </c>
      <c r="C274" s="45" t="s">
        <v>185</v>
      </c>
      <c r="D274" s="58" t="s">
        <v>551</v>
      </c>
      <c r="E274" s="11" t="s">
        <v>13</v>
      </c>
    </row>
    <row r="275">
      <c r="A275" s="48">
        <v>0.7902777777777777</v>
      </c>
      <c r="B275" s="58" t="s">
        <v>552</v>
      </c>
      <c r="C275" s="45" t="s">
        <v>556</v>
      </c>
      <c r="D275" s="58" t="s">
        <v>550</v>
      </c>
      <c r="E275" s="11" t="s">
        <v>9</v>
      </c>
    </row>
    <row r="276">
      <c r="A276" s="48">
        <v>0.7902777777777777</v>
      </c>
      <c r="B276" s="58" t="s">
        <v>548</v>
      </c>
      <c r="C276" s="45" t="s">
        <v>161</v>
      </c>
      <c r="D276" s="58" t="s">
        <v>553</v>
      </c>
      <c r="E276" s="11" t="s">
        <v>13</v>
      </c>
    </row>
    <row r="277">
      <c r="A277" s="48">
        <v>0.8006944444444445</v>
      </c>
      <c r="B277" s="58" t="s">
        <v>550</v>
      </c>
      <c r="C277" s="45" t="s">
        <v>325</v>
      </c>
      <c r="D277" s="58" t="s">
        <v>548</v>
      </c>
      <c r="E277" s="11" t="s">
        <v>9</v>
      </c>
    </row>
    <row r="278">
      <c r="A278" s="48">
        <v>0.8006944444444445</v>
      </c>
      <c r="B278" s="58" t="s">
        <v>552</v>
      </c>
      <c r="C278" s="45" t="s">
        <v>418</v>
      </c>
      <c r="D278" s="58" t="s">
        <v>551</v>
      </c>
      <c r="E278" s="11" t="s">
        <v>13</v>
      </c>
    </row>
    <row r="279">
      <c r="A279" s="48">
        <v>0.8111111111111111</v>
      </c>
      <c r="B279" s="58" t="s">
        <v>550</v>
      </c>
      <c r="C279" s="45" t="s">
        <v>557</v>
      </c>
      <c r="D279" s="58" t="s">
        <v>551</v>
      </c>
      <c r="E279" s="11" t="s">
        <v>9</v>
      </c>
    </row>
    <row r="280">
      <c r="A280" s="48">
        <v>0.8111111111111111</v>
      </c>
      <c r="B280" s="58" t="s">
        <v>552</v>
      </c>
      <c r="C280" s="45" t="s">
        <v>44</v>
      </c>
      <c r="D280" s="58" t="s">
        <v>553</v>
      </c>
      <c r="E280" s="11" t="s">
        <v>13</v>
      </c>
    </row>
    <row r="281">
      <c r="A281" s="48">
        <v>0.8208333333333333</v>
      </c>
      <c r="B281" s="58" t="s">
        <v>551</v>
      </c>
      <c r="C281" s="45" t="s">
        <v>344</v>
      </c>
      <c r="D281" s="58" t="s">
        <v>553</v>
      </c>
      <c r="E281" s="11" t="s">
        <v>9</v>
      </c>
    </row>
    <row r="282">
      <c r="A282" s="48">
        <v>0.8208333333333333</v>
      </c>
      <c r="B282" s="58" t="s">
        <v>548</v>
      </c>
      <c r="C282" s="45" t="s">
        <v>181</v>
      </c>
      <c r="D282" s="58" t="s">
        <v>552</v>
      </c>
      <c r="E282" s="11" t="s">
        <v>13</v>
      </c>
    </row>
    <row r="283">
      <c r="A283" s="48">
        <v>0.83125</v>
      </c>
      <c r="B283" s="58" t="s">
        <v>550</v>
      </c>
      <c r="C283" s="45" t="s">
        <v>38</v>
      </c>
      <c r="D283" s="58" t="s">
        <v>553</v>
      </c>
      <c r="E283" s="11" t="s">
        <v>9</v>
      </c>
    </row>
    <row r="284">
      <c r="A284" s="48">
        <v>0.83125</v>
      </c>
      <c r="B284" s="58" t="s">
        <v>551</v>
      </c>
      <c r="C284" s="45" t="s">
        <v>271</v>
      </c>
      <c r="D284" s="58" t="s">
        <v>548</v>
      </c>
      <c r="E284" s="11" t="s">
        <v>13</v>
      </c>
    </row>
    <row r="285">
      <c r="A285" s="48">
        <v>0.8416666666666667</v>
      </c>
      <c r="B285" s="58" t="s">
        <v>550</v>
      </c>
      <c r="C285" s="45" t="s">
        <v>181</v>
      </c>
      <c r="D285" s="58" t="s">
        <v>552</v>
      </c>
      <c r="E285" s="11" t="s">
        <v>9</v>
      </c>
    </row>
    <row r="286">
      <c r="A286" s="48">
        <v>0.8416666666666667</v>
      </c>
      <c r="B286" s="58" t="s">
        <v>553</v>
      </c>
      <c r="C286" s="45" t="s">
        <v>558</v>
      </c>
      <c r="D286" s="58" t="s">
        <v>548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58" t="s">
        <v>559</v>
      </c>
      <c r="C289" s="45" t="s">
        <v>195</v>
      </c>
      <c r="D289" s="58" t="s">
        <v>560</v>
      </c>
      <c r="E289" s="11" t="s">
        <v>29</v>
      </c>
    </row>
    <row r="290">
      <c r="A290" s="48">
        <v>0.75</v>
      </c>
      <c r="B290" s="58" t="s">
        <v>561</v>
      </c>
      <c r="C290" s="45" t="s">
        <v>189</v>
      </c>
      <c r="D290" s="58" t="s">
        <v>562</v>
      </c>
      <c r="E290" s="11" t="s">
        <v>33</v>
      </c>
    </row>
    <row r="291">
      <c r="A291" s="48">
        <v>0.7597222222222222</v>
      </c>
      <c r="B291" s="58" t="s">
        <v>561</v>
      </c>
      <c r="C291" s="45" t="s">
        <v>563</v>
      </c>
      <c r="D291" s="58" t="s">
        <v>560</v>
      </c>
      <c r="E291" s="11" t="s">
        <v>29</v>
      </c>
    </row>
    <row r="292">
      <c r="A292" s="48">
        <v>0.7597222222222222</v>
      </c>
      <c r="B292" s="58" t="s">
        <v>564</v>
      </c>
      <c r="C292" s="45" t="s">
        <v>19</v>
      </c>
      <c r="D292" s="58" t="s">
        <v>562</v>
      </c>
      <c r="E292" s="11" t="s">
        <v>33</v>
      </c>
    </row>
    <row r="293">
      <c r="A293" s="48">
        <v>0.7701388888888889</v>
      </c>
      <c r="B293" s="58" t="s">
        <v>564</v>
      </c>
      <c r="C293" s="45" t="s">
        <v>181</v>
      </c>
      <c r="D293" s="58" t="s">
        <v>561</v>
      </c>
      <c r="E293" s="11" t="s">
        <v>29</v>
      </c>
    </row>
    <row r="294">
      <c r="A294" s="48">
        <v>0.7701388888888889</v>
      </c>
      <c r="B294" s="58" t="s">
        <v>562</v>
      </c>
      <c r="C294" s="45" t="s">
        <v>565</v>
      </c>
      <c r="D294" s="58" t="s">
        <v>559</v>
      </c>
      <c r="E294" s="11" t="s">
        <v>33</v>
      </c>
    </row>
    <row r="295">
      <c r="A295" s="48">
        <v>0.7805555555555556</v>
      </c>
      <c r="B295" s="58" t="s">
        <v>564</v>
      </c>
      <c r="C295" s="45" t="s">
        <v>182</v>
      </c>
      <c r="D295" s="58" t="s">
        <v>560</v>
      </c>
      <c r="E295" s="11" t="s">
        <v>29</v>
      </c>
    </row>
    <row r="296">
      <c r="A296" s="48">
        <v>0.7805555555555556</v>
      </c>
      <c r="B296" s="58" t="s">
        <v>559</v>
      </c>
      <c r="C296" s="45" t="s">
        <v>177</v>
      </c>
      <c r="D296" s="58" t="s">
        <v>561</v>
      </c>
      <c r="E296" s="11" t="s">
        <v>33</v>
      </c>
    </row>
    <row r="297">
      <c r="A297" s="48">
        <v>0.7902777777777777</v>
      </c>
      <c r="B297" s="58" t="s">
        <v>562</v>
      </c>
      <c r="C297" s="45" t="s">
        <v>566</v>
      </c>
      <c r="D297" s="58" t="s">
        <v>560</v>
      </c>
      <c r="E297" s="11" t="s">
        <v>29</v>
      </c>
    </row>
    <row r="298">
      <c r="A298" s="48">
        <v>0.7902777777777777</v>
      </c>
      <c r="B298" s="58" t="s">
        <v>559</v>
      </c>
      <c r="C298" s="45" t="s">
        <v>7</v>
      </c>
      <c r="D298" s="58" t="s">
        <v>564</v>
      </c>
      <c r="E298" s="11" t="s">
        <v>33</v>
      </c>
    </row>
    <row r="299">
      <c r="A299" s="48">
        <v>0.8006944444444445</v>
      </c>
      <c r="B299" s="58" t="s">
        <v>560</v>
      </c>
      <c r="C299" s="45" t="s">
        <v>257</v>
      </c>
      <c r="D299" s="58" t="s">
        <v>559</v>
      </c>
      <c r="E299" s="11" t="s">
        <v>29</v>
      </c>
    </row>
    <row r="300">
      <c r="A300" s="48">
        <v>0.8006944444444445</v>
      </c>
      <c r="B300" s="58" t="s">
        <v>562</v>
      </c>
      <c r="C300" s="45" t="s">
        <v>517</v>
      </c>
      <c r="D300" s="58" t="s">
        <v>561</v>
      </c>
      <c r="E300" s="11" t="s">
        <v>33</v>
      </c>
    </row>
    <row r="301">
      <c r="A301" s="48">
        <v>0.8111111111111111</v>
      </c>
      <c r="B301" s="58" t="s">
        <v>560</v>
      </c>
      <c r="C301" s="45" t="s">
        <v>195</v>
      </c>
      <c r="D301" s="58" t="s">
        <v>561</v>
      </c>
      <c r="E301" s="11" t="s">
        <v>29</v>
      </c>
    </row>
    <row r="302">
      <c r="A302" s="48">
        <v>0.8111111111111111</v>
      </c>
      <c r="B302" s="58" t="s">
        <v>562</v>
      </c>
      <c r="C302" s="45" t="s">
        <v>567</v>
      </c>
      <c r="D302" s="58" t="s">
        <v>564</v>
      </c>
      <c r="E302" s="11" t="s">
        <v>33</v>
      </c>
    </row>
    <row r="303">
      <c r="A303" s="48">
        <v>0.8208333333333333</v>
      </c>
      <c r="B303" s="58" t="s">
        <v>561</v>
      </c>
      <c r="C303" s="45" t="s">
        <v>219</v>
      </c>
      <c r="D303" s="58" t="s">
        <v>564</v>
      </c>
      <c r="E303" s="11" t="s">
        <v>29</v>
      </c>
    </row>
    <row r="304">
      <c r="A304" s="48">
        <v>0.8208333333333333</v>
      </c>
      <c r="B304" s="58" t="s">
        <v>559</v>
      </c>
      <c r="C304" s="45" t="s">
        <v>176</v>
      </c>
      <c r="D304" s="58" t="s">
        <v>562</v>
      </c>
      <c r="E304" s="11" t="s">
        <v>33</v>
      </c>
    </row>
    <row r="305">
      <c r="A305" s="48">
        <v>0.83125</v>
      </c>
      <c r="B305" s="58" t="s">
        <v>560</v>
      </c>
      <c r="C305" s="45" t="s">
        <v>173</v>
      </c>
      <c r="D305" s="58" t="s">
        <v>564</v>
      </c>
      <c r="E305" s="11" t="s">
        <v>29</v>
      </c>
    </row>
    <row r="306">
      <c r="A306" s="48">
        <v>0.83125</v>
      </c>
      <c r="B306" s="58" t="s">
        <v>561</v>
      </c>
      <c r="C306" s="45" t="s">
        <v>419</v>
      </c>
      <c r="D306" s="58" t="s">
        <v>559</v>
      </c>
      <c r="E306" s="11" t="s">
        <v>33</v>
      </c>
    </row>
    <row r="307">
      <c r="A307" s="48">
        <v>0.8416666666666667</v>
      </c>
      <c r="B307" s="58" t="s">
        <v>560</v>
      </c>
      <c r="C307" s="45" t="s">
        <v>160</v>
      </c>
      <c r="D307" s="58" t="s">
        <v>562</v>
      </c>
      <c r="E307" s="11" t="s">
        <v>29</v>
      </c>
    </row>
    <row r="308">
      <c r="A308" s="48">
        <v>0.8416666666666667</v>
      </c>
      <c r="B308" s="58" t="s">
        <v>564</v>
      </c>
      <c r="C308" s="45" t="s">
        <v>248</v>
      </c>
      <c r="D308" s="58" t="s">
        <v>559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50"/>
    </row>
    <row r="311">
      <c r="A311" s="48">
        <v>0.8541666666666666</v>
      </c>
      <c r="B311" s="58" t="s">
        <v>568</v>
      </c>
      <c r="C311" s="45" t="s">
        <v>394</v>
      </c>
      <c r="D311" s="58" t="s">
        <v>113</v>
      </c>
      <c r="E311" s="11" t="s">
        <v>9</v>
      </c>
    </row>
    <row r="312">
      <c r="A312" s="48">
        <v>0.8541666666666666</v>
      </c>
      <c r="B312" s="58" t="s">
        <v>569</v>
      </c>
      <c r="C312" s="45" t="s">
        <v>570</v>
      </c>
      <c r="D312" s="58" t="s">
        <v>571</v>
      </c>
      <c r="E312" s="11" t="s">
        <v>13</v>
      </c>
    </row>
    <row r="313">
      <c r="A313" s="48">
        <v>0.8638888888888889</v>
      </c>
      <c r="B313" s="58" t="s">
        <v>569</v>
      </c>
      <c r="C313" s="45" t="s">
        <v>43</v>
      </c>
      <c r="D313" s="58" t="s">
        <v>113</v>
      </c>
      <c r="E313" s="11" t="s">
        <v>9</v>
      </c>
    </row>
    <row r="314">
      <c r="A314" s="48">
        <v>0.8638888888888889</v>
      </c>
      <c r="B314" s="58" t="s">
        <v>572</v>
      </c>
      <c r="C314" s="45" t="s">
        <v>497</v>
      </c>
      <c r="D314" s="58" t="s">
        <v>571</v>
      </c>
      <c r="E314" s="11" t="s">
        <v>13</v>
      </c>
    </row>
    <row r="315">
      <c r="A315" s="48">
        <v>0.8743055555555556</v>
      </c>
      <c r="B315" s="58" t="s">
        <v>572</v>
      </c>
      <c r="C315" s="45" t="s">
        <v>573</v>
      </c>
      <c r="D315" s="58" t="s">
        <v>569</v>
      </c>
      <c r="E315" s="11" t="s">
        <v>9</v>
      </c>
    </row>
    <row r="316">
      <c r="A316" s="48">
        <v>0.8743055555555556</v>
      </c>
      <c r="B316" s="58" t="s">
        <v>571</v>
      </c>
      <c r="C316" s="45" t="s">
        <v>181</v>
      </c>
      <c r="D316" s="58" t="s">
        <v>568</v>
      </c>
      <c r="E316" s="11" t="s">
        <v>13</v>
      </c>
    </row>
    <row r="317">
      <c r="A317" s="48">
        <v>0.8847222222222222</v>
      </c>
      <c r="B317" s="58" t="s">
        <v>572</v>
      </c>
      <c r="C317" s="45" t="s">
        <v>24</v>
      </c>
      <c r="D317" s="58" t="s">
        <v>113</v>
      </c>
      <c r="E317" s="11" t="s">
        <v>9</v>
      </c>
    </row>
    <row r="318">
      <c r="A318" s="48">
        <v>0.8847222222222222</v>
      </c>
      <c r="B318" s="58" t="s">
        <v>568</v>
      </c>
      <c r="C318" s="45" t="s">
        <v>165</v>
      </c>
      <c r="D318" s="58" t="s">
        <v>569</v>
      </c>
      <c r="E318" s="11" t="s">
        <v>13</v>
      </c>
    </row>
    <row r="319">
      <c r="A319" s="48">
        <v>0.8944444444444445</v>
      </c>
      <c r="B319" s="58" t="s">
        <v>571</v>
      </c>
      <c r="C319" s="45" t="s">
        <v>44</v>
      </c>
      <c r="D319" s="58" t="s">
        <v>113</v>
      </c>
      <c r="E319" s="11" t="s">
        <v>9</v>
      </c>
    </row>
    <row r="320">
      <c r="A320" s="48">
        <v>0.8944444444444445</v>
      </c>
      <c r="B320" s="58" t="s">
        <v>568</v>
      </c>
      <c r="C320" s="45" t="s">
        <v>574</v>
      </c>
      <c r="D320" s="58" t="s">
        <v>572</v>
      </c>
      <c r="E320" s="11" t="s">
        <v>13</v>
      </c>
    </row>
    <row r="321">
      <c r="A321" s="48">
        <v>0.9048611111111111</v>
      </c>
      <c r="B321" s="58" t="s">
        <v>113</v>
      </c>
      <c r="C321" s="45" t="s">
        <v>575</v>
      </c>
      <c r="D321" s="58" t="s">
        <v>568</v>
      </c>
      <c r="E321" s="11" t="s">
        <v>9</v>
      </c>
    </row>
    <row r="322">
      <c r="A322" s="48">
        <v>0.9048611111111111</v>
      </c>
      <c r="B322" s="58" t="s">
        <v>571</v>
      </c>
      <c r="C322" s="45" t="s">
        <v>549</v>
      </c>
      <c r="D322" s="58" t="s">
        <v>569</v>
      </c>
      <c r="E322" s="11" t="s">
        <v>13</v>
      </c>
    </row>
    <row r="323">
      <c r="A323" s="48">
        <v>0.9152777777777777</v>
      </c>
      <c r="B323" s="58" t="s">
        <v>113</v>
      </c>
      <c r="C323" s="45" t="s">
        <v>576</v>
      </c>
      <c r="D323" s="58" t="s">
        <v>569</v>
      </c>
      <c r="E323" s="11" t="s">
        <v>9</v>
      </c>
    </row>
    <row r="324">
      <c r="A324" s="48">
        <v>0.9152777777777777</v>
      </c>
      <c r="B324" s="58" t="s">
        <v>571</v>
      </c>
      <c r="C324" s="45" t="s">
        <v>181</v>
      </c>
      <c r="D324" s="58" t="s">
        <v>572</v>
      </c>
      <c r="E324" s="11" t="s">
        <v>13</v>
      </c>
    </row>
    <row r="325">
      <c r="A325" s="48">
        <v>0.925</v>
      </c>
      <c r="B325" s="58" t="s">
        <v>569</v>
      </c>
      <c r="C325" s="45" t="s">
        <v>289</v>
      </c>
      <c r="D325" s="58" t="s">
        <v>572</v>
      </c>
      <c r="E325" s="11" t="s">
        <v>9</v>
      </c>
    </row>
    <row r="326">
      <c r="A326" s="48">
        <v>0.925</v>
      </c>
      <c r="B326" s="58" t="s">
        <v>568</v>
      </c>
      <c r="C326" s="45" t="s">
        <v>250</v>
      </c>
      <c r="D326" s="58" t="s">
        <v>571</v>
      </c>
      <c r="E326" s="11" t="s">
        <v>13</v>
      </c>
    </row>
    <row r="327">
      <c r="A327" s="48">
        <v>0.9354166666666667</v>
      </c>
      <c r="B327" s="58" t="s">
        <v>113</v>
      </c>
      <c r="C327" s="45" t="s">
        <v>20</v>
      </c>
      <c r="D327" s="58" t="s">
        <v>572</v>
      </c>
      <c r="E327" s="11" t="s">
        <v>9</v>
      </c>
    </row>
    <row r="328">
      <c r="A328" s="48">
        <v>0.9354166666666667</v>
      </c>
      <c r="B328" s="58" t="s">
        <v>569</v>
      </c>
      <c r="C328" s="45" t="s">
        <v>290</v>
      </c>
      <c r="D328" s="58" t="s">
        <v>568</v>
      </c>
      <c r="E328" s="11" t="s">
        <v>13</v>
      </c>
    </row>
    <row r="329">
      <c r="A329" s="48">
        <v>0.9458333333333333</v>
      </c>
      <c r="B329" s="58" t="s">
        <v>113</v>
      </c>
      <c r="C329" s="45" t="s">
        <v>218</v>
      </c>
      <c r="D329" s="58" t="s">
        <v>571</v>
      </c>
      <c r="E329" s="11" t="s">
        <v>9</v>
      </c>
    </row>
    <row r="330">
      <c r="A330" s="48">
        <v>0.9458333333333333</v>
      </c>
      <c r="B330" s="58" t="s">
        <v>572</v>
      </c>
      <c r="C330" s="45" t="s">
        <v>290</v>
      </c>
      <c r="D330" s="58" t="s">
        <v>568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58" t="s">
        <v>577</v>
      </c>
      <c r="C333" s="45" t="s">
        <v>219</v>
      </c>
      <c r="D333" s="58" t="s">
        <v>461</v>
      </c>
      <c r="E333" s="11" t="s">
        <v>29</v>
      </c>
    </row>
    <row r="334">
      <c r="A334" s="48">
        <v>0.8541666666666666</v>
      </c>
      <c r="B334" s="58" t="s">
        <v>578</v>
      </c>
      <c r="C334" s="45" t="s">
        <v>575</v>
      </c>
      <c r="D334" s="58" t="s">
        <v>579</v>
      </c>
      <c r="E334" s="11" t="s">
        <v>33</v>
      </c>
    </row>
    <row r="335">
      <c r="A335" s="48">
        <v>0.8638888888888889</v>
      </c>
      <c r="B335" s="58" t="s">
        <v>578</v>
      </c>
      <c r="C335" s="45" t="s">
        <v>380</v>
      </c>
      <c r="D335" s="58" t="s">
        <v>461</v>
      </c>
      <c r="E335" s="11" t="s">
        <v>29</v>
      </c>
      <c r="G335" s="50"/>
    </row>
    <row r="336">
      <c r="A336" s="48">
        <v>0.8638888888888889</v>
      </c>
      <c r="B336" s="58" t="s">
        <v>580</v>
      </c>
      <c r="C336" s="45" t="s">
        <v>208</v>
      </c>
      <c r="D336" s="58" t="s">
        <v>579</v>
      </c>
      <c r="E336" s="11" t="s">
        <v>33</v>
      </c>
    </row>
    <row r="337">
      <c r="A337" s="48">
        <v>0.8743055555555556</v>
      </c>
      <c r="B337" s="58" t="s">
        <v>580</v>
      </c>
      <c r="C337" s="45" t="s">
        <v>177</v>
      </c>
      <c r="D337" s="58" t="s">
        <v>578</v>
      </c>
      <c r="E337" s="11" t="s">
        <v>29</v>
      </c>
    </row>
    <row r="338">
      <c r="A338" s="48">
        <v>0.8743055555555556</v>
      </c>
      <c r="B338" s="58" t="s">
        <v>579</v>
      </c>
      <c r="C338" s="45" t="s">
        <v>581</v>
      </c>
      <c r="D338" s="58" t="s">
        <v>577</v>
      </c>
      <c r="E338" s="11" t="s">
        <v>33</v>
      </c>
    </row>
    <row r="339">
      <c r="A339" s="48">
        <v>0.8847222222222222</v>
      </c>
      <c r="B339" s="58" t="s">
        <v>580</v>
      </c>
      <c r="C339" s="45" t="s">
        <v>173</v>
      </c>
      <c r="D339" s="58" t="s">
        <v>461</v>
      </c>
      <c r="E339" s="11" t="s">
        <v>29</v>
      </c>
    </row>
    <row r="340">
      <c r="A340" s="48">
        <v>0.8847222222222222</v>
      </c>
      <c r="B340" s="58" t="s">
        <v>577</v>
      </c>
      <c r="C340" s="45" t="s">
        <v>216</v>
      </c>
      <c r="D340" s="58" t="s">
        <v>578</v>
      </c>
      <c r="E340" s="11" t="s">
        <v>33</v>
      </c>
    </row>
    <row r="341">
      <c r="A341" s="48">
        <v>0.8944444444444445</v>
      </c>
      <c r="B341" s="58" t="s">
        <v>579</v>
      </c>
      <c r="C341" s="45" t="s">
        <v>582</v>
      </c>
      <c r="D341" s="58" t="s">
        <v>461</v>
      </c>
      <c r="E341" s="11" t="s">
        <v>29</v>
      </c>
    </row>
    <row r="342">
      <c r="A342" s="48">
        <v>0.8944444444444445</v>
      </c>
      <c r="B342" s="58" t="s">
        <v>577</v>
      </c>
      <c r="C342" s="45" t="s">
        <v>394</v>
      </c>
      <c r="D342" s="58" t="s">
        <v>580</v>
      </c>
      <c r="E342" s="11" t="s">
        <v>33</v>
      </c>
    </row>
    <row r="343">
      <c r="A343" s="48">
        <v>0.9048611111111111</v>
      </c>
      <c r="B343" s="58" t="s">
        <v>461</v>
      </c>
      <c r="C343" s="45" t="s">
        <v>209</v>
      </c>
      <c r="D343" s="58" t="s">
        <v>577</v>
      </c>
      <c r="E343" s="11" t="s">
        <v>29</v>
      </c>
    </row>
    <row r="344">
      <c r="A344" s="48">
        <v>0.9048611111111111</v>
      </c>
      <c r="B344" s="58" t="s">
        <v>579</v>
      </c>
      <c r="C344" s="45" t="s">
        <v>554</v>
      </c>
      <c r="D344" s="58" t="s">
        <v>578</v>
      </c>
      <c r="E344" s="11" t="s">
        <v>33</v>
      </c>
    </row>
    <row r="345">
      <c r="A345" s="48">
        <v>0.9152777777777777</v>
      </c>
      <c r="B345" s="58" t="s">
        <v>461</v>
      </c>
      <c r="C345" s="45" t="s">
        <v>36</v>
      </c>
      <c r="D345" s="58" t="s">
        <v>578</v>
      </c>
      <c r="E345" s="11" t="s">
        <v>29</v>
      </c>
    </row>
    <row r="346">
      <c r="A346" s="48">
        <v>0.9152777777777777</v>
      </c>
      <c r="B346" s="58" t="s">
        <v>579</v>
      </c>
      <c r="C346" s="45" t="s">
        <v>16</v>
      </c>
      <c r="D346" s="58" t="s">
        <v>580</v>
      </c>
      <c r="E346" s="11" t="s">
        <v>33</v>
      </c>
    </row>
    <row r="347">
      <c r="A347" s="48">
        <v>0.925</v>
      </c>
      <c r="B347" s="58" t="s">
        <v>578</v>
      </c>
      <c r="C347" s="45" t="s">
        <v>182</v>
      </c>
      <c r="D347" s="58" t="s">
        <v>580</v>
      </c>
      <c r="E347" s="11" t="s">
        <v>29</v>
      </c>
    </row>
    <row r="348">
      <c r="A348" s="48">
        <v>0.925</v>
      </c>
      <c r="B348" s="58" t="s">
        <v>577</v>
      </c>
      <c r="C348" s="45" t="s">
        <v>583</v>
      </c>
      <c r="D348" s="58" t="s">
        <v>579</v>
      </c>
      <c r="E348" s="11" t="s">
        <v>33</v>
      </c>
    </row>
    <row r="349">
      <c r="A349" s="48">
        <v>0.9354166666666667</v>
      </c>
      <c r="B349" s="58" t="s">
        <v>461</v>
      </c>
      <c r="C349" s="45" t="s">
        <v>24</v>
      </c>
      <c r="D349" s="58" t="s">
        <v>580</v>
      </c>
      <c r="E349" s="11" t="s">
        <v>29</v>
      </c>
    </row>
    <row r="350">
      <c r="A350" s="48">
        <v>0.9354166666666667</v>
      </c>
      <c r="B350" s="58" t="s">
        <v>578</v>
      </c>
      <c r="C350" s="45" t="s">
        <v>290</v>
      </c>
      <c r="D350" s="58" t="s">
        <v>577</v>
      </c>
      <c r="E350" s="11" t="s">
        <v>33</v>
      </c>
    </row>
    <row r="351">
      <c r="A351" s="48">
        <v>0.9458333333333333</v>
      </c>
      <c r="B351" s="58" t="s">
        <v>461</v>
      </c>
      <c r="C351" s="45" t="s">
        <v>584</v>
      </c>
      <c r="D351" s="58" t="s">
        <v>579</v>
      </c>
      <c r="E351" s="11" t="s">
        <v>29</v>
      </c>
    </row>
    <row r="352">
      <c r="A352" s="48">
        <v>0.9458333333333333</v>
      </c>
      <c r="B352" s="58" t="s">
        <v>580</v>
      </c>
      <c r="C352" s="45" t="s">
        <v>219</v>
      </c>
      <c r="D352" s="58" t="s">
        <v>577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58" t="s">
        <v>585</v>
      </c>
      <c r="C355" s="45" t="s">
        <v>220</v>
      </c>
      <c r="D355" s="58" t="s">
        <v>586</v>
      </c>
      <c r="E355" s="11" t="s">
        <v>9</v>
      </c>
    </row>
    <row r="356">
      <c r="A356" s="48">
        <v>0.9583333333333334</v>
      </c>
      <c r="B356" s="58" t="s">
        <v>341</v>
      </c>
      <c r="C356" s="45" t="s">
        <v>23</v>
      </c>
      <c r="D356" s="58" t="s">
        <v>587</v>
      </c>
      <c r="E356" s="11" t="s">
        <v>13</v>
      </c>
    </row>
    <row r="357">
      <c r="A357" s="48">
        <v>0.9680555555555556</v>
      </c>
      <c r="B357" s="58" t="s">
        <v>341</v>
      </c>
      <c r="C357" s="45" t="s">
        <v>362</v>
      </c>
      <c r="D357" s="58" t="s">
        <v>586</v>
      </c>
      <c r="E357" s="11" t="s">
        <v>9</v>
      </c>
    </row>
    <row r="358">
      <c r="A358" s="48">
        <v>0.9680555555555556</v>
      </c>
      <c r="B358" s="58" t="s">
        <v>588</v>
      </c>
      <c r="C358" s="45" t="s">
        <v>210</v>
      </c>
      <c r="D358" s="58" t="s">
        <v>587</v>
      </c>
      <c r="E358" s="11" t="s">
        <v>13</v>
      </c>
    </row>
    <row r="359">
      <c r="A359" s="48">
        <v>0.9784722222222222</v>
      </c>
      <c r="B359" s="58" t="s">
        <v>588</v>
      </c>
      <c r="C359" s="45" t="s">
        <v>161</v>
      </c>
      <c r="D359" s="58" t="s">
        <v>341</v>
      </c>
      <c r="E359" s="11" t="s">
        <v>9</v>
      </c>
    </row>
    <row r="360">
      <c r="A360" s="48">
        <v>0.9784722222222222</v>
      </c>
      <c r="B360" s="58" t="s">
        <v>587</v>
      </c>
      <c r="C360" s="45" t="s">
        <v>302</v>
      </c>
      <c r="D360" s="58" t="s">
        <v>585</v>
      </c>
      <c r="E360" s="11" t="s">
        <v>13</v>
      </c>
    </row>
    <row r="361">
      <c r="A361" s="48">
        <v>0.9888888888888889</v>
      </c>
      <c r="B361" s="58" t="s">
        <v>588</v>
      </c>
      <c r="C361" s="45" t="s">
        <v>23</v>
      </c>
      <c r="D361" s="58" t="s">
        <v>586</v>
      </c>
      <c r="E361" s="11" t="s">
        <v>9</v>
      </c>
    </row>
    <row r="362">
      <c r="A362" s="48">
        <v>0.9888888888888889</v>
      </c>
      <c r="B362" s="58" t="s">
        <v>585</v>
      </c>
      <c r="C362" s="45" t="s">
        <v>162</v>
      </c>
      <c r="D362" s="58" t="s">
        <v>341</v>
      </c>
      <c r="E362" s="11" t="s">
        <v>13</v>
      </c>
    </row>
    <row r="363">
      <c r="A363" s="48">
        <v>0.9986111111111111</v>
      </c>
      <c r="B363" s="58" t="s">
        <v>587</v>
      </c>
      <c r="C363" s="45" t="s">
        <v>18</v>
      </c>
      <c r="D363" s="58" t="s">
        <v>586</v>
      </c>
      <c r="E363" s="11" t="s">
        <v>9</v>
      </c>
    </row>
    <row r="364">
      <c r="A364" s="48">
        <v>0.9986111111111111</v>
      </c>
      <c r="B364" s="58" t="s">
        <v>585</v>
      </c>
      <c r="C364" s="45" t="s">
        <v>589</v>
      </c>
      <c r="D364" s="58" t="s">
        <v>588</v>
      </c>
      <c r="E364" s="11" t="s">
        <v>13</v>
      </c>
    </row>
    <row r="365">
      <c r="A365" s="48">
        <v>0.009027777777777777</v>
      </c>
      <c r="B365" s="58" t="s">
        <v>586</v>
      </c>
      <c r="C365" s="45" t="s">
        <v>248</v>
      </c>
      <c r="D365" s="58" t="s">
        <v>585</v>
      </c>
      <c r="E365" s="11" t="s">
        <v>9</v>
      </c>
    </row>
    <row r="366">
      <c r="A366" s="48">
        <v>0.009027777777777777</v>
      </c>
      <c r="B366" s="58" t="s">
        <v>587</v>
      </c>
      <c r="C366" s="45" t="s">
        <v>7</v>
      </c>
      <c r="D366" s="58" t="s">
        <v>341</v>
      </c>
      <c r="E366" s="11" t="s">
        <v>13</v>
      </c>
    </row>
    <row r="367">
      <c r="A367" s="48">
        <v>0.019444444444444445</v>
      </c>
      <c r="B367" s="58" t="s">
        <v>586</v>
      </c>
      <c r="C367" s="45" t="s">
        <v>210</v>
      </c>
      <c r="D367" s="58" t="s">
        <v>341</v>
      </c>
      <c r="E367" s="11" t="s">
        <v>9</v>
      </c>
    </row>
    <row r="368">
      <c r="A368" s="48">
        <v>0.019444444444444445</v>
      </c>
      <c r="B368" s="58" t="s">
        <v>587</v>
      </c>
      <c r="C368" s="45" t="s">
        <v>162</v>
      </c>
      <c r="D368" s="58" t="s">
        <v>588</v>
      </c>
      <c r="E368" s="11" t="s">
        <v>13</v>
      </c>
    </row>
    <row r="369">
      <c r="A369" s="48">
        <v>0.029166666666666667</v>
      </c>
      <c r="B369" s="58" t="s">
        <v>341</v>
      </c>
      <c r="C369" s="45" t="s">
        <v>20</v>
      </c>
      <c r="D369" s="58" t="s">
        <v>588</v>
      </c>
      <c r="E369" s="11" t="s">
        <v>9</v>
      </c>
    </row>
    <row r="370">
      <c r="A370" s="48">
        <v>0.029166666666666667</v>
      </c>
      <c r="B370" s="58" t="s">
        <v>585</v>
      </c>
      <c r="C370" s="45" t="s">
        <v>155</v>
      </c>
      <c r="D370" s="58" t="s">
        <v>587</v>
      </c>
      <c r="E370" s="11" t="s">
        <v>13</v>
      </c>
    </row>
    <row r="371">
      <c r="A371" s="48">
        <v>0.03958333333333333</v>
      </c>
      <c r="B371" s="58" t="s">
        <v>586</v>
      </c>
      <c r="C371" s="45" t="s">
        <v>158</v>
      </c>
      <c r="D371" s="58" t="s">
        <v>588</v>
      </c>
      <c r="E371" s="11" t="s">
        <v>9</v>
      </c>
    </row>
    <row r="372">
      <c r="A372" s="48">
        <v>0.03958333333333333</v>
      </c>
      <c r="B372" s="58" t="s">
        <v>341</v>
      </c>
      <c r="C372" s="45" t="s">
        <v>301</v>
      </c>
      <c r="D372" s="58" t="s">
        <v>585</v>
      </c>
      <c r="E372" s="11" t="s">
        <v>13</v>
      </c>
    </row>
    <row r="373">
      <c r="A373" s="48">
        <v>0.05</v>
      </c>
      <c r="B373" s="58" t="s">
        <v>586</v>
      </c>
      <c r="C373" s="45" t="s">
        <v>182</v>
      </c>
      <c r="D373" s="58" t="s">
        <v>587</v>
      </c>
      <c r="E373" s="11" t="s">
        <v>9</v>
      </c>
    </row>
    <row r="374">
      <c r="A374" s="48">
        <v>0.05</v>
      </c>
      <c r="B374" s="58" t="s">
        <v>588</v>
      </c>
      <c r="C374" s="45" t="s">
        <v>173</v>
      </c>
      <c r="D374" s="58" t="s">
        <v>585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58" t="s">
        <v>590</v>
      </c>
      <c r="C377" s="45" t="s">
        <v>162</v>
      </c>
      <c r="D377" s="58" t="s">
        <v>591</v>
      </c>
      <c r="E377" s="11" t="s">
        <v>29</v>
      </c>
    </row>
    <row r="378">
      <c r="A378" s="48">
        <v>0.9583333333333334</v>
      </c>
      <c r="B378" s="58" t="s">
        <v>140</v>
      </c>
      <c r="C378" s="45" t="s">
        <v>203</v>
      </c>
      <c r="D378" s="58" t="s">
        <v>592</v>
      </c>
      <c r="E378" s="11" t="s">
        <v>33</v>
      </c>
    </row>
    <row r="379">
      <c r="A379" s="48">
        <v>0.9680555555555556</v>
      </c>
      <c r="B379" s="58" t="s">
        <v>140</v>
      </c>
      <c r="C379" s="45" t="s">
        <v>7</v>
      </c>
      <c r="D379" s="58" t="s">
        <v>591</v>
      </c>
      <c r="E379" s="11" t="s">
        <v>29</v>
      </c>
    </row>
    <row r="380">
      <c r="A380" s="48">
        <v>0.9680555555555556</v>
      </c>
      <c r="B380" s="58" t="s">
        <v>593</v>
      </c>
      <c r="C380" s="45" t="s">
        <v>336</v>
      </c>
      <c r="D380" s="58" t="s">
        <v>592</v>
      </c>
      <c r="E380" s="11" t="s">
        <v>33</v>
      </c>
    </row>
    <row r="381">
      <c r="A381" s="48">
        <v>0.9784722222222222</v>
      </c>
      <c r="B381" s="58" t="s">
        <v>593</v>
      </c>
      <c r="C381" s="45" t="s">
        <v>352</v>
      </c>
      <c r="D381" s="58" t="s">
        <v>140</v>
      </c>
      <c r="E381" s="11" t="s">
        <v>29</v>
      </c>
    </row>
    <row r="382">
      <c r="A382" s="48">
        <v>0.9784722222222222</v>
      </c>
      <c r="B382" s="58" t="s">
        <v>592</v>
      </c>
      <c r="C382" s="45" t="s">
        <v>576</v>
      </c>
      <c r="D382" s="58" t="s">
        <v>590</v>
      </c>
      <c r="E382" s="11" t="s">
        <v>33</v>
      </c>
    </row>
    <row r="383">
      <c r="A383" s="48">
        <v>0.9888888888888889</v>
      </c>
      <c r="B383" s="58" t="s">
        <v>593</v>
      </c>
      <c r="C383" s="45" t="s">
        <v>338</v>
      </c>
      <c r="D383" s="58" t="s">
        <v>591</v>
      </c>
      <c r="E383" s="11" t="s">
        <v>29</v>
      </c>
    </row>
    <row r="384">
      <c r="A384" s="48">
        <v>0.9888888888888889</v>
      </c>
      <c r="B384" s="58" t="s">
        <v>590</v>
      </c>
      <c r="C384" s="45" t="s">
        <v>155</v>
      </c>
      <c r="D384" s="58" t="s">
        <v>140</v>
      </c>
      <c r="E384" s="11" t="s">
        <v>33</v>
      </c>
    </row>
    <row r="385">
      <c r="A385" s="48">
        <v>0.9986111111111111</v>
      </c>
      <c r="B385" s="58" t="s">
        <v>592</v>
      </c>
      <c r="C385" s="45" t="s">
        <v>271</v>
      </c>
      <c r="D385" s="58" t="s">
        <v>591</v>
      </c>
      <c r="E385" s="11" t="s">
        <v>29</v>
      </c>
    </row>
    <row r="386">
      <c r="A386" s="48">
        <v>0.9986111111111111</v>
      </c>
      <c r="B386" s="58" t="s">
        <v>590</v>
      </c>
      <c r="C386" s="45" t="s">
        <v>184</v>
      </c>
      <c r="D386" s="58" t="s">
        <v>593</v>
      </c>
      <c r="E386" s="11" t="s">
        <v>33</v>
      </c>
    </row>
    <row r="387">
      <c r="A387" s="48">
        <v>0.009027777777777777</v>
      </c>
      <c r="B387" s="58" t="s">
        <v>591</v>
      </c>
      <c r="C387" s="45" t="s">
        <v>173</v>
      </c>
      <c r="D387" s="58" t="s">
        <v>590</v>
      </c>
      <c r="E387" s="11" t="s">
        <v>29</v>
      </c>
    </row>
    <row r="388">
      <c r="A388" s="48">
        <v>0.009027777777777777</v>
      </c>
      <c r="B388" s="58" t="s">
        <v>592</v>
      </c>
      <c r="C388" s="45" t="s">
        <v>477</v>
      </c>
      <c r="D388" s="58" t="s">
        <v>140</v>
      </c>
      <c r="E388" s="11" t="s">
        <v>33</v>
      </c>
    </row>
    <row r="389">
      <c r="A389" s="48">
        <v>0.019444444444444445</v>
      </c>
      <c r="B389" s="58" t="s">
        <v>591</v>
      </c>
      <c r="C389" s="45" t="s">
        <v>594</v>
      </c>
      <c r="D389" s="58" t="s">
        <v>140</v>
      </c>
      <c r="E389" s="11" t="s">
        <v>29</v>
      </c>
    </row>
    <row r="390">
      <c r="A390" s="48">
        <v>0.019444444444444445</v>
      </c>
      <c r="B390" s="58" t="s">
        <v>592</v>
      </c>
      <c r="C390" s="45" t="s">
        <v>17</v>
      </c>
      <c r="D390" s="58" t="s">
        <v>593</v>
      </c>
      <c r="E390" s="11" t="s">
        <v>33</v>
      </c>
    </row>
    <row r="391">
      <c r="A391" s="48">
        <v>0.029166666666666667</v>
      </c>
      <c r="B391" s="58" t="s">
        <v>140</v>
      </c>
      <c r="C391" s="45" t="s">
        <v>219</v>
      </c>
      <c r="D391" s="58" t="s">
        <v>593</v>
      </c>
      <c r="E391" s="11" t="s">
        <v>29</v>
      </c>
    </row>
    <row r="392">
      <c r="A392" s="48">
        <v>0.029166666666666667</v>
      </c>
      <c r="B392" s="58" t="s">
        <v>590</v>
      </c>
      <c r="C392" s="45" t="s">
        <v>41</v>
      </c>
      <c r="D392" s="58" t="s">
        <v>592</v>
      </c>
      <c r="E392" s="11" t="s">
        <v>33</v>
      </c>
    </row>
    <row r="393">
      <c r="A393" s="48">
        <v>0.03958333333333333</v>
      </c>
      <c r="B393" s="58" t="s">
        <v>591</v>
      </c>
      <c r="C393" s="45" t="s">
        <v>327</v>
      </c>
      <c r="D393" s="58" t="s">
        <v>593</v>
      </c>
      <c r="E393" s="11" t="s">
        <v>29</v>
      </c>
    </row>
    <row r="394">
      <c r="A394" s="48">
        <v>0.03958333333333333</v>
      </c>
      <c r="B394" s="58" t="s">
        <v>140</v>
      </c>
      <c r="C394" s="45" t="s">
        <v>16</v>
      </c>
      <c r="D394" s="58" t="s">
        <v>590</v>
      </c>
      <c r="E394" s="11" t="s">
        <v>33</v>
      </c>
    </row>
    <row r="395">
      <c r="A395" s="48">
        <v>0.05</v>
      </c>
      <c r="B395" s="58" t="s">
        <v>591</v>
      </c>
      <c r="C395" s="45" t="s">
        <v>316</v>
      </c>
      <c r="D395" s="58" t="s">
        <v>592</v>
      </c>
      <c r="E395" s="11" t="s">
        <v>29</v>
      </c>
    </row>
    <row r="396">
      <c r="A396" s="48">
        <v>0.05</v>
      </c>
      <c r="B396" s="58" t="s">
        <v>593</v>
      </c>
      <c r="C396" s="45" t="s">
        <v>225</v>
      </c>
      <c r="D396" s="58" t="s">
        <v>590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595</v>
      </c>
      <c r="C3" s="57" t="s">
        <v>404</v>
      </c>
      <c r="D3" s="62" t="s">
        <v>596</v>
      </c>
      <c r="E3" s="11" t="s">
        <v>9</v>
      </c>
    </row>
    <row r="4">
      <c r="A4" s="7">
        <v>0.0625</v>
      </c>
      <c r="B4" s="61" t="s">
        <v>597</v>
      </c>
      <c r="C4" s="57" t="s">
        <v>16</v>
      </c>
      <c r="D4" s="61" t="s">
        <v>598</v>
      </c>
      <c r="E4" s="11" t="s">
        <v>13</v>
      </c>
    </row>
    <row r="5">
      <c r="A5" s="7">
        <v>0.07222222222222222</v>
      </c>
      <c r="B5" s="62" t="s">
        <v>597</v>
      </c>
      <c r="C5" s="57" t="s">
        <v>279</v>
      </c>
      <c r="D5" s="61" t="s">
        <v>596</v>
      </c>
      <c r="E5" s="11" t="s">
        <v>9</v>
      </c>
    </row>
    <row r="6">
      <c r="A6" s="7">
        <v>0.07222222222222222</v>
      </c>
      <c r="B6" s="61" t="s">
        <v>599</v>
      </c>
      <c r="C6" s="57" t="s">
        <v>173</v>
      </c>
      <c r="D6" s="62" t="s">
        <v>598</v>
      </c>
      <c r="E6" s="11" t="s">
        <v>13</v>
      </c>
    </row>
    <row r="7">
      <c r="A7" s="7">
        <v>0.08263888888888889</v>
      </c>
      <c r="B7" s="62" t="s">
        <v>599</v>
      </c>
      <c r="C7" s="57" t="s">
        <v>173</v>
      </c>
      <c r="D7" s="61" t="s">
        <v>597</v>
      </c>
      <c r="E7" s="11" t="s">
        <v>9</v>
      </c>
    </row>
    <row r="8">
      <c r="A8" s="7">
        <v>0.08263888888888889</v>
      </c>
      <c r="B8" s="61" t="s">
        <v>598</v>
      </c>
      <c r="C8" s="57" t="s">
        <v>194</v>
      </c>
      <c r="D8" s="61" t="s">
        <v>595</v>
      </c>
      <c r="E8" s="11" t="s">
        <v>13</v>
      </c>
    </row>
    <row r="9">
      <c r="A9" s="7">
        <v>0.09305555555555556</v>
      </c>
      <c r="B9" s="62" t="s">
        <v>599</v>
      </c>
      <c r="C9" s="57" t="s">
        <v>19</v>
      </c>
      <c r="D9" s="62" t="s">
        <v>596</v>
      </c>
      <c r="E9" s="11" t="s">
        <v>9</v>
      </c>
    </row>
    <row r="10">
      <c r="A10" s="7">
        <v>0.09305555555555556</v>
      </c>
      <c r="B10" s="61" t="s">
        <v>595</v>
      </c>
      <c r="C10" s="57" t="s">
        <v>222</v>
      </c>
      <c r="D10" s="61" t="s">
        <v>597</v>
      </c>
      <c r="E10" s="11" t="s">
        <v>13</v>
      </c>
    </row>
    <row r="11">
      <c r="A11" s="7">
        <v>0.10277777777777777</v>
      </c>
      <c r="B11" s="62" t="s">
        <v>598</v>
      </c>
      <c r="C11" s="57" t="s">
        <v>177</v>
      </c>
      <c r="D11" s="61" t="s">
        <v>596</v>
      </c>
      <c r="E11" s="11" t="s">
        <v>9</v>
      </c>
    </row>
    <row r="12">
      <c r="A12" s="7">
        <v>0.10277777777777777</v>
      </c>
      <c r="B12" s="61" t="s">
        <v>595</v>
      </c>
      <c r="C12" s="57" t="s">
        <v>195</v>
      </c>
      <c r="D12" s="62" t="s">
        <v>599</v>
      </c>
      <c r="E12" s="11" t="s">
        <v>13</v>
      </c>
    </row>
    <row r="13">
      <c r="A13" s="7">
        <v>0.11319444444444444</v>
      </c>
      <c r="B13" s="62" t="s">
        <v>596</v>
      </c>
      <c r="C13" s="57" t="s">
        <v>193</v>
      </c>
      <c r="D13" s="61" t="s">
        <v>595</v>
      </c>
      <c r="E13" s="11" t="s">
        <v>9</v>
      </c>
    </row>
    <row r="14">
      <c r="A14" s="7">
        <v>0.11319444444444444</v>
      </c>
      <c r="B14" s="61" t="s">
        <v>598</v>
      </c>
      <c r="C14" s="57" t="s">
        <v>162</v>
      </c>
      <c r="D14" s="61" t="s">
        <v>597</v>
      </c>
      <c r="E14" s="11" t="s">
        <v>13</v>
      </c>
    </row>
    <row r="15">
      <c r="A15" s="7">
        <v>0.12361111111111112</v>
      </c>
      <c r="B15" s="61" t="s">
        <v>596</v>
      </c>
      <c r="C15" s="45" t="s">
        <v>366</v>
      </c>
      <c r="D15" s="62" t="s">
        <v>597</v>
      </c>
      <c r="E15" s="11" t="s">
        <v>9</v>
      </c>
    </row>
    <row r="16">
      <c r="A16" s="7">
        <v>0.12361111111111112</v>
      </c>
      <c r="B16" s="62" t="s">
        <v>598</v>
      </c>
      <c r="C16" s="45" t="s">
        <v>517</v>
      </c>
      <c r="D16" s="61" t="s">
        <v>599</v>
      </c>
      <c r="E16" s="11" t="s">
        <v>13</v>
      </c>
    </row>
    <row r="17">
      <c r="A17" s="7">
        <v>0.13333333333333333</v>
      </c>
      <c r="B17" s="61" t="s">
        <v>597</v>
      </c>
      <c r="C17" s="45" t="s">
        <v>250</v>
      </c>
      <c r="D17" s="62" t="s">
        <v>599</v>
      </c>
      <c r="E17" s="11" t="s">
        <v>9</v>
      </c>
    </row>
    <row r="18">
      <c r="A18" s="7">
        <v>0.13333333333333333</v>
      </c>
      <c r="B18" s="61" t="s">
        <v>595</v>
      </c>
      <c r="C18" s="45" t="s">
        <v>163</v>
      </c>
      <c r="D18" s="61" t="s">
        <v>598</v>
      </c>
      <c r="E18" s="11" t="s">
        <v>13</v>
      </c>
    </row>
    <row r="19">
      <c r="A19" s="7">
        <v>0.14375</v>
      </c>
      <c r="B19" s="62" t="s">
        <v>596</v>
      </c>
      <c r="C19" s="45" t="s">
        <v>157</v>
      </c>
      <c r="D19" s="62" t="s">
        <v>599</v>
      </c>
      <c r="E19" s="11" t="s">
        <v>9</v>
      </c>
    </row>
    <row r="20">
      <c r="A20" s="7">
        <v>0.14375</v>
      </c>
      <c r="B20" s="61" t="s">
        <v>597</v>
      </c>
      <c r="C20" s="45" t="s">
        <v>18</v>
      </c>
      <c r="D20" s="61" t="s">
        <v>595</v>
      </c>
      <c r="E20" s="11" t="s">
        <v>13</v>
      </c>
    </row>
    <row r="21">
      <c r="A21" s="7">
        <v>0.15416666666666667</v>
      </c>
      <c r="B21" s="61" t="s">
        <v>596</v>
      </c>
      <c r="C21" s="45" t="s">
        <v>193</v>
      </c>
      <c r="D21" s="62" t="s">
        <v>598</v>
      </c>
      <c r="E21" s="11" t="s">
        <v>9</v>
      </c>
    </row>
    <row r="22">
      <c r="A22" s="7">
        <v>0.15416666666666667</v>
      </c>
      <c r="B22" s="62" t="s">
        <v>599</v>
      </c>
      <c r="C22" s="45" t="s">
        <v>16</v>
      </c>
      <c r="D22" s="61" t="s">
        <v>595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600</v>
      </c>
      <c r="C25" s="45" t="s">
        <v>601</v>
      </c>
      <c r="D25" s="61" t="s">
        <v>118</v>
      </c>
      <c r="E25" s="11" t="s">
        <v>29</v>
      </c>
    </row>
    <row r="26">
      <c r="A26" s="7">
        <v>0.0625</v>
      </c>
      <c r="B26" s="61" t="s">
        <v>485</v>
      </c>
      <c r="C26" s="45" t="s">
        <v>17</v>
      </c>
      <c r="D26" s="61" t="s">
        <v>602</v>
      </c>
      <c r="E26" s="11" t="s">
        <v>33</v>
      </c>
    </row>
    <row r="27">
      <c r="A27" s="7">
        <v>0.07222222222222222</v>
      </c>
      <c r="B27" s="62" t="s">
        <v>485</v>
      </c>
      <c r="C27" s="45" t="s">
        <v>158</v>
      </c>
      <c r="D27" s="62" t="s">
        <v>118</v>
      </c>
      <c r="E27" s="11" t="s">
        <v>29</v>
      </c>
    </row>
    <row r="28">
      <c r="A28" s="7">
        <v>0.07222222222222222</v>
      </c>
      <c r="B28" s="61" t="s">
        <v>603</v>
      </c>
      <c r="C28" s="45" t="s">
        <v>158</v>
      </c>
      <c r="D28" s="61" t="s">
        <v>602</v>
      </c>
      <c r="E28" s="11" t="s">
        <v>33</v>
      </c>
    </row>
    <row r="29">
      <c r="A29" s="7">
        <v>0.08263888888888889</v>
      </c>
      <c r="B29" s="62" t="s">
        <v>603</v>
      </c>
      <c r="C29" s="45" t="s">
        <v>376</v>
      </c>
      <c r="D29" s="61" t="s">
        <v>485</v>
      </c>
      <c r="E29" s="11" t="s">
        <v>29</v>
      </c>
    </row>
    <row r="30">
      <c r="A30" s="7">
        <v>0.08263888888888889</v>
      </c>
      <c r="B30" s="61" t="s">
        <v>602</v>
      </c>
      <c r="C30" s="45" t="s">
        <v>324</v>
      </c>
      <c r="D30" s="61" t="s">
        <v>600</v>
      </c>
      <c r="E30" s="11" t="s">
        <v>33</v>
      </c>
    </row>
    <row r="31">
      <c r="A31" s="7">
        <v>0.09305555555555556</v>
      </c>
      <c r="B31" s="62" t="s">
        <v>603</v>
      </c>
      <c r="C31" s="45" t="s">
        <v>158</v>
      </c>
      <c r="D31" s="61" t="s">
        <v>118</v>
      </c>
      <c r="E31" s="11" t="s">
        <v>29</v>
      </c>
    </row>
    <row r="32">
      <c r="A32" s="7">
        <v>0.09305555555555556</v>
      </c>
      <c r="B32" s="61" t="s">
        <v>600</v>
      </c>
      <c r="C32" s="45" t="s">
        <v>42</v>
      </c>
      <c r="D32" s="62" t="s">
        <v>485</v>
      </c>
      <c r="E32" s="11" t="s">
        <v>33</v>
      </c>
    </row>
    <row r="33">
      <c r="A33" s="7">
        <v>0.10277777777777777</v>
      </c>
      <c r="B33" s="61" t="s">
        <v>602</v>
      </c>
      <c r="C33" s="45" t="s">
        <v>313</v>
      </c>
      <c r="D33" s="61" t="s">
        <v>118</v>
      </c>
      <c r="E33" s="11" t="s">
        <v>29</v>
      </c>
    </row>
    <row r="34">
      <c r="A34" s="7">
        <v>0.10277777777777777</v>
      </c>
      <c r="B34" s="61" t="s">
        <v>600</v>
      </c>
      <c r="C34" s="45" t="s">
        <v>338</v>
      </c>
      <c r="D34" s="61" t="s">
        <v>603</v>
      </c>
      <c r="E34" s="11" t="s">
        <v>33</v>
      </c>
    </row>
    <row r="35">
      <c r="A35" s="7">
        <v>0.11319444444444444</v>
      </c>
      <c r="B35" s="61" t="s">
        <v>118</v>
      </c>
      <c r="C35" s="45" t="s">
        <v>14</v>
      </c>
      <c r="D35" s="61" t="s">
        <v>600</v>
      </c>
      <c r="E35" s="11" t="s">
        <v>29</v>
      </c>
    </row>
    <row r="36">
      <c r="A36" s="7">
        <v>0.11319444444444444</v>
      </c>
      <c r="B36" s="61" t="s">
        <v>602</v>
      </c>
      <c r="C36" s="45" t="s">
        <v>23</v>
      </c>
      <c r="D36" s="61" t="s">
        <v>485</v>
      </c>
      <c r="E36" s="11" t="s">
        <v>33</v>
      </c>
    </row>
    <row r="37">
      <c r="A37" s="7">
        <v>0.12361111111111112</v>
      </c>
      <c r="B37" s="62" t="s">
        <v>118</v>
      </c>
      <c r="C37" s="45" t="s">
        <v>248</v>
      </c>
      <c r="D37" s="62" t="s">
        <v>485</v>
      </c>
      <c r="E37" s="11" t="s">
        <v>29</v>
      </c>
    </row>
    <row r="38">
      <c r="A38" s="7">
        <v>0.12361111111111112</v>
      </c>
      <c r="B38" s="61" t="s">
        <v>602</v>
      </c>
      <c r="C38" s="45" t="s">
        <v>185</v>
      </c>
      <c r="D38" s="61" t="s">
        <v>603</v>
      </c>
      <c r="E38" s="11" t="s">
        <v>33</v>
      </c>
    </row>
    <row r="39">
      <c r="A39" s="7">
        <v>0.13333333333333333</v>
      </c>
      <c r="B39" s="61" t="s">
        <v>485</v>
      </c>
      <c r="C39" s="45" t="s">
        <v>464</v>
      </c>
      <c r="D39" s="62" t="s">
        <v>603</v>
      </c>
      <c r="E39" s="11" t="s">
        <v>29</v>
      </c>
    </row>
    <row r="40">
      <c r="A40" s="7">
        <v>0.13333333333333333</v>
      </c>
      <c r="B40" s="61" t="s">
        <v>600</v>
      </c>
      <c r="C40" s="45" t="s">
        <v>239</v>
      </c>
      <c r="D40" s="61" t="s">
        <v>602</v>
      </c>
      <c r="E40" s="11" t="s">
        <v>33</v>
      </c>
    </row>
    <row r="41">
      <c r="A41" s="7">
        <v>0.14375</v>
      </c>
      <c r="B41" s="61" t="s">
        <v>118</v>
      </c>
      <c r="C41" s="45" t="s">
        <v>193</v>
      </c>
      <c r="D41" s="62" t="s">
        <v>603</v>
      </c>
      <c r="E41" s="11" t="s">
        <v>29</v>
      </c>
    </row>
    <row r="42">
      <c r="A42" s="7">
        <v>0.14375</v>
      </c>
      <c r="B42" s="62" t="s">
        <v>485</v>
      </c>
      <c r="C42" s="45" t="s">
        <v>394</v>
      </c>
      <c r="D42" s="61" t="s">
        <v>600</v>
      </c>
      <c r="E42" s="11" t="s">
        <v>33</v>
      </c>
    </row>
    <row r="43">
      <c r="A43" s="7">
        <v>0.15416666666666667</v>
      </c>
      <c r="B43" s="61" t="s">
        <v>118</v>
      </c>
      <c r="C43" s="45" t="s">
        <v>324</v>
      </c>
      <c r="D43" s="61" t="s">
        <v>602</v>
      </c>
      <c r="E43" s="11" t="s">
        <v>29</v>
      </c>
    </row>
    <row r="44">
      <c r="A44" s="7">
        <v>0.15416666666666667</v>
      </c>
      <c r="B44" s="61" t="s">
        <v>603</v>
      </c>
      <c r="C44" s="45" t="s">
        <v>301</v>
      </c>
      <c r="D44" s="61" t="s">
        <v>600</v>
      </c>
      <c r="E44" s="11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1" t="s">
        <v>604</v>
      </c>
      <c r="C47" s="45" t="s">
        <v>161</v>
      </c>
      <c r="D47" s="61" t="s">
        <v>605</v>
      </c>
      <c r="E47" s="11" t="s">
        <v>9</v>
      </c>
    </row>
    <row r="48">
      <c r="A48" s="7">
        <v>0.16666666666666666</v>
      </c>
      <c r="B48" s="61" t="s">
        <v>606</v>
      </c>
      <c r="C48" s="45" t="s">
        <v>16</v>
      </c>
      <c r="D48" s="61" t="s">
        <v>607</v>
      </c>
      <c r="E48" s="11" t="s">
        <v>13</v>
      </c>
    </row>
    <row r="49">
      <c r="A49" s="7">
        <v>0.1763888888888889</v>
      </c>
      <c r="B49" s="61" t="s">
        <v>606</v>
      </c>
      <c r="C49" s="45" t="s">
        <v>352</v>
      </c>
      <c r="D49" s="61" t="s">
        <v>605</v>
      </c>
      <c r="E49" s="11" t="s">
        <v>9</v>
      </c>
    </row>
    <row r="50">
      <c r="A50" s="7">
        <v>0.1763888888888889</v>
      </c>
      <c r="B50" s="61" t="s">
        <v>608</v>
      </c>
      <c r="C50" s="45" t="s">
        <v>344</v>
      </c>
      <c r="D50" s="61" t="s">
        <v>607</v>
      </c>
      <c r="E50" s="11" t="s">
        <v>13</v>
      </c>
    </row>
    <row r="51">
      <c r="A51" s="7">
        <v>0.18680555555555556</v>
      </c>
      <c r="B51" s="61" t="s">
        <v>608</v>
      </c>
      <c r="C51" s="45" t="s">
        <v>278</v>
      </c>
      <c r="D51" s="61" t="s">
        <v>606</v>
      </c>
      <c r="E51" s="11" t="s">
        <v>9</v>
      </c>
    </row>
    <row r="52">
      <c r="A52" s="7">
        <v>0.18680555555555556</v>
      </c>
      <c r="B52" s="61" t="s">
        <v>607</v>
      </c>
      <c r="C52" s="45" t="s">
        <v>202</v>
      </c>
      <c r="D52" s="61" t="s">
        <v>604</v>
      </c>
      <c r="E52" s="11" t="s">
        <v>13</v>
      </c>
      <c r="G52" s="50" t="s">
        <v>505</v>
      </c>
    </row>
    <row r="53">
      <c r="A53" s="7">
        <v>0.19722222222222222</v>
      </c>
      <c r="B53" s="61" t="s">
        <v>608</v>
      </c>
      <c r="C53" s="45" t="s">
        <v>609</v>
      </c>
      <c r="D53" s="61" t="s">
        <v>605</v>
      </c>
      <c r="E53" s="11" t="s">
        <v>9</v>
      </c>
    </row>
    <row r="54">
      <c r="A54" s="7">
        <v>0.19722222222222222</v>
      </c>
      <c r="B54" s="61" t="s">
        <v>604</v>
      </c>
      <c r="C54" s="45" t="s">
        <v>344</v>
      </c>
      <c r="D54" s="61" t="s">
        <v>606</v>
      </c>
      <c r="E54" s="11" t="s">
        <v>13</v>
      </c>
    </row>
    <row r="55">
      <c r="A55" s="7">
        <v>0.20694444444444443</v>
      </c>
      <c r="B55" s="61" t="s">
        <v>607</v>
      </c>
      <c r="C55" s="45" t="s">
        <v>43</v>
      </c>
      <c r="D55" s="61" t="s">
        <v>605</v>
      </c>
      <c r="E55" s="11" t="s">
        <v>9</v>
      </c>
    </row>
    <row r="56">
      <c r="A56" s="7">
        <v>0.20694444444444443</v>
      </c>
      <c r="B56" s="61" t="s">
        <v>604</v>
      </c>
      <c r="C56" s="45" t="s">
        <v>195</v>
      </c>
      <c r="D56" s="61" t="s">
        <v>608</v>
      </c>
      <c r="E56" s="11" t="s">
        <v>13</v>
      </c>
    </row>
    <row r="57">
      <c r="A57" s="7">
        <v>0.21736111111111112</v>
      </c>
      <c r="B57" s="61" t="s">
        <v>605</v>
      </c>
      <c r="C57" s="45" t="s">
        <v>158</v>
      </c>
      <c r="D57" s="61" t="s">
        <v>604</v>
      </c>
      <c r="E57" s="11" t="s">
        <v>9</v>
      </c>
    </row>
    <row r="58">
      <c r="A58" s="7">
        <v>0.21736111111111112</v>
      </c>
      <c r="B58" s="61" t="s">
        <v>607</v>
      </c>
      <c r="C58" s="45" t="s">
        <v>208</v>
      </c>
      <c r="D58" s="61" t="s">
        <v>606</v>
      </c>
      <c r="E58" s="11" t="s">
        <v>13</v>
      </c>
    </row>
    <row r="59">
      <c r="A59" s="7">
        <v>0.22777777777777777</v>
      </c>
      <c r="B59" s="61" t="s">
        <v>605</v>
      </c>
      <c r="C59" s="45" t="s">
        <v>251</v>
      </c>
      <c r="D59" s="61" t="s">
        <v>606</v>
      </c>
      <c r="E59" s="11" t="s">
        <v>9</v>
      </c>
    </row>
    <row r="60">
      <c r="A60" s="7">
        <v>0.22777777777777777</v>
      </c>
      <c r="B60" s="61" t="s">
        <v>607</v>
      </c>
      <c r="C60" s="45" t="s">
        <v>43</v>
      </c>
      <c r="D60" s="61" t="s">
        <v>608</v>
      </c>
      <c r="E60" s="11" t="s">
        <v>13</v>
      </c>
    </row>
    <row r="61">
      <c r="A61" s="7">
        <v>0.2375</v>
      </c>
      <c r="B61" s="61" t="s">
        <v>606</v>
      </c>
      <c r="C61" s="45" t="s">
        <v>41</v>
      </c>
      <c r="D61" s="61" t="s">
        <v>608</v>
      </c>
      <c r="E61" s="11" t="s">
        <v>9</v>
      </c>
    </row>
    <row r="62">
      <c r="A62" s="7">
        <v>0.2375</v>
      </c>
      <c r="B62" s="61" t="s">
        <v>604</v>
      </c>
      <c r="C62" s="45" t="s">
        <v>290</v>
      </c>
      <c r="D62" s="61" t="s">
        <v>607</v>
      </c>
      <c r="E62" s="11" t="s">
        <v>13</v>
      </c>
    </row>
    <row r="63">
      <c r="A63" s="7">
        <v>0.24791666666666667</v>
      </c>
      <c r="B63" s="61" t="s">
        <v>605</v>
      </c>
      <c r="C63" s="45" t="s">
        <v>158</v>
      </c>
      <c r="D63" s="61" t="s">
        <v>608</v>
      </c>
      <c r="E63" s="11" t="s">
        <v>9</v>
      </c>
    </row>
    <row r="64">
      <c r="A64" s="7">
        <v>0.24791666666666667</v>
      </c>
      <c r="B64" s="61" t="s">
        <v>606</v>
      </c>
      <c r="C64" s="45" t="s">
        <v>610</v>
      </c>
      <c r="D64" s="61" t="s">
        <v>604</v>
      </c>
      <c r="E64" s="11" t="s">
        <v>13</v>
      </c>
    </row>
    <row r="65">
      <c r="A65" s="7">
        <v>0.25833333333333336</v>
      </c>
      <c r="B65" s="61" t="s">
        <v>605</v>
      </c>
      <c r="C65" s="45" t="s">
        <v>362</v>
      </c>
      <c r="D65" s="61" t="s">
        <v>607</v>
      </c>
      <c r="E65" s="11" t="s">
        <v>9</v>
      </c>
    </row>
    <row r="66">
      <c r="A66" s="7">
        <v>0.25833333333333336</v>
      </c>
      <c r="B66" s="61" t="s">
        <v>608</v>
      </c>
      <c r="C66" s="45" t="s">
        <v>301</v>
      </c>
      <c r="D66" s="61" t="s">
        <v>604</v>
      </c>
      <c r="E66" s="11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1" t="s">
        <v>611</v>
      </c>
      <c r="C69" s="45" t="s">
        <v>323</v>
      </c>
      <c r="D69" s="61" t="s">
        <v>499</v>
      </c>
      <c r="E69" s="11" t="s">
        <v>29</v>
      </c>
    </row>
    <row r="70">
      <c r="A70" s="7">
        <v>0.16666666666666666</v>
      </c>
      <c r="B70" s="61" t="s">
        <v>612</v>
      </c>
      <c r="C70" s="45" t="s">
        <v>18</v>
      </c>
      <c r="D70" s="61" t="s">
        <v>613</v>
      </c>
      <c r="E70" s="11" t="s">
        <v>33</v>
      </c>
    </row>
    <row r="71">
      <c r="A71" s="7">
        <v>0.1763888888888889</v>
      </c>
      <c r="B71" s="61" t="s">
        <v>612</v>
      </c>
      <c r="C71" s="45" t="s">
        <v>161</v>
      </c>
      <c r="D71" s="61" t="s">
        <v>499</v>
      </c>
      <c r="E71" s="11" t="s">
        <v>29</v>
      </c>
    </row>
    <row r="72">
      <c r="A72" s="7">
        <v>0.1763888888888889</v>
      </c>
      <c r="B72" s="61" t="s">
        <v>614</v>
      </c>
      <c r="C72" s="45" t="s">
        <v>181</v>
      </c>
      <c r="D72" s="61" t="s">
        <v>613</v>
      </c>
      <c r="E72" s="11" t="s">
        <v>33</v>
      </c>
    </row>
    <row r="73">
      <c r="A73" s="7">
        <v>0.18680555555555556</v>
      </c>
      <c r="B73" s="61" t="s">
        <v>614</v>
      </c>
      <c r="C73" s="45" t="s">
        <v>16</v>
      </c>
      <c r="D73" s="61" t="s">
        <v>612</v>
      </c>
      <c r="E73" s="11" t="s">
        <v>29</v>
      </c>
    </row>
    <row r="74">
      <c r="A74" s="7">
        <v>0.18680555555555556</v>
      </c>
      <c r="B74" s="61" t="s">
        <v>613</v>
      </c>
      <c r="C74" s="45" t="s">
        <v>164</v>
      </c>
      <c r="D74" s="61" t="s">
        <v>611</v>
      </c>
      <c r="E74" s="11" t="s">
        <v>33</v>
      </c>
    </row>
    <row r="75">
      <c r="A75" s="7">
        <v>0.19722222222222222</v>
      </c>
      <c r="B75" s="61" t="s">
        <v>614</v>
      </c>
      <c r="C75" s="45" t="s">
        <v>182</v>
      </c>
      <c r="D75" s="61" t="s">
        <v>499</v>
      </c>
      <c r="E75" s="11" t="s">
        <v>29</v>
      </c>
    </row>
    <row r="76">
      <c r="A76" s="7">
        <v>0.19722222222222222</v>
      </c>
      <c r="B76" s="61" t="s">
        <v>611</v>
      </c>
      <c r="C76" s="45" t="s">
        <v>218</v>
      </c>
      <c r="D76" s="61" t="s">
        <v>612</v>
      </c>
      <c r="E76" s="11" t="s">
        <v>33</v>
      </c>
    </row>
    <row r="77">
      <c r="A77" s="7">
        <v>0.20694444444444443</v>
      </c>
      <c r="B77" s="61" t="s">
        <v>613</v>
      </c>
      <c r="C77" s="45" t="s">
        <v>185</v>
      </c>
      <c r="D77" s="61" t="s">
        <v>499</v>
      </c>
      <c r="E77" s="11" t="s">
        <v>29</v>
      </c>
    </row>
    <row r="78">
      <c r="A78" s="7">
        <v>0.20694444444444443</v>
      </c>
      <c r="B78" s="61" t="s">
        <v>611</v>
      </c>
      <c r="C78" s="45" t="s">
        <v>357</v>
      </c>
      <c r="D78" s="61" t="s">
        <v>614</v>
      </c>
      <c r="E78" s="11" t="s">
        <v>33</v>
      </c>
    </row>
    <row r="79">
      <c r="A79" s="7">
        <v>0.21736111111111112</v>
      </c>
      <c r="B79" s="61" t="s">
        <v>499</v>
      </c>
      <c r="C79" s="45" t="s">
        <v>487</v>
      </c>
      <c r="D79" s="61" t="s">
        <v>611</v>
      </c>
      <c r="E79" s="11" t="s">
        <v>29</v>
      </c>
    </row>
    <row r="80">
      <c r="A80" s="7">
        <v>0.21736111111111112</v>
      </c>
      <c r="B80" s="61" t="s">
        <v>613</v>
      </c>
      <c r="C80" s="45" t="s">
        <v>7</v>
      </c>
      <c r="D80" s="61" t="s">
        <v>612</v>
      </c>
      <c r="E80" s="11" t="s">
        <v>33</v>
      </c>
    </row>
    <row r="81">
      <c r="A81" s="7">
        <v>0.22777777777777777</v>
      </c>
      <c r="B81" s="61" t="s">
        <v>499</v>
      </c>
      <c r="C81" s="45" t="s">
        <v>271</v>
      </c>
      <c r="D81" s="61" t="s">
        <v>612</v>
      </c>
      <c r="E81" s="11" t="s">
        <v>29</v>
      </c>
    </row>
    <row r="82">
      <c r="A82" s="7">
        <v>0.22777777777777777</v>
      </c>
      <c r="B82" s="61" t="s">
        <v>613</v>
      </c>
      <c r="C82" s="45" t="s">
        <v>193</v>
      </c>
      <c r="D82" s="61" t="s">
        <v>614</v>
      </c>
      <c r="E82" s="11" t="s">
        <v>33</v>
      </c>
    </row>
    <row r="83">
      <c r="A83" s="7">
        <v>0.2375</v>
      </c>
      <c r="B83" s="61" t="s">
        <v>612</v>
      </c>
      <c r="C83" s="45" t="s">
        <v>203</v>
      </c>
      <c r="D83" s="61" t="s">
        <v>614</v>
      </c>
      <c r="E83" s="11" t="s">
        <v>29</v>
      </c>
    </row>
    <row r="84">
      <c r="A84" s="7">
        <v>0.2375</v>
      </c>
      <c r="B84" s="61" t="s">
        <v>611</v>
      </c>
      <c r="C84" s="45" t="s">
        <v>186</v>
      </c>
      <c r="D84" s="61" t="s">
        <v>613</v>
      </c>
      <c r="E84" s="11" t="s">
        <v>33</v>
      </c>
    </row>
    <row r="85">
      <c r="A85" s="7">
        <v>0.24791666666666667</v>
      </c>
      <c r="B85" s="61" t="s">
        <v>499</v>
      </c>
      <c r="C85" s="45" t="s">
        <v>18</v>
      </c>
      <c r="D85" s="61" t="s">
        <v>614</v>
      </c>
      <c r="E85" s="11" t="s">
        <v>29</v>
      </c>
    </row>
    <row r="86">
      <c r="A86" s="7">
        <v>0.24791666666666667</v>
      </c>
      <c r="B86" s="61" t="s">
        <v>612</v>
      </c>
      <c r="C86" s="45" t="s">
        <v>20</v>
      </c>
      <c r="D86" s="61" t="s">
        <v>611</v>
      </c>
      <c r="E86" s="11" t="s">
        <v>33</v>
      </c>
    </row>
    <row r="87">
      <c r="A87" s="7">
        <v>0.25833333333333336</v>
      </c>
      <c r="B87" s="61" t="s">
        <v>499</v>
      </c>
      <c r="C87" s="45" t="s">
        <v>11</v>
      </c>
      <c r="D87" s="61" t="s">
        <v>613</v>
      </c>
      <c r="E87" s="11" t="s">
        <v>29</v>
      </c>
    </row>
    <row r="88">
      <c r="A88" s="7">
        <v>0.25833333333333336</v>
      </c>
      <c r="B88" s="61" t="s">
        <v>614</v>
      </c>
      <c r="C88" s="45" t="s">
        <v>233</v>
      </c>
      <c r="D88" s="61" t="s">
        <v>611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5" t="s">
        <v>615</v>
      </c>
      <c r="C91" s="45" t="s">
        <v>43</v>
      </c>
      <c r="D91" s="65" t="s">
        <v>616</v>
      </c>
      <c r="E91" s="11" t="s">
        <v>9</v>
      </c>
    </row>
    <row r="92">
      <c r="A92" s="48">
        <v>0.3333333333333333</v>
      </c>
      <c r="B92" s="65" t="s">
        <v>617</v>
      </c>
      <c r="C92" s="45" t="s">
        <v>222</v>
      </c>
      <c r="D92" s="65" t="s">
        <v>618</v>
      </c>
      <c r="E92" s="11" t="s">
        <v>13</v>
      </c>
    </row>
    <row r="93">
      <c r="A93" s="48">
        <v>0.34305555555555556</v>
      </c>
      <c r="B93" s="65" t="s">
        <v>617</v>
      </c>
      <c r="C93" s="45" t="s">
        <v>165</v>
      </c>
      <c r="D93" s="65" t="s">
        <v>616</v>
      </c>
      <c r="E93" s="11" t="s">
        <v>9</v>
      </c>
    </row>
    <row r="94">
      <c r="A94" s="48">
        <v>0.34305555555555556</v>
      </c>
      <c r="B94" s="65" t="s">
        <v>619</v>
      </c>
      <c r="C94" s="45" t="s">
        <v>344</v>
      </c>
      <c r="D94" s="65" t="s">
        <v>618</v>
      </c>
      <c r="E94" s="11" t="s">
        <v>13</v>
      </c>
    </row>
    <row r="95">
      <c r="A95" s="48">
        <v>0.35347222222222224</v>
      </c>
      <c r="B95" s="65" t="s">
        <v>619</v>
      </c>
      <c r="C95" s="45" t="s">
        <v>193</v>
      </c>
      <c r="D95" s="65" t="s">
        <v>617</v>
      </c>
      <c r="E95" s="11" t="s">
        <v>9</v>
      </c>
    </row>
    <row r="96">
      <c r="A96" s="48">
        <v>0.35347222222222224</v>
      </c>
      <c r="B96" s="65" t="s">
        <v>618</v>
      </c>
      <c r="C96" s="45" t="s">
        <v>19</v>
      </c>
      <c r="D96" s="65" t="s">
        <v>615</v>
      </c>
      <c r="E96" s="11" t="s">
        <v>13</v>
      </c>
    </row>
    <row r="97">
      <c r="A97" s="48">
        <v>0.3638888888888889</v>
      </c>
      <c r="B97" s="65" t="s">
        <v>619</v>
      </c>
      <c r="C97" s="45" t="s">
        <v>165</v>
      </c>
      <c r="D97" s="65" t="s">
        <v>616</v>
      </c>
      <c r="E97" s="11" t="s">
        <v>9</v>
      </c>
    </row>
    <row r="98">
      <c r="A98" s="48">
        <v>0.3638888888888889</v>
      </c>
      <c r="B98" s="65" t="s">
        <v>615</v>
      </c>
      <c r="C98" s="45" t="s">
        <v>426</v>
      </c>
      <c r="D98" s="65" t="s">
        <v>617</v>
      </c>
      <c r="E98" s="11" t="s">
        <v>13</v>
      </c>
    </row>
    <row r="99">
      <c r="A99" s="48">
        <v>0.3736111111111111</v>
      </c>
      <c r="B99" s="65" t="s">
        <v>618</v>
      </c>
      <c r="C99" s="45" t="s">
        <v>20</v>
      </c>
      <c r="D99" s="65" t="s">
        <v>616</v>
      </c>
      <c r="E99" s="11" t="s">
        <v>9</v>
      </c>
    </row>
    <row r="100">
      <c r="A100" s="48">
        <v>0.3736111111111111</v>
      </c>
      <c r="B100" s="65" t="s">
        <v>615</v>
      </c>
      <c r="C100" s="45" t="s">
        <v>545</v>
      </c>
      <c r="D100" s="65" t="s">
        <v>619</v>
      </c>
      <c r="E100" s="11" t="s">
        <v>13</v>
      </c>
    </row>
    <row r="101">
      <c r="A101" s="48">
        <v>0.3840277777777778</v>
      </c>
      <c r="B101" s="65" t="s">
        <v>616</v>
      </c>
      <c r="C101" s="45" t="s">
        <v>16</v>
      </c>
      <c r="D101" s="65" t="s">
        <v>615</v>
      </c>
      <c r="E101" s="11" t="s">
        <v>9</v>
      </c>
    </row>
    <row r="102">
      <c r="A102" s="48">
        <v>0.3840277777777778</v>
      </c>
      <c r="B102" s="65" t="s">
        <v>618</v>
      </c>
      <c r="C102" s="45" t="s">
        <v>195</v>
      </c>
      <c r="D102" s="65" t="s">
        <v>617</v>
      </c>
      <c r="E102" s="11" t="s">
        <v>13</v>
      </c>
    </row>
    <row r="103">
      <c r="A103" s="48">
        <v>0.39444444444444443</v>
      </c>
      <c r="B103" s="65" t="s">
        <v>616</v>
      </c>
      <c r="C103" s="45" t="s">
        <v>18</v>
      </c>
      <c r="D103" s="65" t="s">
        <v>617</v>
      </c>
      <c r="E103" s="11" t="s">
        <v>9</v>
      </c>
    </row>
    <row r="104">
      <c r="A104" s="48">
        <v>0.39444444444444443</v>
      </c>
      <c r="B104" s="65" t="s">
        <v>618</v>
      </c>
      <c r="C104" s="45" t="s">
        <v>357</v>
      </c>
      <c r="D104" s="65" t="s">
        <v>619</v>
      </c>
      <c r="E104" s="11" t="s">
        <v>13</v>
      </c>
    </row>
    <row r="105">
      <c r="A105" s="48">
        <v>0.4041666666666667</v>
      </c>
      <c r="B105" s="65" t="s">
        <v>617</v>
      </c>
      <c r="C105" s="45" t="s">
        <v>195</v>
      </c>
      <c r="D105" s="65" t="s">
        <v>619</v>
      </c>
      <c r="E105" s="11" t="s">
        <v>9</v>
      </c>
    </row>
    <row r="106">
      <c r="A106" s="48">
        <v>0.4041666666666667</v>
      </c>
      <c r="B106" s="65" t="s">
        <v>615</v>
      </c>
      <c r="C106" s="45" t="s">
        <v>271</v>
      </c>
      <c r="D106" s="65" t="s">
        <v>618</v>
      </c>
      <c r="E106" s="11" t="s">
        <v>13</v>
      </c>
    </row>
    <row r="107">
      <c r="A107" s="48">
        <v>0.41458333333333336</v>
      </c>
      <c r="B107" s="65" t="s">
        <v>616</v>
      </c>
      <c r="C107" s="45" t="s">
        <v>18</v>
      </c>
      <c r="D107" s="65" t="s">
        <v>619</v>
      </c>
      <c r="E107" s="11" t="s">
        <v>9</v>
      </c>
    </row>
    <row r="108">
      <c r="A108" s="48">
        <v>0.41458333333333336</v>
      </c>
      <c r="B108" s="65" t="s">
        <v>617</v>
      </c>
      <c r="C108" s="45" t="s">
        <v>19</v>
      </c>
      <c r="D108" s="65" t="s">
        <v>615</v>
      </c>
      <c r="E108" s="11" t="s">
        <v>13</v>
      </c>
    </row>
    <row r="109">
      <c r="A109" s="48">
        <v>0.425</v>
      </c>
      <c r="B109" s="65" t="s">
        <v>616</v>
      </c>
      <c r="C109" s="45" t="s">
        <v>193</v>
      </c>
      <c r="D109" s="65" t="s">
        <v>618</v>
      </c>
      <c r="E109" s="11" t="s">
        <v>9</v>
      </c>
    </row>
    <row r="110">
      <c r="A110" s="48">
        <v>0.425</v>
      </c>
      <c r="B110" s="65" t="s">
        <v>619</v>
      </c>
      <c r="C110" s="45" t="s">
        <v>620</v>
      </c>
      <c r="D110" s="65" t="s">
        <v>615</v>
      </c>
      <c r="E110" s="11" t="s">
        <v>13</v>
      </c>
    </row>
    <row r="111">
      <c r="A111" s="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61" t="s">
        <v>621</v>
      </c>
      <c r="C113" s="45" t="s">
        <v>20</v>
      </c>
      <c r="D113" s="61" t="s">
        <v>622</v>
      </c>
      <c r="E113" s="11" t="s">
        <v>29</v>
      </c>
    </row>
    <row r="114">
      <c r="A114" s="30">
        <v>0.3333333333333333</v>
      </c>
      <c r="B114" s="61" t="s">
        <v>623</v>
      </c>
      <c r="C114" s="45" t="s">
        <v>464</v>
      </c>
      <c r="D114" s="61" t="s">
        <v>624</v>
      </c>
      <c r="E114" s="11" t="s">
        <v>33</v>
      </c>
    </row>
    <row r="115">
      <c r="A115" s="30">
        <v>0.34305555555555556</v>
      </c>
      <c r="B115" s="61" t="s">
        <v>623</v>
      </c>
      <c r="C115" s="45" t="s">
        <v>220</v>
      </c>
      <c r="D115" s="61" t="s">
        <v>622</v>
      </c>
      <c r="E115" s="11" t="s">
        <v>29</v>
      </c>
    </row>
    <row r="116">
      <c r="A116" s="30">
        <v>0.34305555555555556</v>
      </c>
      <c r="B116" s="61" t="s">
        <v>625</v>
      </c>
      <c r="C116" s="45" t="s">
        <v>7</v>
      </c>
      <c r="D116" s="61" t="s">
        <v>624</v>
      </c>
      <c r="E116" s="11" t="s">
        <v>33</v>
      </c>
    </row>
    <row r="117">
      <c r="A117" s="30">
        <v>0.35347222222222224</v>
      </c>
      <c r="B117" s="61" t="s">
        <v>625</v>
      </c>
      <c r="C117" s="45" t="s">
        <v>278</v>
      </c>
      <c r="D117" s="61" t="s">
        <v>623</v>
      </c>
      <c r="E117" s="11" t="s">
        <v>29</v>
      </c>
    </row>
    <row r="118">
      <c r="A118" s="30">
        <v>0.35347222222222224</v>
      </c>
      <c r="B118" s="61" t="s">
        <v>624</v>
      </c>
      <c r="C118" s="45" t="s">
        <v>155</v>
      </c>
      <c r="D118" s="61" t="s">
        <v>621</v>
      </c>
      <c r="E118" s="11" t="s">
        <v>33</v>
      </c>
    </row>
    <row r="119">
      <c r="A119" s="30">
        <v>0.3638888888888889</v>
      </c>
      <c r="B119" s="61" t="s">
        <v>625</v>
      </c>
      <c r="C119" s="45" t="s">
        <v>301</v>
      </c>
      <c r="D119" s="61" t="s">
        <v>622</v>
      </c>
      <c r="E119" s="11" t="s">
        <v>29</v>
      </c>
    </row>
    <row r="120">
      <c r="A120" s="30">
        <v>0.3638888888888889</v>
      </c>
      <c r="B120" s="61" t="s">
        <v>621</v>
      </c>
      <c r="C120" s="45" t="s">
        <v>545</v>
      </c>
      <c r="D120" s="61" t="s">
        <v>623</v>
      </c>
      <c r="E120" s="11" t="s">
        <v>33</v>
      </c>
    </row>
    <row r="121">
      <c r="A121" s="30">
        <v>0.3736111111111111</v>
      </c>
      <c r="B121" s="61" t="s">
        <v>624</v>
      </c>
      <c r="C121" s="45" t="s">
        <v>181</v>
      </c>
      <c r="D121" s="61" t="s">
        <v>622</v>
      </c>
      <c r="E121" s="11" t="s">
        <v>29</v>
      </c>
    </row>
    <row r="122">
      <c r="A122" s="30">
        <v>0.3736111111111111</v>
      </c>
      <c r="B122" s="61" t="s">
        <v>621</v>
      </c>
      <c r="C122" s="45" t="s">
        <v>164</v>
      </c>
      <c r="D122" s="61" t="s">
        <v>625</v>
      </c>
      <c r="E122" s="11" t="s">
        <v>33</v>
      </c>
    </row>
    <row r="123">
      <c r="A123" s="30">
        <v>0.3840277777777778</v>
      </c>
      <c r="B123" s="61" t="s">
        <v>622</v>
      </c>
      <c r="C123" s="45" t="s">
        <v>626</v>
      </c>
      <c r="D123" s="61" t="s">
        <v>621</v>
      </c>
      <c r="E123" s="11" t="s">
        <v>29</v>
      </c>
    </row>
    <row r="124">
      <c r="A124" s="30">
        <v>0.3840277777777778</v>
      </c>
      <c r="B124" s="61" t="s">
        <v>624</v>
      </c>
      <c r="C124" s="45" t="s">
        <v>248</v>
      </c>
      <c r="D124" s="61" t="s">
        <v>623</v>
      </c>
      <c r="E124" s="11" t="s">
        <v>33</v>
      </c>
    </row>
    <row r="125">
      <c r="A125" s="30">
        <v>0.39444444444444443</v>
      </c>
      <c r="B125" s="61" t="s">
        <v>622</v>
      </c>
      <c r="C125" s="45" t="s">
        <v>185</v>
      </c>
      <c r="D125" s="61" t="s">
        <v>623</v>
      </c>
      <c r="E125" s="11" t="s">
        <v>29</v>
      </c>
    </row>
    <row r="126">
      <c r="A126" s="30">
        <v>0.39444444444444443</v>
      </c>
      <c r="B126" s="61" t="s">
        <v>624</v>
      </c>
      <c r="C126" s="45" t="s">
        <v>193</v>
      </c>
      <c r="D126" s="61" t="s">
        <v>625</v>
      </c>
      <c r="E126" s="11" t="s">
        <v>33</v>
      </c>
    </row>
    <row r="127">
      <c r="A127" s="30">
        <v>0.4041666666666667</v>
      </c>
      <c r="B127" s="61" t="s">
        <v>623</v>
      </c>
      <c r="C127" s="45" t="s">
        <v>162</v>
      </c>
      <c r="D127" s="61" t="s">
        <v>625</v>
      </c>
      <c r="E127" s="11" t="s">
        <v>29</v>
      </c>
    </row>
    <row r="128">
      <c r="A128" s="30">
        <v>0.4041666666666667</v>
      </c>
      <c r="B128" s="61" t="s">
        <v>621</v>
      </c>
      <c r="C128" s="45" t="s">
        <v>383</v>
      </c>
      <c r="D128" s="61" t="s">
        <v>624</v>
      </c>
      <c r="E128" s="11" t="s">
        <v>33</v>
      </c>
    </row>
    <row r="129">
      <c r="A129" s="30">
        <v>0.41458333333333336</v>
      </c>
      <c r="B129" s="61" t="s">
        <v>622</v>
      </c>
      <c r="C129" s="45" t="s">
        <v>193</v>
      </c>
      <c r="D129" s="61" t="s">
        <v>625</v>
      </c>
      <c r="E129" s="11" t="s">
        <v>29</v>
      </c>
    </row>
    <row r="130">
      <c r="A130" s="30">
        <v>0.41458333333333336</v>
      </c>
      <c r="B130" s="61" t="s">
        <v>623</v>
      </c>
      <c r="C130" s="45" t="s">
        <v>41</v>
      </c>
      <c r="D130" s="61" t="s">
        <v>621</v>
      </c>
      <c r="E130" s="11" t="s">
        <v>33</v>
      </c>
    </row>
    <row r="131">
      <c r="A131" s="30">
        <v>0.425</v>
      </c>
      <c r="B131" s="61" t="s">
        <v>622</v>
      </c>
      <c r="C131" s="45" t="s">
        <v>289</v>
      </c>
      <c r="D131" s="61" t="s">
        <v>624</v>
      </c>
      <c r="E131" s="11" t="s">
        <v>29</v>
      </c>
    </row>
    <row r="132">
      <c r="A132" s="30">
        <v>0.425</v>
      </c>
      <c r="B132" s="61" t="s">
        <v>625</v>
      </c>
      <c r="C132" s="45" t="s">
        <v>301</v>
      </c>
      <c r="D132" s="61" t="s">
        <v>621</v>
      </c>
      <c r="E132" s="11" t="s">
        <v>33</v>
      </c>
    </row>
    <row r="133">
      <c r="A133" s="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627</v>
      </c>
      <c r="C135" s="57" t="s">
        <v>311</v>
      </c>
      <c r="D135" s="61" t="s">
        <v>628</v>
      </c>
      <c r="E135" s="11" t="s">
        <v>9</v>
      </c>
    </row>
    <row r="136">
      <c r="A136" s="48">
        <v>0.4375</v>
      </c>
      <c r="B136" s="61" t="s">
        <v>629</v>
      </c>
      <c r="C136" s="57" t="s">
        <v>229</v>
      </c>
      <c r="D136" s="61" t="s">
        <v>630</v>
      </c>
      <c r="E136" s="11" t="s">
        <v>13</v>
      </c>
    </row>
    <row r="137">
      <c r="A137" s="48">
        <v>0.44722222222222224</v>
      </c>
      <c r="B137" s="61" t="s">
        <v>629</v>
      </c>
      <c r="C137" s="54" t="s">
        <v>158</v>
      </c>
      <c r="D137" s="61" t="s">
        <v>628</v>
      </c>
      <c r="E137" s="11" t="s">
        <v>9</v>
      </c>
    </row>
    <row r="138">
      <c r="A138" s="48">
        <v>0.44722222222222224</v>
      </c>
      <c r="B138" s="61" t="s">
        <v>631</v>
      </c>
      <c r="C138" s="57" t="s">
        <v>168</v>
      </c>
      <c r="D138" s="61" t="s">
        <v>630</v>
      </c>
      <c r="E138" s="11" t="s">
        <v>13</v>
      </c>
    </row>
    <row r="139">
      <c r="A139" s="48">
        <v>0.4576388888888889</v>
      </c>
      <c r="B139" s="61" t="s">
        <v>631</v>
      </c>
      <c r="C139" s="57" t="s">
        <v>233</v>
      </c>
      <c r="D139" s="61" t="s">
        <v>629</v>
      </c>
      <c r="E139" s="11" t="s">
        <v>9</v>
      </c>
    </row>
    <row r="140">
      <c r="A140" s="48">
        <v>0.4576388888888889</v>
      </c>
      <c r="B140" s="61" t="s">
        <v>630</v>
      </c>
      <c r="C140" s="57" t="s">
        <v>244</v>
      </c>
      <c r="D140" s="61" t="s">
        <v>627</v>
      </c>
      <c r="E140" s="11" t="s">
        <v>13</v>
      </c>
    </row>
    <row r="141">
      <c r="A141" s="48">
        <v>0.46805555555555556</v>
      </c>
      <c r="B141" s="61" t="s">
        <v>631</v>
      </c>
      <c r="C141" s="57" t="s">
        <v>166</v>
      </c>
      <c r="D141" s="61" t="s">
        <v>628</v>
      </c>
      <c r="E141" s="11" t="s">
        <v>9</v>
      </c>
    </row>
    <row r="142">
      <c r="A142" s="48">
        <v>0.46805555555555556</v>
      </c>
      <c r="B142" s="61" t="s">
        <v>627</v>
      </c>
      <c r="C142" s="57" t="s">
        <v>279</v>
      </c>
      <c r="D142" s="61" t="s">
        <v>629</v>
      </c>
      <c r="E142" s="11" t="s">
        <v>13</v>
      </c>
    </row>
    <row r="143">
      <c r="A143" s="48">
        <v>0.4777777777777778</v>
      </c>
      <c r="B143" s="61" t="s">
        <v>630</v>
      </c>
      <c r="C143" s="57" t="s">
        <v>286</v>
      </c>
      <c r="D143" s="61" t="s">
        <v>628</v>
      </c>
      <c r="E143" s="11" t="s">
        <v>9</v>
      </c>
    </row>
    <row r="144">
      <c r="A144" s="48">
        <v>0.4777777777777778</v>
      </c>
      <c r="B144" s="61" t="s">
        <v>627</v>
      </c>
      <c r="C144" s="57" t="s">
        <v>157</v>
      </c>
      <c r="D144" s="61" t="s">
        <v>631</v>
      </c>
      <c r="E144" s="11" t="s">
        <v>13</v>
      </c>
    </row>
    <row r="145">
      <c r="A145" s="48">
        <v>0.48819444444444443</v>
      </c>
      <c r="B145" s="61" t="s">
        <v>628</v>
      </c>
      <c r="C145" s="57" t="s">
        <v>257</v>
      </c>
      <c r="D145" s="61" t="s">
        <v>627</v>
      </c>
      <c r="E145" s="11" t="s">
        <v>9</v>
      </c>
    </row>
    <row r="146">
      <c r="A146" s="48">
        <v>0.48819444444444443</v>
      </c>
      <c r="B146" s="61" t="s">
        <v>630</v>
      </c>
      <c r="C146" s="57" t="s">
        <v>525</v>
      </c>
      <c r="D146" s="61" t="s">
        <v>629</v>
      </c>
      <c r="E146" s="11" t="s">
        <v>13</v>
      </c>
    </row>
    <row r="147">
      <c r="A147" s="48">
        <v>0.4986111111111111</v>
      </c>
      <c r="B147" s="61" t="s">
        <v>628</v>
      </c>
      <c r="C147" s="45" t="s">
        <v>576</v>
      </c>
      <c r="D147" s="61" t="s">
        <v>629</v>
      </c>
      <c r="E147" s="11" t="s">
        <v>9</v>
      </c>
    </row>
    <row r="148">
      <c r="A148" s="48">
        <v>0.4986111111111111</v>
      </c>
      <c r="B148" s="61" t="s">
        <v>630</v>
      </c>
      <c r="C148" s="45" t="s">
        <v>248</v>
      </c>
      <c r="D148" s="61" t="s">
        <v>631</v>
      </c>
      <c r="E148" s="11" t="s">
        <v>13</v>
      </c>
    </row>
    <row r="149">
      <c r="A149" s="48">
        <v>0.5083333333333333</v>
      </c>
      <c r="B149" s="61" t="s">
        <v>629</v>
      </c>
      <c r="C149" s="45" t="s">
        <v>39</v>
      </c>
      <c r="D149" s="61" t="s">
        <v>631</v>
      </c>
      <c r="E149" s="11" t="s">
        <v>9</v>
      </c>
    </row>
    <row r="150">
      <c r="A150" s="48">
        <v>0.5083333333333333</v>
      </c>
      <c r="B150" s="61" t="s">
        <v>627</v>
      </c>
      <c r="C150" s="45" t="s">
        <v>219</v>
      </c>
      <c r="D150" s="61" t="s">
        <v>630</v>
      </c>
      <c r="E150" s="11" t="s">
        <v>13</v>
      </c>
    </row>
    <row r="151">
      <c r="A151" s="48">
        <v>0.51875</v>
      </c>
      <c r="B151" s="61" t="s">
        <v>628</v>
      </c>
      <c r="C151" s="45" t="s">
        <v>632</v>
      </c>
      <c r="D151" s="61" t="s">
        <v>631</v>
      </c>
      <c r="E151" s="11" t="s">
        <v>9</v>
      </c>
    </row>
    <row r="152">
      <c r="A152" s="48">
        <v>0.51875</v>
      </c>
      <c r="B152" s="61" t="s">
        <v>629</v>
      </c>
      <c r="C152" s="45" t="s">
        <v>222</v>
      </c>
      <c r="D152" s="61" t="s">
        <v>627</v>
      </c>
      <c r="E152" s="11" t="s">
        <v>13</v>
      </c>
    </row>
    <row r="153">
      <c r="A153" s="48">
        <v>0.5291666666666667</v>
      </c>
      <c r="B153" s="61" t="s">
        <v>628</v>
      </c>
      <c r="C153" s="45" t="s">
        <v>301</v>
      </c>
      <c r="D153" s="61" t="s">
        <v>630</v>
      </c>
      <c r="E153" s="11" t="s">
        <v>9</v>
      </c>
    </row>
    <row r="154">
      <c r="A154" s="48">
        <v>0.5291666666666667</v>
      </c>
      <c r="B154" s="61" t="s">
        <v>631</v>
      </c>
      <c r="C154" s="45" t="s">
        <v>344</v>
      </c>
      <c r="D154" s="61" t="s">
        <v>627</v>
      </c>
      <c r="E154" s="11" t="s">
        <v>13</v>
      </c>
    </row>
    <row r="155">
      <c r="A155" s="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633</v>
      </c>
      <c r="C157" s="45" t="s">
        <v>24</v>
      </c>
      <c r="D157" s="61" t="s">
        <v>634</v>
      </c>
      <c r="E157" s="11" t="s">
        <v>29</v>
      </c>
    </row>
    <row r="158">
      <c r="A158" s="48">
        <v>0.4375</v>
      </c>
      <c r="B158" s="61" t="s">
        <v>635</v>
      </c>
      <c r="C158" s="45" t="s">
        <v>610</v>
      </c>
      <c r="D158" s="61" t="s">
        <v>636</v>
      </c>
      <c r="E158" s="11" t="s">
        <v>33</v>
      </c>
    </row>
    <row r="159">
      <c r="A159" s="48">
        <v>0.44722222222222224</v>
      </c>
      <c r="B159" s="61" t="s">
        <v>635</v>
      </c>
      <c r="C159" s="45" t="s">
        <v>14</v>
      </c>
      <c r="D159" s="61" t="s">
        <v>634</v>
      </c>
      <c r="E159" s="11" t="s">
        <v>29</v>
      </c>
    </row>
    <row r="160">
      <c r="A160" s="48">
        <v>0.44722222222222224</v>
      </c>
      <c r="B160" s="61" t="s">
        <v>637</v>
      </c>
      <c r="C160" s="45" t="s">
        <v>38</v>
      </c>
      <c r="D160" s="61" t="s">
        <v>636</v>
      </c>
      <c r="E160" s="11" t="s">
        <v>33</v>
      </c>
    </row>
    <row r="161">
      <c r="A161" s="48">
        <v>0.4576388888888889</v>
      </c>
      <c r="B161" s="61" t="s">
        <v>637</v>
      </c>
      <c r="C161" s="45" t="s">
        <v>344</v>
      </c>
      <c r="D161" s="61" t="s">
        <v>635</v>
      </c>
      <c r="E161" s="11" t="s">
        <v>29</v>
      </c>
    </row>
    <row r="162">
      <c r="A162" s="48">
        <v>0.4576388888888889</v>
      </c>
      <c r="B162" s="61" t="s">
        <v>636</v>
      </c>
      <c r="C162" s="45" t="s">
        <v>280</v>
      </c>
      <c r="D162" s="61" t="s">
        <v>633</v>
      </c>
      <c r="E162" s="11" t="s">
        <v>33</v>
      </c>
    </row>
    <row r="163">
      <c r="A163" s="48">
        <v>0.46805555555555556</v>
      </c>
      <c r="B163" s="61" t="s">
        <v>637</v>
      </c>
      <c r="C163" s="45" t="s">
        <v>161</v>
      </c>
      <c r="D163" s="61" t="s">
        <v>634</v>
      </c>
      <c r="E163" s="11" t="s">
        <v>29</v>
      </c>
    </row>
    <row r="164">
      <c r="A164" s="48">
        <v>0.46805555555555556</v>
      </c>
      <c r="B164" s="61" t="s">
        <v>633</v>
      </c>
      <c r="C164" s="45" t="s">
        <v>290</v>
      </c>
      <c r="D164" s="61" t="s">
        <v>635</v>
      </c>
      <c r="E164" s="11" t="s">
        <v>33</v>
      </c>
    </row>
    <row r="165">
      <c r="A165" s="48">
        <v>0.4777777777777778</v>
      </c>
      <c r="B165" s="61" t="s">
        <v>636</v>
      </c>
      <c r="C165" s="45" t="s">
        <v>23</v>
      </c>
      <c r="D165" s="61" t="s">
        <v>634</v>
      </c>
      <c r="E165" s="11" t="s">
        <v>29</v>
      </c>
    </row>
    <row r="166">
      <c r="A166" s="48">
        <v>0.4777777777777778</v>
      </c>
      <c r="B166" s="61" t="s">
        <v>633</v>
      </c>
      <c r="C166" s="45" t="s">
        <v>39</v>
      </c>
      <c r="D166" s="61" t="s">
        <v>637</v>
      </c>
      <c r="E166" s="11" t="s">
        <v>33</v>
      </c>
    </row>
    <row r="167">
      <c r="A167" s="48">
        <v>0.48819444444444443</v>
      </c>
      <c r="B167" s="61" t="s">
        <v>634</v>
      </c>
      <c r="C167" s="45" t="s">
        <v>23</v>
      </c>
      <c r="D167" s="61" t="s">
        <v>633</v>
      </c>
      <c r="E167" s="11" t="s">
        <v>29</v>
      </c>
    </row>
    <row r="168">
      <c r="A168" s="48">
        <v>0.48819444444444443</v>
      </c>
      <c r="B168" s="61" t="s">
        <v>636</v>
      </c>
      <c r="C168" s="45" t="s">
        <v>248</v>
      </c>
      <c r="D168" s="61" t="s">
        <v>635</v>
      </c>
      <c r="E168" s="11" t="s">
        <v>33</v>
      </c>
    </row>
    <row r="169">
      <c r="A169" s="48">
        <v>0.4986111111111111</v>
      </c>
      <c r="B169" s="61" t="s">
        <v>634</v>
      </c>
      <c r="C169" s="45" t="s">
        <v>517</v>
      </c>
      <c r="D169" s="61" t="s">
        <v>635</v>
      </c>
      <c r="E169" s="11" t="s">
        <v>29</v>
      </c>
    </row>
    <row r="170">
      <c r="A170" s="48">
        <v>0.4986111111111111</v>
      </c>
      <c r="B170" s="61" t="s">
        <v>636</v>
      </c>
      <c r="C170" s="45" t="s">
        <v>222</v>
      </c>
      <c r="D170" s="61" t="s">
        <v>637</v>
      </c>
      <c r="E170" s="11" t="s">
        <v>33</v>
      </c>
    </row>
    <row r="171">
      <c r="A171" s="48">
        <v>0.5083333333333333</v>
      </c>
      <c r="B171" s="61" t="s">
        <v>635</v>
      </c>
      <c r="C171" s="45" t="s">
        <v>176</v>
      </c>
      <c r="D171" s="61" t="s">
        <v>637</v>
      </c>
      <c r="E171" s="11" t="s">
        <v>29</v>
      </c>
    </row>
    <row r="172">
      <c r="A172" s="48">
        <v>0.5083333333333333</v>
      </c>
      <c r="B172" s="61" t="s">
        <v>633</v>
      </c>
      <c r="C172" s="45" t="s">
        <v>193</v>
      </c>
      <c r="D172" s="61" t="s">
        <v>636</v>
      </c>
      <c r="E172" s="11" t="s">
        <v>33</v>
      </c>
    </row>
    <row r="173">
      <c r="A173" s="48">
        <v>0.51875</v>
      </c>
      <c r="B173" s="61" t="s">
        <v>634</v>
      </c>
      <c r="C173" s="45" t="s">
        <v>198</v>
      </c>
      <c r="D173" s="61" t="s">
        <v>637</v>
      </c>
      <c r="E173" s="11" t="s">
        <v>29</v>
      </c>
    </row>
    <row r="174">
      <c r="A174" s="48">
        <v>0.51875</v>
      </c>
      <c r="B174" s="61" t="s">
        <v>635</v>
      </c>
      <c r="C174" s="45" t="s">
        <v>187</v>
      </c>
      <c r="D174" s="61" t="s">
        <v>633</v>
      </c>
      <c r="E174" s="11" t="s">
        <v>33</v>
      </c>
    </row>
    <row r="175">
      <c r="A175" s="48">
        <v>0.5291666666666667</v>
      </c>
      <c r="B175" s="61" t="s">
        <v>634</v>
      </c>
      <c r="C175" s="45" t="s">
        <v>638</v>
      </c>
      <c r="D175" s="61" t="s">
        <v>636</v>
      </c>
      <c r="E175" s="11" t="s">
        <v>29</v>
      </c>
    </row>
    <row r="176">
      <c r="A176" s="48">
        <v>0.5291666666666667</v>
      </c>
      <c r="B176" s="61" t="s">
        <v>637</v>
      </c>
      <c r="C176" s="45" t="s">
        <v>525</v>
      </c>
      <c r="D176" s="61" t="s">
        <v>633</v>
      </c>
      <c r="E176" s="11" t="s">
        <v>33</v>
      </c>
    </row>
    <row r="177">
      <c r="A177" s="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639</v>
      </c>
      <c r="C179" s="45" t="s">
        <v>640</v>
      </c>
      <c r="D179" s="61" t="s">
        <v>641</v>
      </c>
      <c r="E179" s="11" t="s">
        <v>9</v>
      </c>
    </row>
    <row r="180">
      <c r="A180" s="48">
        <v>0.5416666666666666</v>
      </c>
      <c r="B180" s="61" t="s">
        <v>642</v>
      </c>
      <c r="C180" s="45" t="s">
        <v>166</v>
      </c>
      <c r="D180" s="61" t="s">
        <v>643</v>
      </c>
      <c r="E180" s="11" t="s">
        <v>13</v>
      </c>
    </row>
    <row r="181">
      <c r="A181" s="48">
        <v>0.5513888888888889</v>
      </c>
      <c r="B181" s="61" t="s">
        <v>642</v>
      </c>
      <c r="C181" s="45" t="s">
        <v>219</v>
      </c>
      <c r="D181" s="61" t="s">
        <v>641</v>
      </c>
      <c r="E181" s="11" t="s">
        <v>9</v>
      </c>
    </row>
    <row r="182">
      <c r="A182" s="48">
        <v>0.5513888888888889</v>
      </c>
      <c r="B182" s="61" t="s">
        <v>619</v>
      </c>
      <c r="C182" s="45" t="s">
        <v>219</v>
      </c>
      <c r="D182" s="61" t="s">
        <v>643</v>
      </c>
      <c r="E182" s="11" t="s">
        <v>13</v>
      </c>
    </row>
    <row r="183">
      <c r="A183" s="48">
        <v>0.5618055555555556</v>
      </c>
      <c r="B183" s="61" t="s">
        <v>619</v>
      </c>
      <c r="C183" s="45" t="s">
        <v>210</v>
      </c>
      <c r="D183" s="61" t="s">
        <v>642</v>
      </c>
      <c r="E183" s="11" t="s">
        <v>9</v>
      </c>
    </row>
    <row r="184">
      <c r="A184" s="48">
        <v>0.5618055555555556</v>
      </c>
      <c r="B184" s="61" t="s">
        <v>643</v>
      </c>
      <c r="C184" s="45" t="s">
        <v>301</v>
      </c>
      <c r="D184" s="61" t="s">
        <v>639</v>
      </c>
      <c r="E184" s="11" t="s">
        <v>13</v>
      </c>
    </row>
    <row r="185">
      <c r="A185" s="48">
        <v>0.5722222222222222</v>
      </c>
      <c r="B185" s="61" t="s">
        <v>619</v>
      </c>
      <c r="C185" s="45" t="s">
        <v>185</v>
      </c>
      <c r="D185" s="61" t="s">
        <v>641</v>
      </c>
      <c r="E185" s="11" t="s">
        <v>9</v>
      </c>
    </row>
    <row r="186">
      <c r="A186" s="48">
        <v>0.5722222222222222</v>
      </c>
      <c r="B186" s="61" t="s">
        <v>639</v>
      </c>
      <c r="C186" s="45" t="s">
        <v>19</v>
      </c>
      <c r="D186" s="61" t="s">
        <v>642</v>
      </c>
      <c r="E186" s="11" t="s">
        <v>13</v>
      </c>
    </row>
    <row r="187">
      <c r="A187" s="48">
        <v>0.5819444444444445</v>
      </c>
      <c r="B187" s="61" t="s">
        <v>643</v>
      </c>
      <c r="C187" s="45" t="s">
        <v>357</v>
      </c>
      <c r="D187" s="61" t="s">
        <v>641</v>
      </c>
      <c r="E187" s="11" t="s">
        <v>9</v>
      </c>
    </row>
    <row r="188">
      <c r="A188" s="48">
        <v>0.5819444444444445</v>
      </c>
      <c r="B188" s="61" t="s">
        <v>639</v>
      </c>
      <c r="C188" s="45" t="s">
        <v>196</v>
      </c>
      <c r="D188" s="61" t="s">
        <v>619</v>
      </c>
      <c r="E188" s="11" t="s">
        <v>13</v>
      </c>
    </row>
    <row r="189">
      <c r="A189" s="48">
        <v>0.5923611111111111</v>
      </c>
      <c r="B189" s="61" t="s">
        <v>641</v>
      </c>
      <c r="C189" s="45" t="s">
        <v>290</v>
      </c>
      <c r="D189" s="61" t="s">
        <v>639</v>
      </c>
      <c r="E189" s="11" t="s">
        <v>9</v>
      </c>
    </row>
    <row r="190">
      <c r="A190" s="48">
        <v>0.5923611111111111</v>
      </c>
      <c r="B190" s="61" t="s">
        <v>643</v>
      </c>
      <c r="C190" s="45" t="s">
        <v>18</v>
      </c>
      <c r="D190" s="61" t="s">
        <v>642</v>
      </c>
      <c r="E190" s="11" t="s">
        <v>13</v>
      </c>
    </row>
    <row r="191">
      <c r="A191" s="48">
        <v>0.6027777777777777</v>
      </c>
      <c r="B191" s="61" t="s">
        <v>641</v>
      </c>
      <c r="C191" s="45" t="s">
        <v>366</v>
      </c>
      <c r="D191" s="61" t="s">
        <v>642</v>
      </c>
      <c r="E191" s="11" t="s">
        <v>9</v>
      </c>
    </row>
    <row r="192">
      <c r="A192" s="48">
        <v>0.6027777777777777</v>
      </c>
      <c r="B192" s="61" t="s">
        <v>643</v>
      </c>
      <c r="C192" s="45" t="s">
        <v>292</v>
      </c>
      <c r="D192" s="61" t="s">
        <v>619</v>
      </c>
      <c r="E192" s="11" t="s">
        <v>13</v>
      </c>
    </row>
    <row r="193">
      <c r="A193" s="48">
        <v>0.6125</v>
      </c>
      <c r="B193" s="61" t="s">
        <v>642</v>
      </c>
      <c r="C193" s="45" t="s">
        <v>158</v>
      </c>
      <c r="D193" s="61" t="s">
        <v>619</v>
      </c>
      <c r="E193" s="11" t="s">
        <v>9</v>
      </c>
    </row>
    <row r="194">
      <c r="A194" s="48">
        <v>0.6125</v>
      </c>
      <c r="B194" s="61" t="s">
        <v>639</v>
      </c>
      <c r="C194" s="45" t="s">
        <v>279</v>
      </c>
      <c r="D194" s="61" t="s">
        <v>643</v>
      </c>
      <c r="E194" s="11" t="s">
        <v>13</v>
      </c>
    </row>
    <row r="195">
      <c r="A195" s="48">
        <v>0.6229166666666667</v>
      </c>
      <c r="B195" s="61" t="s">
        <v>641</v>
      </c>
      <c r="C195" s="45" t="s">
        <v>292</v>
      </c>
      <c r="D195" s="61" t="s">
        <v>619</v>
      </c>
      <c r="E195" s="11" t="s">
        <v>9</v>
      </c>
    </row>
    <row r="196">
      <c r="A196" s="48">
        <v>0.6229166666666667</v>
      </c>
      <c r="B196" s="61" t="s">
        <v>642</v>
      </c>
      <c r="C196" s="45" t="s">
        <v>19</v>
      </c>
      <c r="D196" s="61" t="s">
        <v>639</v>
      </c>
      <c r="E196" s="11" t="s">
        <v>13</v>
      </c>
    </row>
    <row r="197">
      <c r="A197" s="48">
        <v>0.6333333333333333</v>
      </c>
      <c r="B197" s="61" t="s">
        <v>641</v>
      </c>
      <c r="C197" s="45" t="s">
        <v>210</v>
      </c>
      <c r="D197" s="61" t="s">
        <v>643</v>
      </c>
      <c r="E197" s="11" t="s">
        <v>9</v>
      </c>
    </row>
    <row r="198">
      <c r="A198" s="48">
        <v>0.6333333333333333</v>
      </c>
      <c r="B198" s="61" t="s">
        <v>619</v>
      </c>
      <c r="C198" s="45" t="s">
        <v>161</v>
      </c>
      <c r="D198" s="61" t="s">
        <v>639</v>
      </c>
      <c r="E198" s="11" t="s">
        <v>13</v>
      </c>
    </row>
    <row r="199">
      <c r="A199" s="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644</v>
      </c>
      <c r="C201" s="45" t="s">
        <v>182</v>
      </c>
      <c r="D201" s="61" t="s">
        <v>645</v>
      </c>
      <c r="E201" s="11" t="s">
        <v>29</v>
      </c>
    </row>
    <row r="202">
      <c r="A202" s="48">
        <v>0.5416666666666666</v>
      </c>
      <c r="B202" s="61" t="s">
        <v>646</v>
      </c>
      <c r="C202" s="45" t="s">
        <v>245</v>
      </c>
      <c r="D202" s="61" t="s">
        <v>647</v>
      </c>
      <c r="E202" s="11" t="s">
        <v>33</v>
      </c>
    </row>
    <row r="203">
      <c r="A203" s="48">
        <v>0.5513888888888889</v>
      </c>
      <c r="B203" s="61" t="s">
        <v>646</v>
      </c>
      <c r="C203" s="45" t="s">
        <v>198</v>
      </c>
      <c r="D203" s="61" t="s">
        <v>645</v>
      </c>
      <c r="E203" s="11" t="s">
        <v>29</v>
      </c>
    </row>
    <row r="204">
      <c r="A204" s="48">
        <v>0.5513888888888889</v>
      </c>
      <c r="B204" s="61" t="s">
        <v>648</v>
      </c>
      <c r="C204" s="45" t="s">
        <v>362</v>
      </c>
      <c r="D204" s="61" t="s">
        <v>647</v>
      </c>
      <c r="E204" s="11" t="s">
        <v>33</v>
      </c>
    </row>
    <row r="205">
      <c r="A205" s="48">
        <v>0.5618055555555556</v>
      </c>
      <c r="B205" s="61" t="s">
        <v>648</v>
      </c>
      <c r="C205" s="45" t="s">
        <v>649</v>
      </c>
      <c r="D205" s="61" t="s">
        <v>646</v>
      </c>
      <c r="E205" s="11" t="s">
        <v>29</v>
      </c>
    </row>
    <row r="206">
      <c r="A206" s="48">
        <v>0.5618055555555556</v>
      </c>
      <c r="B206" s="61" t="s">
        <v>647</v>
      </c>
      <c r="C206" s="45" t="s">
        <v>440</v>
      </c>
      <c r="D206" s="61" t="s">
        <v>644</v>
      </c>
      <c r="E206" s="11" t="s">
        <v>33</v>
      </c>
    </row>
    <row r="207">
      <c r="A207" s="48">
        <v>0.5722222222222222</v>
      </c>
      <c r="B207" s="61" t="s">
        <v>648</v>
      </c>
      <c r="C207" s="45" t="s">
        <v>20</v>
      </c>
      <c r="D207" s="61" t="s">
        <v>645</v>
      </c>
      <c r="E207" s="11" t="s">
        <v>29</v>
      </c>
    </row>
    <row r="208">
      <c r="A208" s="48">
        <v>0.5722222222222222</v>
      </c>
      <c r="B208" s="61" t="s">
        <v>644</v>
      </c>
      <c r="C208" s="45" t="s">
        <v>24</v>
      </c>
      <c r="D208" s="61" t="s">
        <v>646</v>
      </c>
      <c r="E208" s="11" t="s">
        <v>33</v>
      </c>
    </row>
    <row r="209">
      <c r="A209" s="48">
        <v>0.5819444444444445</v>
      </c>
      <c r="B209" s="61" t="s">
        <v>647</v>
      </c>
      <c r="C209" s="45" t="s">
        <v>357</v>
      </c>
      <c r="D209" s="61" t="s">
        <v>645</v>
      </c>
      <c r="E209" s="11" t="s">
        <v>29</v>
      </c>
    </row>
    <row r="210">
      <c r="A210" s="48">
        <v>0.5819444444444445</v>
      </c>
      <c r="B210" s="61" t="s">
        <v>644</v>
      </c>
      <c r="C210" s="45" t="s">
        <v>38</v>
      </c>
      <c r="D210" s="61" t="s">
        <v>648</v>
      </c>
      <c r="E210" s="11" t="s">
        <v>33</v>
      </c>
      <c r="G210" s="50"/>
    </row>
    <row r="211">
      <c r="A211" s="48">
        <v>0.5923611111111111</v>
      </c>
      <c r="B211" s="61" t="s">
        <v>645</v>
      </c>
      <c r="C211" s="45" t="s">
        <v>301</v>
      </c>
      <c r="D211" s="61" t="s">
        <v>644</v>
      </c>
      <c r="E211" s="11" t="s">
        <v>29</v>
      </c>
    </row>
    <row r="212">
      <c r="A212" s="48">
        <v>0.5923611111111111</v>
      </c>
      <c r="B212" s="61" t="s">
        <v>647</v>
      </c>
      <c r="C212" s="45" t="s">
        <v>227</v>
      </c>
      <c r="D212" s="61" t="s">
        <v>646</v>
      </c>
      <c r="E212" s="11" t="s">
        <v>33</v>
      </c>
    </row>
    <row r="213">
      <c r="A213" s="48">
        <v>0.6027777777777777</v>
      </c>
      <c r="B213" s="61" t="s">
        <v>645</v>
      </c>
      <c r="C213" s="45" t="s">
        <v>193</v>
      </c>
      <c r="D213" s="61" t="s">
        <v>646</v>
      </c>
      <c r="E213" s="11" t="s">
        <v>29</v>
      </c>
    </row>
    <row r="214">
      <c r="A214" s="48">
        <v>0.6027777777777777</v>
      </c>
      <c r="B214" s="61" t="s">
        <v>647</v>
      </c>
      <c r="C214" s="45" t="s">
        <v>650</v>
      </c>
      <c r="D214" s="61" t="s">
        <v>648</v>
      </c>
      <c r="E214" s="11" t="s">
        <v>33</v>
      </c>
    </row>
    <row r="215">
      <c r="A215" s="48">
        <v>0.6125</v>
      </c>
      <c r="B215" s="61" t="s">
        <v>646</v>
      </c>
      <c r="C215" s="45" t="s">
        <v>640</v>
      </c>
      <c r="D215" s="61" t="s">
        <v>648</v>
      </c>
      <c r="E215" s="11" t="s">
        <v>29</v>
      </c>
    </row>
    <row r="216">
      <c r="A216" s="48">
        <v>0.6125</v>
      </c>
      <c r="B216" s="61" t="s">
        <v>644</v>
      </c>
      <c r="C216" s="45" t="s">
        <v>256</v>
      </c>
      <c r="D216" s="61" t="s">
        <v>647</v>
      </c>
      <c r="E216" s="11" t="s">
        <v>33</v>
      </c>
    </row>
    <row r="217">
      <c r="A217" s="48">
        <v>0.6229166666666667</v>
      </c>
      <c r="B217" s="61" t="s">
        <v>645</v>
      </c>
      <c r="C217" s="45" t="s">
        <v>198</v>
      </c>
      <c r="D217" s="61" t="s">
        <v>648</v>
      </c>
      <c r="E217" s="11" t="s">
        <v>29</v>
      </c>
    </row>
    <row r="218">
      <c r="A218" s="48">
        <v>0.6229166666666667</v>
      </c>
      <c r="B218" s="61" t="s">
        <v>646</v>
      </c>
      <c r="C218" s="45" t="s">
        <v>44</v>
      </c>
      <c r="D218" s="61" t="s">
        <v>644</v>
      </c>
      <c r="E218" s="11" t="s">
        <v>33</v>
      </c>
    </row>
    <row r="219">
      <c r="A219" s="48">
        <v>0.6333333333333333</v>
      </c>
      <c r="B219" s="61" t="s">
        <v>645</v>
      </c>
      <c r="C219" s="45" t="s">
        <v>651</v>
      </c>
      <c r="D219" s="61" t="s">
        <v>647</v>
      </c>
      <c r="E219" s="11" t="s">
        <v>29</v>
      </c>
    </row>
    <row r="220">
      <c r="A220" s="48">
        <v>0.6333333333333333</v>
      </c>
      <c r="B220" s="61" t="s">
        <v>648</v>
      </c>
      <c r="C220" s="45" t="s">
        <v>264</v>
      </c>
      <c r="D220" s="61" t="s">
        <v>644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652</v>
      </c>
      <c r="C223" s="57" t="s">
        <v>325</v>
      </c>
      <c r="D223" s="62" t="s">
        <v>653</v>
      </c>
      <c r="E223" s="11" t="s">
        <v>9</v>
      </c>
    </row>
    <row r="224">
      <c r="A224" s="48">
        <v>0.6458333333333334</v>
      </c>
      <c r="B224" s="62" t="s">
        <v>654</v>
      </c>
      <c r="C224" s="57" t="s">
        <v>220</v>
      </c>
      <c r="D224" s="62" t="s">
        <v>655</v>
      </c>
      <c r="E224" s="11" t="s">
        <v>13</v>
      </c>
    </row>
    <row r="225">
      <c r="A225" s="48">
        <v>0.6555555555555556</v>
      </c>
      <c r="B225" s="62" t="s">
        <v>654</v>
      </c>
      <c r="C225" s="57" t="s">
        <v>41</v>
      </c>
      <c r="D225" s="62" t="s">
        <v>653</v>
      </c>
      <c r="E225" s="11" t="s">
        <v>9</v>
      </c>
    </row>
    <row r="226">
      <c r="A226" s="48">
        <v>0.6555555555555556</v>
      </c>
      <c r="B226" s="62" t="s">
        <v>656</v>
      </c>
      <c r="C226" s="57" t="s">
        <v>257</v>
      </c>
      <c r="D226" s="62" t="s">
        <v>655</v>
      </c>
      <c r="E226" s="11" t="s">
        <v>13</v>
      </c>
    </row>
    <row r="227">
      <c r="A227" s="48">
        <v>0.6659722222222222</v>
      </c>
      <c r="B227" s="62" t="s">
        <v>656</v>
      </c>
      <c r="C227" s="57" t="s">
        <v>418</v>
      </c>
      <c r="D227" s="62" t="s">
        <v>654</v>
      </c>
      <c r="E227" s="11" t="s">
        <v>9</v>
      </c>
    </row>
    <row r="228">
      <c r="A228" s="48">
        <v>0.6659722222222222</v>
      </c>
      <c r="B228" s="62" t="s">
        <v>655</v>
      </c>
      <c r="C228" s="57" t="s">
        <v>264</v>
      </c>
      <c r="D228" s="62" t="s">
        <v>652</v>
      </c>
      <c r="E228" s="11" t="s">
        <v>13</v>
      </c>
    </row>
    <row r="229">
      <c r="A229" s="48">
        <v>0.6763888888888889</v>
      </c>
      <c r="B229" s="62" t="s">
        <v>656</v>
      </c>
      <c r="C229" s="57" t="s">
        <v>165</v>
      </c>
      <c r="D229" s="62" t="s">
        <v>653</v>
      </c>
      <c r="E229" s="11" t="s">
        <v>9</v>
      </c>
    </row>
    <row r="230">
      <c r="A230" s="48">
        <v>0.6763888888888889</v>
      </c>
      <c r="B230" s="62" t="s">
        <v>652</v>
      </c>
      <c r="C230" s="57" t="s">
        <v>17</v>
      </c>
      <c r="D230" s="62" t="s">
        <v>654</v>
      </c>
      <c r="E230" s="11" t="s">
        <v>13</v>
      </c>
    </row>
    <row r="231">
      <c r="A231" s="48">
        <v>0.6861111111111111</v>
      </c>
      <c r="B231" s="62" t="s">
        <v>655</v>
      </c>
      <c r="C231" s="57" t="s">
        <v>657</v>
      </c>
      <c r="D231" s="62" t="s">
        <v>653</v>
      </c>
      <c r="E231" s="11" t="s">
        <v>9</v>
      </c>
    </row>
    <row r="232">
      <c r="A232" s="48">
        <v>0.6861111111111111</v>
      </c>
      <c r="B232" s="62" t="s">
        <v>652</v>
      </c>
      <c r="C232" s="57" t="s">
        <v>573</v>
      </c>
      <c r="D232" s="62" t="s">
        <v>656</v>
      </c>
      <c r="E232" s="11" t="s">
        <v>13</v>
      </c>
    </row>
    <row r="233">
      <c r="A233" s="48">
        <v>0.6965277777777777</v>
      </c>
      <c r="B233" s="62" t="s">
        <v>653</v>
      </c>
      <c r="C233" s="57" t="s">
        <v>219</v>
      </c>
      <c r="D233" s="62" t="s">
        <v>652</v>
      </c>
      <c r="E233" s="11" t="s">
        <v>9</v>
      </c>
    </row>
    <row r="234">
      <c r="A234" s="48">
        <v>0.6965277777777777</v>
      </c>
      <c r="B234" s="62" t="s">
        <v>655</v>
      </c>
      <c r="C234" s="57" t="s">
        <v>290</v>
      </c>
      <c r="D234" s="62" t="s">
        <v>654</v>
      </c>
      <c r="E234" s="11" t="s">
        <v>13</v>
      </c>
    </row>
    <row r="235">
      <c r="A235" s="48">
        <v>0.7069444444444445</v>
      </c>
      <c r="B235" s="62" t="s">
        <v>653</v>
      </c>
      <c r="C235" s="45" t="s">
        <v>17</v>
      </c>
      <c r="D235" s="62" t="s">
        <v>654</v>
      </c>
      <c r="E235" s="11" t="s">
        <v>9</v>
      </c>
    </row>
    <row r="236">
      <c r="A236" s="48">
        <v>0.7069444444444445</v>
      </c>
      <c r="B236" s="62" t="s">
        <v>655</v>
      </c>
      <c r="C236" s="45" t="s">
        <v>463</v>
      </c>
      <c r="D236" s="62" t="s">
        <v>656</v>
      </c>
      <c r="E236" s="11" t="s">
        <v>13</v>
      </c>
    </row>
    <row r="237">
      <c r="A237" s="48">
        <v>0.7166666666666667</v>
      </c>
      <c r="B237" s="62" t="s">
        <v>654</v>
      </c>
      <c r="C237" s="45" t="s">
        <v>232</v>
      </c>
      <c r="D237" s="62" t="s">
        <v>656</v>
      </c>
      <c r="E237" s="11" t="s">
        <v>9</v>
      </c>
    </row>
    <row r="238">
      <c r="A238" s="48">
        <v>0.7166666666666667</v>
      </c>
      <c r="B238" s="62" t="s">
        <v>652</v>
      </c>
      <c r="C238" s="45" t="s">
        <v>185</v>
      </c>
      <c r="D238" s="62" t="s">
        <v>655</v>
      </c>
      <c r="E238" s="11" t="s">
        <v>13</v>
      </c>
    </row>
    <row r="239">
      <c r="A239" s="48">
        <v>0.7270833333333333</v>
      </c>
      <c r="B239" s="62" t="s">
        <v>653</v>
      </c>
      <c r="C239" s="45" t="s">
        <v>181</v>
      </c>
      <c r="D239" s="62" t="s">
        <v>656</v>
      </c>
      <c r="E239" s="11" t="s">
        <v>9</v>
      </c>
    </row>
    <row r="240">
      <c r="A240" s="48">
        <v>0.7270833333333333</v>
      </c>
      <c r="B240" s="62" t="s">
        <v>654</v>
      </c>
      <c r="C240" s="45" t="s">
        <v>208</v>
      </c>
      <c r="D240" s="62" t="s">
        <v>652</v>
      </c>
      <c r="E240" s="11" t="s">
        <v>13</v>
      </c>
    </row>
    <row r="241">
      <c r="A241" s="48">
        <v>0.7375</v>
      </c>
      <c r="B241" s="62" t="s">
        <v>653</v>
      </c>
      <c r="C241" s="45" t="s">
        <v>220</v>
      </c>
      <c r="D241" s="62" t="s">
        <v>655</v>
      </c>
      <c r="E241" s="11" t="s">
        <v>9</v>
      </c>
    </row>
    <row r="242">
      <c r="A242" s="48">
        <v>0.7375</v>
      </c>
      <c r="B242" s="62" t="s">
        <v>656</v>
      </c>
      <c r="C242" s="45" t="s">
        <v>248</v>
      </c>
      <c r="D242" s="62" t="s">
        <v>652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658</v>
      </c>
      <c r="C245" s="45" t="s">
        <v>257</v>
      </c>
      <c r="D245" s="62" t="s">
        <v>659</v>
      </c>
      <c r="E245" s="11" t="s">
        <v>29</v>
      </c>
    </row>
    <row r="246">
      <c r="A246" s="48">
        <v>0.6458333333333334</v>
      </c>
      <c r="B246" s="62" t="s">
        <v>660</v>
      </c>
      <c r="C246" s="45" t="s">
        <v>271</v>
      </c>
      <c r="D246" s="62" t="s">
        <v>661</v>
      </c>
      <c r="E246" s="11" t="s">
        <v>33</v>
      </c>
    </row>
    <row r="247">
      <c r="A247" s="48">
        <v>0.6555555555555556</v>
      </c>
      <c r="B247" s="62" t="s">
        <v>660</v>
      </c>
      <c r="C247" s="45" t="s">
        <v>662</v>
      </c>
      <c r="D247" s="62" t="s">
        <v>659</v>
      </c>
      <c r="E247" s="11" t="s">
        <v>29</v>
      </c>
    </row>
    <row r="248">
      <c r="A248" s="48">
        <v>0.6555555555555556</v>
      </c>
      <c r="B248" s="62" t="s">
        <v>663</v>
      </c>
      <c r="C248" s="45" t="s">
        <v>547</v>
      </c>
      <c r="D248" s="62" t="s">
        <v>661</v>
      </c>
      <c r="E248" s="11" t="s">
        <v>33</v>
      </c>
    </row>
    <row r="249">
      <c r="A249" s="48">
        <v>0.6659722222222222</v>
      </c>
      <c r="B249" s="62" t="s">
        <v>663</v>
      </c>
      <c r="C249" s="45" t="s">
        <v>281</v>
      </c>
      <c r="D249" s="62" t="s">
        <v>660</v>
      </c>
      <c r="E249" s="11" t="s">
        <v>29</v>
      </c>
    </row>
    <row r="250">
      <c r="A250" s="48">
        <v>0.6659722222222222</v>
      </c>
      <c r="B250" s="62" t="s">
        <v>661</v>
      </c>
      <c r="C250" s="45" t="s">
        <v>594</v>
      </c>
      <c r="D250" s="62" t="s">
        <v>658</v>
      </c>
      <c r="E250" s="11" t="s">
        <v>33</v>
      </c>
    </row>
    <row r="251">
      <c r="A251" s="48">
        <v>0.6763888888888889</v>
      </c>
      <c r="B251" s="62" t="s">
        <v>663</v>
      </c>
      <c r="C251" s="45" t="s">
        <v>20</v>
      </c>
      <c r="D251" s="62" t="s">
        <v>659</v>
      </c>
      <c r="E251" s="11" t="s">
        <v>29</v>
      </c>
    </row>
    <row r="252">
      <c r="A252" s="48">
        <v>0.6763888888888889</v>
      </c>
      <c r="B252" s="62" t="s">
        <v>658</v>
      </c>
      <c r="C252" s="45" t="s">
        <v>19</v>
      </c>
      <c r="D252" s="62" t="s">
        <v>660</v>
      </c>
      <c r="E252" s="11" t="s">
        <v>33</v>
      </c>
    </row>
    <row r="253">
      <c r="A253" s="48">
        <v>0.6861111111111111</v>
      </c>
      <c r="B253" s="62" t="s">
        <v>661</v>
      </c>
      <c r="C253" s="45" t="s">
        <v>664</v>
      </c>
      <c r="D253" s="62" t="s">
        <v>659</v>
      </c>
      <c r="E253" s="11" t="s">
        <v>29</v>
      </c>
    </row>
    <row r="254">
      <c r="A254" s="48">
        <v>0.6861111111111111</v>
      </c>
      <c r="B254" s="62" t="s">
        <v>658</v>
      </c>
      <c r="C254" s="45" t="s">
        <v>158</v>
      </c>
      <c r="D254" s="62" t="s">
        <v>663</v>
      </c>
      <c r="E254" s="11" t="s">
        <v>33</v>
      </c>
    </row>
    <row r="255">
      <c r="A255" s="48">
        <v>0.6965277777777777</v>
      </c>
      <c r="B255" s="62" t="s">
        <v>659</v>
      </c>
      <c r="C255" s="45" t="s">
        <v>465</v>
      </c>
      <c r="D255" s="62" t="s">
        <v>658</v>
      </c>
      <c r="E255" s="11" t="s">
        <v>29</v>
      </c>
    </row>
    <row r="256">
      <c r="A256" s="48">
        <v>0.6965277777777777</v>
      </c>
      <c r="B256" s="62" t="s">
        <v>661</v>
      </c>
      <c r="C256" s="45" t="s">
        <v>665</v>
      </c>
      <c r="D256" s="62" t="s">
        <v>660</v>
      </c>
      <c r="E256" s="11" t="s">
        <v>33</v>
      </c>
    </row>
    <row r="257">
      <c r="A257" s="48">
        <v>0.7069444444444445</v>
      </c>
      <c r="B257" s="62" t="s">
        <v>659</v>
      </c>
      <c r="C257" s="45" t="s">
        <v>393</v>
      </c>
      <c r="D257" s="62" t="s">
        <v>660</v>
      </c>
      <c r="E257" s="11" t="s">
        <v>29</v>
      </c>
    </row>
    <row r="258">
      <c r="A258" s="48">
        <v>0.7069444444444445</v>
      </c>
      <c r="B258" s="62" t="s">
        <v>661</v>
      </c>
      <c r="C258" s="45" t="s">
        <v>173</v>
      </c>
      <c r="D258" s="62" t="s">
        <v>663</v>
      </c>
      <c r="E258" s="11" t="s">
        <v>33</v>
      </c>
    </row>
    <row r="259">
      <c r="A259" s="48">
        <v>0.7166666666666667</v>
      </c>
      <c r="B259" s="62" t="s">
        <v>660</v>
      </c>
      <c r="C259" s="45" t="s">
        <v>376</v>
      </c>
      <c r="D259" s="62" t="s">
        <v>663</v>
      </c>
      <c r="E259" s="11" t="s">
        <v>29</v>
      </c>
    </row>
    <row r="260">
      <c r="A260" s="48">
        <v>0.7166666666666667</v>
      </c>
      <c r="B260" s="62" t="s">
        <v>658</v>
      </c>
      <c r="C260" s="45" t="s">
        <v>209</v>
      </c>
      <c r="D260" s="66" t="s">
        <v>661</v>
      </c>
      <c r="E260" s="11" t="s">
        <v>33</v>
      </c>
    </row>
    <row r="261">
      <c r="A261" s="48">
        <v>0.7270833333333333</v>
      </c>
      <c r="B261" s="62" t="s">
        <v>659</v>
      </c>
      <c r="C261" s="45" t="s">
        <v>342</v>
      </c>
      <c r="D261" s="62" t="s">
        <v>663</v>
      </c>
      <c r="E261" s="11" t="s">
        <v>29</v>
      </c>
    </row>
    <row r="262">
      <c r="A262" s="48">
        <v>0.7270833333333333</v>
      </c>
      <c r="B262" s="62" t="s">
        <v>660</v>
      </c>
      <c r="C262" s="45" t="s">
        <v>666</v>
      </c>
      <c r="D262" s="62" t="s">
        <v>658</v>
      </c>
      <c r="E262" s="11" t="s">
        <v>33</v>
      </c>
    </row>
    <row r="263">
      <c r="A263" s="48">
        <v>0.7375</v>
      </c>
      <c r="B263" s="62" t="s">
        <v>659</v>
      </c>
      <c r="C263" s="45" t="s">
        <v>177</v>
      </c>
      <c r="D263" s="62" t="s">
        <v>661</v>
      </c>
      <c r="E263" s="11" t="s">
        <v>29</v>
      </c>
    </row>
    <row r="264">
      <c r="A264" s="48">
        <v>0.7375</v>
      </c>
      <c r="B264" s="62" t="s">
        <v>663</v>
      </c>
      <c r="C264" s="45" t="s">
        <v>24</v>
      </c>
      <c r="D264" s="62" t="s">
        <v>658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667</v>
      </c>
      <c r="C267" s="67" t="s">
        <v>668</v>
      </c>
      <c r="D267" s="62" t="s">
        <v>669</v>
      </c>
      <c r="E267" s="68" t="s">
        <v>9</v>
      </c>
    </row>
    <row r="268">
      <c r="A268" s="48">
        <v>0.75</v>
      </c>
      <c r="B268" s="62" t="s">
        <v>670</v>
      </c>
      <c r="C268" s="45" t="s">
        <v>14</v>
      </c>
      <c r="D268" s="62" t="s">
        <v>671</v>
      </c>
      <c r="E268" s="11" t="s">
        <v>13</v>
      </c>
    </row>
    <row r="269">
      <c r="A269" s="48">
        <v>0.7597222222222222</v>
      </c>
      <c r="B269" s="62" t="s">
        <v>670</v>
      </c>
      <c r="C269" s="45" t="s">
        <v>672</v>
      </c>
      <c r="D269" s="62" t="s">
        <v>669</v>
      </c>
      <c r="E269" s="11" t="s">
        <v>9</v>
      </c>
    </row>
    <row r="270">
      <c r="A270" s="48">
        <v>0.7597222222222222</v>
      </c>
      <c r="B270" s="62" t="s">
        <v>673</v>
      </c>
      <c r="C270" s="45" t="s">
        <v>219</v>
      </c>
      <c r="D270" s="62" t="s">
        <v>671</v>
      </c>
      <c r="E270" s="11" t="s">
        <v>13</v>
      </c>
    </row>
    <row r="271">
      <c r="A271" s="48">
        <v>0.7701388888888889</v>
      </c>
      <c r="B271" s="62" t="s">
        <v>673</v>
      </c>
      <c r="C271" s="45" t="s">
        <v>674</v>
      </c>
      <c r="D271" s="62" t="s">
        <v>670</v>
      </c>
      <c r="E271" s="11" t="s">
        <v>9</v>
      </c>
    </row>
    <row r="272">
      <c r="A272" s="48">
        <v>0.7701388888888889</v>
      </c>
      <c r="B272" s="62" t="s">
        <v>671</v>
      </c>
      <c r="C272" s="45" t="s">
        <v>185</v>
      </c>
      <c r="D272" s="62" t="s">
        <v>667</v>
      </c>
      <c r="E272" s="11" t="s">
        <v>13</v>
      </c>
    </row>
    <row r="273">
      <c r="A273" s="48">
        <v>0.7805555555555556</v>
      </c>
      <c r="B273" s="62" t="s">
        <v>673</v>
      </c>
      <c r="C273" s="45" t="s">
        <v>675</v>
      </c>
      <c r="D273" s="62" t="s">
        <v>669</v>
      </c>
      <c r="E273" s="11" t="s">
        <v>9</v>
      </c>
    </row>
    <row r="274">
      <c r="A274" s="48">
        <v>0.7805555555555556</v>
      </c>
      <c r="B274" s="62" t="s">
        <v>667</v>
      </c>
      <c r="C274" s="45" t="s">
        <v>20</v>
      </c>
      <c r="D274" s="62" t="s">
        <v>670</v>
      </c>
      <c r="E274" s="11" t="s">
        <v>13</v>
      </c>
    </row>
    <row r="275">
      <c r="A275" s="48">
        <v>0.7902777777777777</v>
      </c>
      <c r="B275" s="62" t="s">
        <v>671</v>
      </c>
      <c r="C275" s="45" t="s">
        <v>291</v>
      </c>
      <c r="D275" s="62" t="s">
        <v>669</v>
      </c>
      <c r="E275" s="11" t="s">
        <v>9</v>
      </c>
    </row>
    <row r="276">
      <c r="A276" s="48">
        <v>0.7902777777777777</v>
      </c>
      <c r="B276" s="62" t="s">
        <v>667</v>
      </c>
      <c r="C276" s="45" t="s">
        <v>17</v>
      </c>
      <c r="D276" s="62" t="s">
        <v>673</v>
      </c>
      <c r="E276" s="11" t="s">
        <v>13</v>
      </c>
    </row>
    <row r="277">
      <c r="A277" s="48">
        <v>0.8006944444444445</v>
      </c>
      <c r="B277" s="62" t="s">
        <v>669</v>
      </c>
      <c r="C277" s="45" t="s">
        <v>208</v>
      </c>
      <c r="D277" s="62" t="s">
        <v>667</v>
      </c>
      <c r="E277" s="11" t="s">
        <v>9</v>
      </c>
    </row>
    <row r="278">
      <c r="A278" s="48">
        <v>0.8006944444444445</v>
      </c>
      <c r="B278" s="62" t="s">
        <v>671</v>
      </c>
      <c r="C278" s="45" t="s">
        <v>556</v>
      </c>
      <c r="D278" s="62" t="s">
        <v>670</v>
      </c>
      <c r="E278" s="11" t="s">
        <v>13</v>
      </c>
    </row>
    <row r="279">
      <c r="A279" s="48">
        <v>0.8111111111111111</v>
      </c>
      <c r="B279" s="62" t="s">
        <v>669</v>
      </c>
      <c r="C279" s="45" t="s">
        <v>229</v>
      </c>
      <c r="D279" s="62" t="s">
        <v>670</v>
      </c>
      <c r="E279" s="11" t="s">
        <v>9</v>
      </c>
    </row>
    <row r="280">
      <c r="A280" s="48">
        <v>0.8111111111111111</v>
      </c>
      <c r="B280" s="62" t="s">
        <v>671</v>
      </c>
      <c r="C280" s="45" t="s">
        <v>302</v>
      </c>
      <c r="D280" s="62" t="s">
        <v>673</v>
      </c>
      <c r="E280" s="11" t="s">
        <v>13</v>
      </c>
    </row>
    <row r="281">
      <c r="A281" s="48">
        <v>0.8208333333333333</v>
      </c>
      <c r="B281" s="62" t="s">
        <v>670</v>
      </c>
      <c r="C281" s="45" t="s">
        <v>289</v>
      </c>
      <c r="D281" s="62" t="s">
        <v>673</v>
      </c>
      <c r="E281" s="11" t="s">
        <v>9</v>
      </c>
    </row>
    <row r="282">
      <c r="A282" s="48">
        <v>0.8208333333333333</v>
      </c>
      <c r="B282" s="62" t="s">
        <v>667</v>
      </c>
      <c r="C282" s="45" t="s">
        <v>219</v>
      </c>
      <c r="D282" s="62" t="s">
        <v>671</v>
      </c>
      <c r="E282" s="11" t="s">
        <v>13</v>
      </c>
    </row>
    <row r="283">
      <c r="A283" s="48">
        <v>0.83125</v>
      </c>
      <c r="B283" s="62" t="s">
        <v>669</v>
      </c>
      <c r="C283" s="45" t="s">
        <v>549</v>
      </c>
      <c r="D283" s="62" t="s">
        <v>673</v>
      </c>
      <c r="E283" s="11" t="s">
        <v>9</v>
      </c>
    </row>
    <row r="284">
      <c r="A284" s="48">
        <v>0.83125</v>
      </c>
      <c r="B284" s="62" t="s">
        <v>670</v>
      </c>
      <c r="C284" s="45" t="s">
        <v>43</v>
      </c>
      <c r="D284" s="62" t="s">
        <v>667</v>
      </c>
      <c r="E284" s="11" t="s">
        <v>13</v>
      </c>
    </row>
    <row r="285">
      <c r="A285" s="48">
        <v>0.8416666666666667</v>
      </c>
      <c r="B285" s="62" t="s">
        <v>669</v>
      </c>
      <c r="C285" s="45" t="s">
        <v>41</v>
      </c>
      <c r="D285" s="62" t="s">
        <v>671</v>
      </c>
      <c r="E285" s="11" t="s">
        <v>9</v>
      </c>
    </row>
    <row r="286">
      <c r="A286" s="48">
        <v>0.8416666666666667</v>
      </c>
      <c r="B286" s="62" t="s">
        <v>673</v>
      </c>
      <c r="C286" s="45" t="s">
        <v>302</v>
      </c>
      <c r="D286" s="62" t="s">
        <v>667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676</v>
      </c>
      <c r="C289" s="45" t="s">
        <v>292</v>
      </c>
      <c r="D289" s="62" t="s">
        <v>677</v>
      </c>
      <c r="E289" s="11" t="s">
        <v>29</v>
      </c>
    </row>
    <row r="290">
      <c r="A290" s="48">
        <v>0.75</v>
      </c>
      <c r="B290" s="62" t="s">
        <v>678</v>
      </c>
      <c r="C290" s="45" t="s">
        <v>315</v>
      </c>
      <c r="D290" s="62" t="s">
        <v>679</v>
      </c>
      <c r="E290" s="11" t="s">
        <v>33</v>
      </c>
    </row>
    <row r="291">
      <c r="A291" s="48">
        <v>0.7597222222222222</v>
      </c>
      <c r="B291" s="62" t="s">
        <v>678</v>
      </c>
      <c r="C291" s="45" t="s">
        <v>225</v>
      </c>
      <c r="D291" s="62" t="s">
        <v>677</v>
      </c>
      <c r="E291" s="11" t="s">
        <v>29</v>
      </c>
    </row>
    <row r="292">
      <c r="A292" s="48">
        <v>0.7597222222222222</v>
      </c>
      <c r="B292" s="62" t="s">
        <v>680</v>
      </c>
      <c r="C292" s="45" t="s">
        <v>681</v>
      </c>
      <c r="D292" s="62" t="s">
        <v>679</v>
      </c>
      <c r="E292" s="11" t="s">
        <v>33</v>
      </c>
    </row>
    <row r="293">
      <c r="A293" s="48">
        <v>0.7701388888888889</v>
      </c>
      <c r="B293" s="62" t="s">
        <v>680</v>
      </c>
      <c r="C293" s="45" t="s">
        <v>177</v>
      </c>
      <c r="D293" s="62" t="s">
        <v>678</v>
      </c>
      <c r="E293" s="11" t="s">
        <v>29</v>
      </c>
    </row>
    <row r="294">
      <c r="A294" s="48">
        <v>0.7701388888888889</v>
      </c>
      <c r="B294" s="62" t="s">
        <v>679</v>
      </c>
      <c r="C294" s="45" t="s">
        <v>250</v>
      </c>
      <c r="D294" s="62" t="s">
        <v>676</v>
      </c>
      <c r="E294" s="11" t="s">
        <v>33</v>
      </c>
    </row>
    <row r="295">
      <c r="A295" s="48">
        <v>0.7805555555555556</v>
      </c>
      <c r="B295" s="62" t="s">
        <v>680</v>
      </c>
      <c r="C295" s="45" t="s">
        <v>17</v>
      </c>
      <c r="D295" s="62" t="s">
        <v>677</v>
      </c>
      <c r="E295" s="11" t="s">
        <v>29</v>
      </c>
    </row>
    <row r="296">
      <c r="A296" s="48">
        <v>0.7805555555555556</v>
      </c>
      <c r="B296" s="62" t="s">
        <v>676</v>
      </c>
      <c r="C296" s="45" t="s">
        <v>19</v>
      </c>
      <c r="D296" s="62" t="s">
        <v>678</v>
      </c>
      <c r="E296" s="11" t="s">
        <v>33</v>
      </c>
    </row>
    <row r="297">
      <c r="A297" s="48">
        <v>0.7902777777777777</v>
      </c>
      <c r="B297" s="62" t="s">
        <v>679</v>
      </c>
      <c r="C297" s="45" t="s">
        <v>42</v>
      </c>
      <c r="D297" s="62" t="s">
        <v>677</v>
      </c>
      <c r="E297" s="11" t="s">
        <v>29</v>
      </c>
    </row>
    <row r="298">
      <c r="A298" s="48">
        <v>0.7902777777777777</v>
      </c>
      <c r="B298" s="62" t="s">
        <v>676</v>
      </c>
      <c r="C298" s="45" t="s">
        <v>17</v>
      </c>
      <c r="D298" s="62" t="s">
        <v>680</v>
      </c>
      <c r="E298" s="11" t="s">
        <v>33</v>
      </c>
    </row>
    <row r="299">
      <c r="A299" s="48">
        <v>0.8006944444444445</v>
      </c>
      <c r="B299" s="62" t="s">
        <v>677</v>
      </c>
      <c r="C299" s="45" t="s">
        <v>219</v>
      </c>
      <c r="D299" s="62" t="s">
        <v>676</v>
      </c>
      <c r="E299" s="11" t="s">
        <v>29</v>
      </c>
    </row>
    <row r="300">
      <c r="A300" s="48">
        <v>0.8006944444444445</v>
      </c>
      <c r="B300" s="62" t="s">
        <v>679</v>
      </c>
      <c r="C300" s="45" t="s">
        <v>682</v>
      </c>
      <c r="D300" s="62" t="s">
        <v>678</v>
      </c>
      <c r="E300" s="11" t="s">
        <v>33</v>
      </c>
    </row>
    <row r="301">
      <c r="A301" s="48">
        <v>0.8111111111111111</v>
      </c>
      <c r="B301" s="62" t="s">
        <v>677</v>
      </c>
      <c r="C301" s="45" t="s">
        <v>326</v>
      </c>
      <c r="D301" s="62" t="s">
        <v>678</v>
      </c>
      <c r="E301" s="11" t="s">
        <v>29</v>
      </c>
    </row>
    <row r="302">
      <c r="A302" s="48">
        <v>0.8111111111111111</v>
      </c>
      <c r="B302" s="62" t="s">
        <v>679</v>
      </c>
      <c r="C302" s="45" t="s">
        <v>182</v>
      </c>
      <c r="D302" s="62" t="s">
        <v>680</v>
      </c>
      <c r="E302" s="11" t="s">
        <v>33</v>
      </c>
      <c r="F302" s="50"/>
    </row>
    <row r="303">
      <c r="A303" s="48">
        <v>0.8208333333333333</v>
      </c>
      <c r="B303" s="62" t="s">
        <v>678</v>
      </c>
      <c r="C303" s="45" t="s">
        <v>319</v>
      </c>
      <c r="D303" s="62" t="s">
        <v>680</v>
      </c>
      <c r="E303" s="11" t="s">
        <v>29</v>
      </c>
    </row>
    <row r="304">
      <c r="A304" s="48">
        <v>0.8208333333333333</v>
      </c>
      <c r="B304" s="62" t="s">
        <v>676</v>
      </c>
      <c r="C304" s="45" t="s">
        <v>250</v>
      </c>
      <c r="D304" s="62" t="s">
        <v>679</v>
      </c>
      <c r="E304" s="11" t="s">
        <v>33</v>
      </c>
    </row>
    <row r="305">
      <c r="A305" s="48">
        <v>0.83125</v>
      </c>
      <c r="B305" s="62" t="s">
        <v>677</v>
      </c>
      <c r="C305" s="45" t="s">
        <v>162</v>
      </c>
      <c r="D305" s="62" t="s">
        <v>680</v>
      </c>
      <c r="E305" s="11" t="s">
        <v>29</v>
      </c>
    </row>
    <row r="306">
      <c r="A306" s="48">
        <v>0.83125</v>
      </c>
      <c r="B306" s="62" t="s">
        <v>678</v>
      </c>
      <c r="C306" s="45" t="s">
        <v>620</v>
      </c>
      <c r="D306" s="62" t="s">
        <v>676</v>
      </c>
      <c r="E306" s="11" t="s">
        <v>33</v>
      </c>
    </row>
    <row r="307">
      <c r="A307" s="48">
        <v>0.8416666666666667</v>
      </c>
      <c r="B307" s="62" t="s">
        <v>677</v>
      </c>
      <c r="C307" s="45" t="s">
        <v>43</v>
      </c>
      <c r="D307" s="62" t="s">
        <v>679</v>
      </c>
      <c r="E307" s="11" t="s">
        <v>29</v>
      </c>
    </row>
    <row r="308">
      <c r="A308" s="48">
        <v>0.8416666666666667</v>
      </c>
      <c r="B308" s="62" t="s">
        <v>680</v>
      </c>
      <c r="C308" s="45" t="s">
        <v>219</v>
      </c>
      <c r="D308" s="62" t="s">
        <v>676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683</v>
      </c>
      <c r="C311" s="57" t="s">
        <v>517</v>
      </c>
      <c r="D311" s="62" t="s">
        <v>684</v>
      </c>
      <c r="E311" s="11" t="s">
        <v>9</v>
      </c>
    </row>
    <row r="312">
      <c r="A312" s="48">
        <v>0.8541666666666666</v>
      </c>
      <c r="B312" s="62" t="s">
        <v>685</v>
      </c>
      <c r="C312" s="57" t="s">
        <v>219</v>
      </c>
      <c r="D312" s="62" t="s">
        <v>686</v>
      </c>
      <c r="E312" s="11" t="s">
        <v>13</v>
      </c>
    </row>
    <row r="313">
      <c r="A313" s="48">
        <v>0.8638888888888889</v>
      </c>
      <c r="B313" s="62" t="s">
        <v>685</v>
      </c>
      <c r="C313" s="57" t="s">
        <v>233</v>
      </c>
      <c r="D313" s="62" t="s">
        <v>684</v>
      </c>
      <c r="E313" s="11" t="s">
        <v>9</v>
      </c>
    </row>
    <row r="314">
      <c r="A314" s="48">
        <v>0.8638888888888889</v>
      </c>
      <c r="B314" s="62" t="s">
        <v>687</v>
      </c>
      <c r="C314" s="57" t="s">
        <v>248</v>
      </c>
      <c r="D314" s="62" t="s">
        <v>686</v>
      </c>
      <c r="E314" s="11" t="s">
        <v>13</v>
      </c>
    </row>
    <row r="315">
      <c r="A315" s="48">
        <v>0.8743055555555556</v>
      </c>
      <c r="B315" s="62" t="s">
        <v>687</v>
      </c>
      <c r="C315" s="57" t="s">
        <v>162</v>
      </c>
      <c r="D315" s="62" t="s">
        <v>685</v>
      </c>
      <c r="E315" s="11" t="s">
        <v>9</v>
      </c>
    </row>
    <row r="316">
      <c r="A316" s="48">
        <v>0.8743055555555556</v>
      </c>
      <c r="B316" s="62" t="s">
        <v>686</v>
      </c>
      <c r="C316" s="57" t="s">
        <v>547</v>
      </c>
      <c r="D316" s="62" t="s">
        <v>683</v>
      </c>
      <c r="E316" s="11" t="s">
        <v>13</v>
      </c>
    </row>
    <row r="317">
      <c r="A317" s="48">
        <v>0.8847222222222222</v>
      </c>
      <c r="B317" s="62" t="s">
        <v>687</v>
      </c>
      <c r="C317" s="57" t="s">
        <v>688</v>
      </c>
      <c r="D317" s="62" t="s">
        <v>684</v>
      </c>
      <c r="E317" s="11" t="s">
        <v>9</v>
      </c>
    </row>
    <row r="318">
      <c r="A318" s="48">
        <v>0.8847222222222222</v>
      </c>
      <c r="B318" s="62" t="s">
        <v>683</v>
      </c>
      <c r="C318" s="57" t="s">
        <v>155</v>
      </c>
      <c r="D318" s="62" t="s">
        <v>685</v>
      </c>
      <c r="E318" s="11" t="s">
        <v>13</v>
      </c>
    </row>
    <row r="319">
      <c r="A319" s="48">
        <v>0.8944444444444445</v>
      </c>
      <c r="B319" s="62" t="s">
        <v>686</v>
      </c>
      <c r="C319" s="57" t="s">
        <v>16</v>
      </c>
      <c r="D319" s="62" t="s">
        <v>684</v>
      </c>
      <c r="E319" s="11" t="s">
        <v>9</v>
      </c>
    </row>
    <row r="320">
      <c r="A320" s="48">
        <v>0.8944444444444445</v>
      </c>
      <c r="B320" s="62" t="s">
        <v>683</v>
      </c>
      <c r="C320" s="57" t="s">
        <v>173</v>
      </c>
      <c r="D320" s="62" t="s">
        <v>687</v>
      </c>
      <c r="E320" s="11" t="s">
        <v>13</v>
      </c>
    </row>
    <row r="321">
      <c r="A321" s="48">
        <v>0.9048611111111111</v>
      </c>
      <c r="B321" s="62" t="s">
        <v>684</v>
      </c>
      <c r="C321" s="57" t="s">
        <v>166</v>
      </c>
      <c r="D321" s="62" t="s">
        <v>683</v>
      </c>
      <c r="E321" s="11" t="s">
        <v>9</v>
      </c>
    </row>
    <row r="322">
      <c r="A322" s="48">
        <v>0.9048611111111111</v>
      </c>
      <c r="B322" s="62" t="s">
        <v>686</v>
      </c>
      <c r="C322" s="57" t="s">
        <v>20</v>
      </c>
      <c r="D322" s="62" t="s">
        <v>685</v>
      </c>
      <c r="E322" s="11" t="s">
        <v>13</v>
      </c>
    </row>
    <row r="323">
      <c r="A323" s="48">
        <v>0.9152777777777777</v>
      </c>
      <c r="B323" s="62" t="s">
        <v>684</v>
      </c>
      <c r="C323" s="45" t="s">
        <v>689</v>
      </c>
      <c r="D323" s="62" t="s">
        <v>685</v>
      </c>
      <c r="E323" s="11" t="s">
        <v>9</v>
      </c>
    </row>
    <row r="324">
      <c r="A324" s="48">
        <v>0.9152777777777777</v>
      </c>
      <c r="B324" s="62" t="s">
        <v>686</v>
      </c>
      <c r="C324" s="45" t="s">
        <v>311</v>
      </c>
      <c r="D324" s="62" t="s">
        <v>687</v>
      </c>
      <c r="E324" s="11" t="s">
        <v>13</v>
      </c>
    </row>
    <row r="325">
      <c r="A325" s="48">
        <v>0.925</v>
      </c>
      <c r="B325" s="62" t="s">
        <v>685</v>
      </c>
      <c r="C325" s="45" t="s">
        <v>158</v>
      </c>
      <c r="D325" s="62" t="s">
        <v>687</v>
      </c>
      <c r="E325" s="11" t="s">
        <v>9</v>
      </c>
    </row>
    <row r="326">
      <c r="A326" s="48">
        <v>0.925</v>
      </c>
      <c r="B326" s="62" t="s">
        <v>683</v>
      </c>
      <c r="C326" s="45" t="s">
        <v>173</v>
      </c>
      <c r="D326" s="62" t="s">
        <v>686</v>
      </c>
      <c r="E326" s="11" t="s">
        <v>13</v>
      </c>
    </row>
    <row r="327">
      <c r="A327" s="48">
        <v>0.9354166666666667</v>
      </c>
      <c r="B327" s="62" t="s">
        <v>684</v>
      </c>
      <c r="C327" s="45" t="s">
        <v>264</v>
      </c>
      <c r="D327" s="62" t="s">
        <v>687</v>
      </c>
      <c r="E327" s="11" t="s">
        <v>9</v>
      </c>
    </row>
    <row r="328">
      <c r="A328" s="48">
        <v>0.9354166666666667</v>
      </c>
      <c r="B328" s="62" t="s">
        <v>685</v>
      </c>
      <c r="C328" s="45" t="s">
        <v>23</v>
      </c>
      <c r="D328" s="62" t="s">
        <v>683</v>
      </c>
      <c r="E328" s="11" t="s">
        <v>13</v>
      </c>
    </row>
    <row r="329">
      <c r="A329" s="48">
        <v>0.9458333333333333</v>
      </c>
      <c r="B329" s="62" t="s">
        <v>684</v>
      </c>
      <c r="C329" s="45" t="s">
        <v>162</v>
      </c>
      <c r="D329" s="62" t="s">
        <v>686</v>
      </c>
      <c r="E329" s="11" t="s">
        <v>9</v>
      </c>
    </row>
    <row r="330">
      <c r="A330" s="48">
        <v>0.9458333333333333</v>
      </c>
      <c r="B330" s="62" t="s">
        <v>687</v>
      </c>
      <c r="C330" s="45" t="s">
        <v>239</v>
      </c>
      <c r="D330" s="62" t="s">
        <v>683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690</v>
      </c>
      <c r="C333" s="45" t="s">
        <v>257</v>
      </c>
      <c r="D333" s="62" t="s">
        <v>691</v>
      </c>
      <c r="E333" s="11" t="s">
        <v>29</v>
      </c>
    </row>
    <row r="334">
      <c r="A334" s="48">
        <v>0.8541666666666666</v>
      </c>
      <c r="B334" s="62" t="s">
        <v>692</v>
      </c>
      <c r="C334" s="45" t="s">
        <v>693</v>
      </c>
      <c r="D334" s="62" t="s">
        <v>694</v>
      </c>
      <c r="E334" s="11" t="s">
        <v>33</v>
      </c>
    </row>
    <row r="335">
      <c r="A335" s="48">
        <v>0.8638888888888889</v>
      </c>
      <c r="B335" s="62" t="s">
        <v>692</v>
      </c>
      <c r="C335" s="45" t="s">
        <v>450</v>
      </c>
      <c r="D335" s="62" t="s">
        <v>691</v>
      </c>
      <c r="E335" s="11" t="s">
        <v>29</v>
      </c>
    </row>
    <row r="336">
      <c r="A336" s="48">
        <v>0.8638888888888889</v>
      </c>
      <c r="B336" s="62" t="s">
        <v>695</v>
      </c>
      <c r="C336" s="45" t="s">
        <v>181</v>
      </c>
      <c r="D336" s="62" t="s">
        <v>694</v>
      </c>
      <c r="E336" s="11" t="s">
        <v>33</v>
      </c>
    </row>
    <row r="337">
      <c r="A337" s="48">
        <v>0.8743055555555556</v>
      </c>
      <c r="B337" s="62" t="s">
        <v>695</v>
      </c>
      <c r="C337" s="45" t="s">
        <v>166</v>
      </c>
      <c r="D337" s="62" t="s">
        <v>692</v>
      </c>
      <c r="E337" s="11" t="s">
        <v>29</v>
      </c>
    </row>
    <row r="338">
      <c r="A338" s="48">
        <v>0.8743055555555556</v>
      </c>
      <c r="B338" s="62" t="s">
        <v>694</v>
      </c>
      <c r="C338" s="45" t="s">
        <v>696</v>
      </c>
      <c r="D338" s="62" t="s">
        <v>690</v>
      </c>
      <c r="E338" s="11" t="s">
        <v>33</v>
      </c>
    </row>
    <row r="339">
      <c r="A339" s="48">
        <v>0.8847222222222222</v>
      </c>
      <c r="B339" s="62" t="s">
        <v>695</v>
      </c>
      <c r="C339" s="45" t="s">
        <v>248</v>
      </c>
      <c r="D339" s="62" t="s">
        <v>691</v>
      </c>
      <c r="E339" s="11" t="s">
        <v>29</v>
      </c>
    </row>
    <row r="340">
      <c r="A340" s="48">
        <v>0.8847222222222222</v>
      </c>
      <c r="B340" s="62" t="s">
        <v>690</v>
      </c>
      <c r="C340" s="45" t="s">
        <v>426</v>
      </c>
      <c r="D340" s="62" t="s">
        <v>692</v>
      </c>
      <c r="E340" s="11" t="s">
        <v>33</v>
      </c>
    </row>
    <row r="341">
      <c r="A341" s="48">
        <v>0.8944444444444445</v>
      </c>
      <c r="B341" s="62" t="s">
        <v>694</v>
      </c>
      <c r="C341" s="45" t="s">
        <v>534</v>
      </c>
      <c r="D341" s="62" t="s">
        <v>691</v>
      </c>
      <c r="E341" s="11" t="s">
        <v>29</v>
      </c>
    </row>
    <row r="342">
      <c r="A342" s="48">
        <v>0.8944444444444445</v>
      </c>
      <c r="B342" s="62" t="s">
        <v>690</v>
      </c>
      <c r="C342" s="45" t="s">
        <v>155</v>
      </c>
      <c r="D342" s="62" t="s">
        <v>695</v>
      </c>
      <c r="E342" s="11" t="s">
        <v>33</v>
      </c>
    </row>
    <row r="343">
      <c r="A343" s="48">
        <v>0.9048611111111111</v>
      </c>
      <c r="B343" s="62" t="s">
        <v>691</v>
      </c>
      <c r="C343" s="45" t="s">
        <v>187</v>
      </c>
      <c r="D343" s="62" t="s">
        <v>690</v>
      </c>
      <c r="E343" s="11" t="s">
        <v>29</v>
      </c>
    </row>
    <row r="344">
      <c r="A344" s="48">
        <v>0.9048611111111111</v>
      </c>
      <c r="B344" s="62" t="s">
        <v>694</v>
      </c>
      <c r="C344" s="45" t="s">
        <v>233</v>
      </c>
      <c r="D344" s="62" t="s">
        <v>692</v>
      </c>
      <c r="E344" s="11" t="s">
        <v>33</v>
      </c>
    </row>
    <row r="345">
      <c r="A345" s="48">
        <v>0.9152777777777777</v>
      </c>
      <c r="B345" s="62" t="s">
        <v>691</v>
      </c>
      <c r="C345" s="45" t="s">
        <v>697</v>
      </c>
      <c r="D345" s="62" t="s">
        <v>692</v>
      </c>
      <c r="E345" s="11" t="s">
        <v>29</v>
      </c>
    </row>
    <row r="346">
      <c r="A346" s="48">
        <v>0.9152777777777777</v>
      </c>
      <c r="B346" s="62" t="s">
        <v>694</v>
      </c>
      <c r="C346" s="45" t="s">
        <v>251</v>
      </c>
      <c r="D346" s="62" t="s">
        <v>695</v>
      </c>
      <c r="E346" s="11" t="s">
        <v>33</v>
      </c>
    </row>
    <row r="347">
      <c r="A347" s="48">
        <v>0.925</v>
      </c>
      <c r="B347" s="62" t="s">
        <v>692</v>
      </c>
      <c r="C347" s="45" t="s">
        <v>163</v>
      </c>
      <c r="D347" s="62" t="s">
        <v>695</v>
      </c>
      <c r="E347" s="11" t="s">
        <v>29</v>
      </c>
    </row>
    <row r="348">
      <c r="A348" s="48">
        <v>0.925</v>
      </c>
      <c r="B348" s="62" t="s">
        <v>690</v>
      </c>
      <c r="C348" s="45" t="s">
        <v>185</v>
      </c>
      <c r="D348" s="62" t="s">
        <v>694</v>
      </c>
      <c r="E348" s="11" t="s">
        <v>33</v>
      </c>
    </row>
    <row r="349">
      <c r="A349" s="48">
        <v>0.9354166666666667</v>
      </c>
      <c r="B349" s="62" t="s">
        <v>691</v>
      </c>
      <c r="C349" s="45" t="s">
        <v>177</v>
      </c>
      <c r="D349" s="62" t="s">
        <v>695</v>
      </c>
      <c r="E349" s="11" t="s">
        <v>29</v>
      </c>
    </row>
    <row r="350">
      <c r="A350" s="48">
        <v>0.9354166666666667</v>
      </c>
      <c r="B350" s="62" t="s">
        <v>692</v>
      </c>
      <c r="C350" s="45" t="s">
        <v>357</v>
      </c>
      <c r="D350" s="62" t="s">
        <v>690</v>
      </c>
      <c r="E350" s="11" t="s">
        <v>33</v>
      </c>
    </row>
    <row r="351">
      <c r="A351" s="48">
        <v>0.9458333333333333</v>
      </c>
      <c r="B351" s="62" t="s">
        <v>691</v>
      </c>
      <c r="C351" s="45" t="s">
        <v>37</v>
      </c>
      <c r="D351" s="62" t="s">
        <v>694</v>
      </c>
      <c r="E351" s="11" t="s">
        <v>29</v>
      </c>
    </row>
    <row r="352">
      <c r="A352" s="48">
        <v>0.9458333333333333</v>
      </c>
      <c r="B352" s="62" t="s">
        <v>695</v>
      </c>
      <c r="C352" s="45" t="s">
        <v>220</v>
      </c>
      <c r="D352" s="62" t="s">
        <v>690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698</v>
      </c>
      <c r="C355" s="45" t="s">
        <v>23</v>
      </c>
      <c r="D355" s="62" t="s">
        <v>699</v>
      </c>
      <c r="E355" s="11" t="s">
        <v>9</v>
      </c>
    </row>
    <row r="356">
      <c r="A356" s="48">
        <v>0.9583333333333334</v>
      </c>
      <c r="B356" s="62" t="s">
        <v>700</v>
      </c>
      <c r="C356" s="45" t="s">
        <v>17</v>
      </c>
      <c r="D356" s="62" t="s">
        <v>701</v>
      </c>
      <c r="E356" s="11" t="s">
        <v>13</v>
      </c>
    </row>
    <row r="357">
      <c r="A357" s="48">
        <v>0.9680555555555556</v>
      </c>
      <c r="B357" s="62" t="s">
        <v>700</v>
      </c>
      <c r="C357" s="45" t="s">
        <v>18</v>
      </c>
      <c r="D357" s="62" t="s">
        <v>699</v>
      </c>
      <c r="E357" s="11" t="s">
        <v>9</v>
      </c>
    </row>
    <row r="358">
      <c r="A358" s="48">
        <v>0.9680555555555556</v>
      </c>
      <c r="B358" s="62" t="s">
        <v>702</v>
      </c>
      <c r="C358" s="45" t="s">
        <v>324</v>
      </c>
      <c r="D358" s="62" t="s">
        <v>701</v>
      </c>
      <c r="E358" s="11" t="s">
        <v>13</v>
      </c>
    </row>
    <row r="359">
      <c r="A359" s="48">
        <v>0.9784722222222222</v>
      </c>
      <c r="B359" s="62" t="s">
        <v>702</v>
      </c>
      <c r="C359" s="45" t="s">
        <v>41</v>
      </c>
      <c r="D359" s="62" t="s">
        <v>700</v>
      </c>
      <c r="E359" s="11" t="s">
        <v>9</v>
      </c>
    </row>
    <row r="360">
      <c r="A360" s="48">
        <v>0.9784722222222222</v>
      </c>
      <c r="B360" s="62" t="s">
        <v>701</v>
      </c>
      <c r="C360" s="45" t="s">
        <v>336</v>
      </c>
      <c r="D360" s="62" t="s">
        <v>698</v>
      </c>
      <c r="E360" s="11" t="s">
        <v>13</v>
      </c>
    </row>
    <row r="361">
      <c r="A361" s="48">
        <v>0.9888888888888889</v>
      </c>
      <c r="B361" s="62" t="s">
        <v>702</v>
      </c>
      <c r="C361" s="45" t="s">
        <v>232</v>
      </c>
      <c r="D361" s="62" t="s">
        <v>699</v>
      </c>
      <c r="E361" s="11" t="s">
        <v>9</v>
      </c>
    </row>
    <row r="362">
      <c r="A362" s="48">
        <v>0.9888888888888889</v>
      </c>
      <c r="B362" s="62" t="s">
        <v>698</v>
      </c>
      <c r="C362" s="45" t="s">
        <v>20</v>
      </c>
      <c r="D362" s="62" t="s">
        <v>700</v>
      </c>
      <c r="E362" s="11" t="s">
        <v>13</v>
      </c>
    </row>
    <row r="363">
      <c r="A363" s="48">
        <v>0.9986111111111111</v>
      </c>
      <c r="B363" s="62" t="s">
        <v>701</v>
      </c>
      <c r="C363" s="45" t="s">
        <v>433</v>
      </c>
      <c r="D363" s="62" t="s">
        <v>699</v>
      </c>
      <c r="E363" s="11" t="s">
        <v>9</v>
      </c>
    </row>
    <row r="364">
      <c r="A364" s="48">
        <v>0.9986111111111111</v>
      </c>
      <c r="B364" s="62" t="s">
        <v>698</v>
      </c>
      <c r="C364" s="45" t="s">
        <v>248</v>
      </c>
      <c r="D364" s="62" t="s">
        <v>702</v>
      </c>
      <c r="E364" s="11" t="s">
        <v>13</v>
      </c>
    </row>
    <row r="365">
      <c r="A365" s="48">
        <v>0.009027777777777777</v>
      </c>
      <c r="B365" s="62" t="s">
        <v>699</v>
      </c>
      <c r="C365" s="45" t="s">
        <v>233</v>
      </c>
      <c r="D365" s="62" t="s">
        <v>698</v>
      </c>
      <c r="E365" s="11" t="s">
        <v>9</v>
      </c>
    </row>
    <row r="366">
      <c r="A366" s="48">
        <v>0.009027777777777777</v>
      </c>
      <c r="B366" s="62" t="s">
        <v>701</v>
      </c>
      <c r="C366" s="45" t="s">
        <v>220</v>
      </c>
      <c r="D366" s="62" t="s">
        <v>700</v>
      </c>
      <c r="E366" s="11" t="s">
        <v>13</v>
      </c>
    </row>
    <row r="367">
      <c r="A367" s="48">
        <v>0.019444444444444445</v>
      </c>
      <c r="B367" s="62" t="s">
        <v>699</v>
      </c>
      <c r="C367" s="45" t="s">
        <v>193</v>
      </c>
      <c r="D367" s="62" t="s">
        <v>700</v>
      </c>
      <c r="E367" s="11" t="s">
        <v>9</v>
      </c>
    </row>
    <row r="368">
      <c r="A368" s="48">
        <v>0.019444444444444445</v>
      </c>
      <c r="B368" s="62" t="s">
        <v>701</v>
      </c>
      <c r="C368" s="45" t="s">
        <v>218</v>
      </c>
      <c r="D368" s="62" t="s">
        <v>702</v>
      </c>
      <c r="E368" s="11" t="s">
        <v>13</v>
      </c>
    </row>
    <row r="369">
      <c r="A369" s="48">
        <v>0.029166666666666667</v>
      </c>
      <c r="B369" s="62" t="s">
        <v>700</v>
      </c>
      <c r="C369" s="45" t="s">
        <v>344</v>
      </c>
      <c r="D369" s="62" t="s">
        <v>702</v>
      </c>
      <c r="E369" s="11" t="s">
        <v>9</v>
      </c>
    </row>
    <row r="370">
      <c r="A370" s="48">
        <v>0.029166666666666667</v>
      </c>
      <c r="B370" s="62" t="s">
        <v>698</v>
      </c>
      <c r="C370" s="45" t="s">
        <v>248</v>
      </c>
      <c r="D370" s="62" t="s">
        <v>701</v>
      </c>
      <c r="E370" s="11" t="s">
        <v>13</v>
      </c>
    </row>
    <row r="371">
      <c r="A371" s="48">
        <v>0.03958333333333333</v>
      </c>
      <c r="B371" s="62" t="s">
        <v>699</v>
      </c>
      <c r="C371" s="45" t="s">
        <v>344</v>
      </c>
      <c r="D371" s="62" t="s">
        <v>702</v>
      </c>
      <c r="E371" s="11" t="s">
        <v>9</v>
      </c>
    </row>
    <row r="372">
      <c r="A372" s="48">
        <v>0.03958333333333333</v>
      </c>
      <c r="B372" s="62" t="s">
        <v>700</v>
      </c>
      <c r="C372" s="45" t="s">
        <v>193</v>
      </c>
      <c r="D372" s="62" t="s">
        <v>698</v>
      </c>
      <c r="E372" s="11" t="s">
        <v>13</v>
      </c>
    </row>
    <row r="373">
      <c r="A373" s="48">
        <v>0.05</v>
      </c>
      <c r="B373" s="62" t="s">
        <v>699</v>
      </c>
      <c r="C373" s="45" t="s">
        <v>209</v>
      </c>
      <c r="D373" s="62" t="s">
        <v>701</v>
      </c>
      <c r="E373" s="11" t="s">
        <v>9</v>
      </c>
    </row>
    <row r="374">
      <c r="A374" s="48">
        <v>0.05</v>
      </c>
      <c r="B374" s="62" t="s">
        <v>702</v>
      </c>
      <c r="C374" s="45" t="s">
        <v>220</v>
      </c>
      <c r="D374" s="62" t="s">
        <v>698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703</v>
      </c>
      <c r="C377" s="45" t="s">
        <v>181</v>
      </c>
      <c r="D377" s="62" t="s">
        <v>704</v>
      </c>
      <c r="E377" s="11" t="s">
        <v>29</v>
      </c>
    </row>
    <row r="378">
      <c r="A378" s="48">
        <v>0.9583333333333334</v>
      </c>
      <c r="B378" s="62" t="s">
        <v>705</v>
      </c>
      <c r="C378" s="45" t="s">
        <v>158</v>
      </c>
      <c r="D378" s="62" t="s">
        <v>706</v>
      </c>
      <c r="E378" s="11" t="s">
        <v>33</v>
      </c>
    </row>
    <row r="379">
      <c r="A379" s="48">
        <v>0.9680555555555556</v>
      </c>
      <c r="B379" s="62" t="s">
        <v>705</v>
      </c>
      <c r="C379" s="45" t="s">
        <v>433</v>
      </c>
      <c r="D379" s="62" t="s">
        <v>704</v>
      </c>
      <c r="E379" s="11" t="s">
        <v>29</v>
      </c>
    </row>
    <row r="380">
      <c r="A380" s="48">
        <v>0.9680555555555556</v>
      </c>
      <c r="B380" s="62" t="s">
        <v>707</v>
      </c>
      <c r="C380" s="45" t="s">
        <v>250</v>
      </c>
      <c r="D380" s="62" t="s">
        <v>706</v>
      </c>
      <c r="E380" s="11" t="s">
        <v>33</v>
      </c>
    </row>
    <row r="381">
      <c r="A381" s="48">
        <v>0.9784722222222222</v>
      </c>
      <c r="B381" s="62" t="s">
        <v>707</v>
      </c>
      <c r="C381" s="45" t="s">
        <v>327</v>
      </c>
      <c r="D381" s="62" t="s">
        <v>705</v>
      </c>
      <c r="E381" s="11" t="s">
        <v>29</v>
      </c>
    </row>
    <row r="382">
      <c r="A382" s="48">
        <v>0.9784722222222222</v>
      </c>
      <c r="B382" s="62" t="s">
        <v>706</v>
      </c>
      <c r="C382" s="45" t="s">
        <v>162</v>
      </c>
      <c r="D382" s="62" t="s">
        <v>703</v>
      </c>
      <c r="E382" s="11" t="s">
        <v>33</v>
      </c>
    </row>
    <row r="383">
      <c r="A383" s="48">
        <v>0.9888888888888889</v>
      </c>
      <c r="B383" s="62" t="s">
        <v>707</v>
      </c>
      <c r="C383" s="45" t="s">
        <v>155</v>
      </c>
      <c r="D383" s="62" t="s">
        <v>704</v>
      </c>
      <c r="E383" s="11" t="s">
        <v>29</v>
      </c>
    </row>
    <row r="384">
      <c r="A384" s="48">
        <v>0.9888888888888889</v>
      </c>
      <c r="B384" s="62" t="s">
        <v>703</v>
      </c>
      <c r="C384" s="45" t="s">
        <v>366</v>
      </c>
      <c r="D384" s="62" t="s">
        <v>705</v>
      </c>
      <c r="E384" s="11" t="s">
        <v>33</v>
      </c>
    </row>
    <row r="385">
      <c r="A385" s="48">
        <v>0.9986111111111111</v>
      </c>
      <c r="B385" s="62" t="s">
        <v>706</v>
      </c>
      <c r="C385" s="45" t="s">
        <v>37</v>
      </c>
      <c r="D385" s="62" t="s">
        <v>704</v>
      </c>
      <c r="E385" s="11" t="s">
        <v>29</v>
      </c>
    </row>
    <row r="386">
      <c r="A386" s="48">
        <v>0.9986111111111111</v>
      </c>
      <c r="B386" s="62" t="s">
        <v>703</v>
      </c>
      <c r="C386" s="45" t="s">
        <v>193</v>
      </c>
      <c r="D386" s="62" t="s">
        <v>707</v>
      </c>
      <c r="E386" s="11" t="s">
        <v>33</v>
      </c>
    </row>
    <row r="387">
      <c r="A387" s="48">
        <v>0.009027777777777777</v>
      </c>
      <c r="B387" s="62" t="s">
        <v>704</v>
      </c>
      <c r="C387" s="45" t="s">
        <v>18</v>
      </c>
      <c r="D387" s="62" t="s">
        <v>703</v>
      </c>
      <c r="E387" s="11" t="s">
        <v>29</v>
      </c>
    </row>
    <row r="388">
      <c r="A388" s="48">
        <v>0.009027777777777777</v>
      </c>
      <c r="B388" s="62" t="s">
        <v>706</v>
      </c>
      <c r="C388" s="45" t="s">
        <v>302</v>
      </c>
      <c r="D388" s="62" t="s">
        <v>705</v>
      </c>
      <c r="E388" s="11" t="s">
        <v>33</v>
      </c>
    </row>
    <row r="389">
      <c r="A389" s="48">
        <v>0.019444444444444445</v>
      </c>
      <c r="B389" s="62" t="s">
        <v>704</v>
      </c>
      <c r="C389" s="45" t="s">
        <v>301</v>
      </c>
      <c r="D389" s="62" t="s">
        <v>705</v>
      </c>
      <c r="E389" s="11" t="s">
        <v>29</v>
      </c>
    </row>
    <row r="390">
      <c r="A390" s="48">
        <v>0.019444444444444445</v>
      </c>
      <c r="B390" s="62" t="s">
        <v>706</v>
      </c>
      <c r="C390" s="45" t="s">
        <v>425</v>
      </c>
      <c r="D390" s="62" t="s">
        <v>707</v>
      </c>
      <c r="E390" s="11" t="s">
        <v>33</v>
      </c>
    </row>
    <row r="391">
      <c r="A391" s="48">
        <v>0.029166666666666667</v>
      </c>
      <c r="B391" s="62" t="s">
        <v>705</v>
      </c>
      <c r="C391" s="45" t="s">
        <v>158</v>
      </c>
      <c r="D391" s="62" t="s">
        <v>707</v>
      </c>
      <c r="E391" s="11" t="s">
        <v>29</v>
      </c>
    </row>
    <row r="392">
      <c r="A392" s="48">
        <v>0.029166666666666667</v>
      </c>
      <c r="B392" s="62" t="s">
        <v>703</v>
      </c>
      <c r="C392" s="45" t="s">
        <v>219</v>
      </c>
      <c r="D392" s="62" t="s">
        <v>706</v>
      </c>
      <c r="E392" s="11" t="s">
        <v>33</v>
      </c>
    </row>
    <row r="393">
      <c r="A393" s="48">
        <v>0.03958333333333333</v>
      </c>
      <c r="B393" s="62" t="s">
        <v>704</v>
      </c>
      <c r="C393" s="45" t="s">
        <v>185</v>
      </c>
      <c r="D393" s="62" t="s">
        <v>707</v>
      </c>
      <c r="E393" s="11" t="s">
        <v>29</v>
      </c>
    </row>
    <row r="394">
      <c r="A394" s="48">
        <v>0.03958333333333333</v>
      </c>
      <c r="B394" s="62" t="s">
        <v>705</v>
      </c>
      <c r="C394" s="45" t="s">
        <v>164</v>
      </c>
      <c r="D394" s="62" t="s">
        <v>703</v>
      </c>
      <c r="E394" s="11" t="s">
        <v>33</v>
      </c>
    </row>
    <row r="395">
      <c r="A395" s="48">
        <v>0.05</v>
      </c>
      <c r="B395" s="62" t="s">
        <v>704</v>
      </c>
      <c r="C395" s="45" t="s">
        <v>271</v>
      </c>
      <c r="D395" s="62" t="s">
        <v>706</v>
      </c>
      <c r="E395" s="11" t="s">
        <v>29</v>
      </c>
    </row>
    <row r="396">
      <c r="A396" s="48">
        <v>0.05</v>
      </c>
      <c r="B396" s="62" t="s">
        <v>707</v>
      </c>
      <c r="C396" s="45" t="s">
        <v>7</v>
      </c>
      <c r="D396" s="62" t="s">
        <v>703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599</v>
      </c>
      <c r="C3" s="45" t="s">
        <v>158</v>
      </c>
      <c r="D3" s="62" t="s">
        <v>479</v>
      </c>
      <c r="E3" s="11" t="s">
        <v>9</v>
      </c>
    </row>
    <row r="4">
      <c r="A4" s="7">
        <v>0.0625</v>
      </c>
      <c r="B4" s="61" t="s">
        <v>478</v>
      </c>
      <c r="C4" s="45" t="s">
        <v>42</v>
      </c>
      <c r="D4" s="61" t="s">
        <v>598</v>
      </c>
      <c r="E4" s="11" t="s">
        <v>13</v>
      </c>
    </row>
    <row r="5">
      <c r="A5" s="7">
        <v>0.07222222222222222</v>
      </c>
      <c r="B5" s="62" t="s">
        <v>478</v>
      </c>
      <c r="C5" s="45" t="s">
        <v>620</v>
      </c>
      <c r="D5" s="61" t="s">
        <v>479</v>
      </c>
      <c r="E5" s="11" t="s">
        <v>9</v>
      </c>
    </row>
    <row r="6">
      <c r="A6" s="7">
        <v>0.07222222222222222</v>
      </c>
      <c r="B6" s="61" t="s">
        <v>365</v>
      </c>
      <c r="C6" s="45" t="s">
        <v>23</v>
      </c>
      <c r="D6" s="62" t="s">
        <v>598</v>
      </c>
      <c r="E6" s="11" t="s">
        <v>13</v>
      </c>
    </row>
    <row r="7">
      <c r="A7" s="7">
        <v>0.08263888888888889</v>
      </c>
      <c r="B7" s="62" t="s">
        <v>365</v>
      </c>
      <c r="C7" s="45" t="s">
        <v>247</v>
      </c>
      <c r="D7" s="61" t="s">
        <v>478</v>
      </c>
      <c r="E7" s="11" t="s">
        <v>9</v>
      </c>
    </row>
    <row r="8">
      <c r="A8" s="7">
        <v>0.08263888888888889</v>
      </c>
      <c r="B8" s="61" t="s">
        <v>598</v>
      </c>
      <c r="C8" s="45" t="s">
        <v>43</v>
      </c>
      <c r="D8" s="61" t="s">
        <v>599</v>
      </c>
      <c r="E8" s="11" t="s">
        <v>13</v>
      </c>
    </row>
    <row r="9">
      <c r="A9" s="7">
        <v>0.09305555555555556</v>
      </c>
      <c r="B9" s="62" t="s">
        <v>365</v>
      </c>
      <c r="C9" s="45" t="s">
        <v>245</v>
      </c>
      <c r="D9" s="62" t="s">
        <v>479</v>
      </c>
      <c r="E9" s="11" t="s">
        <v>9</v>
      </c>
    </row>
    <row r="10">
      <c r="A10" s="7">
        <v>0.09305555555555556</v>
      </c>
      <c r="B10" s="61" t="s">
        <v>599</v>
      </c>
      <c r="C10" s="45" t="s">
        <v>248</v>
      </c>
      <c r="D10" s="61" t="s">
        <v>478</v>
      </c>
      <c r="E10" s="11" t="s">
        <v>13</v>
      </c>
    </row>
    <row r="11">
      <c r="A11" s="7">
        <v>0.10277777777777777</v>
      </c>
      <c r="B11" s="62" t="s">
        <v>598</v>
      </c>
      <c r="C11" s="45" t="s">
        <v>195</v>
      </c>
      <c r="D11" s="61" t="s">
        <v>479</v>
      </c>
      <c r="E11" s="11" t="s">
        <v>9</v>
      </c>
    </row>
    <row r="12">
      <c r="A12" s="7">
        <v>0.10277777777777777</v>
      </c>
      <c r="B12" s="61" t="s">
        <v>599</v>
      </c>
      <c r="C12" s="45" t="s">
        <v>708</v>
      </c>
      <c r="D12" s="62" t="s">
        <v>365</v>
      </c>
      <c r="E12" s="11" t="s">
        <v>13</v>
      </c>
    </row>
    <row r="13">
      <c r="A13" s="7">
        <v>0.11319444444444444</v>
      </c>
      <c r="B13" s="62" t="s">
        <v>479</v>
      </c>
      <c r="C13" s="45" t="s">
        <v>19</v>
      </c>
      <c r="D13" s="61" t="s">
        <v>599</v>
      </c>
      <c r="E13" s="11" t="s">
        <v>9</v>
      </c>
    </row>
    <row r="14">
      <c r="A14" s="7">
        <v>0.11319444444444444</v>
      </c>
      <c r="B14" s="61" t="s">
        <v>598</v>
      </c>
      <c r="C14" s="45" t="s">
        <v>208</v>
      </c>
      <c r="D14" s="61" t="s">
        <v>478</v>
      </c>
      <c r="E14" s="11" t="s">
        <v>13</v>
      </c>
    </row>
    <row r="15">
      <c r="A15" s="7">
        <v>0.12361111111111112</v>
      </c>
      <c r="B15" s="61" t="s">
        <v>479</v>
      </c>
      <c r="C15" s="45" t="s">
        <v>709</v>
      </c>
      <c r="D15" s="62" t="s">
        <v>478</v>
      </c>
      <c r="E15" s="11" t="s">
        <v>9</v>
      </c>
    </row>
    <row r="16">
      <c r="A16" s="7">
        <v>0.12361111111111112</v>
      </c>
      <c r="B16" s="62" t="s">
        <v>598</v>
      </c>
      <c r="C16" s="45" t="s">
        <v>209</v>
      </c>
      <c r="D16" s="61" t="s">
        <v>365</v>
      </c>
      <c r="E16" s="11" t="s">
        <v>13</v>
      </c>
    </row>
    <row r="17">
      <c r="A17" s="7">
        <v>0.13333333333333333</v>
      </c>
      <c r="B17" s="61" t="s">
        <v>478</v>
      </c>
      <c r="C17" s="45" t="s">
        <v>209</v>
      </c>
      <c r="D17" s="62" t="s">
        <v>365</v>
      </c>
      <c r="E17" s="11" t="s">
        <v>9</v>
      </c>
    </row>
    <row r="18">
      <c r="A18" s="7">
        <v>0.13333333333333333</v>
      </c>
      <c r="B18" s="61" t="s">
        <v>599</v>
      </c>
      <c r="C18" s="45" t="s">
        <v>278</v>
      </c>
      <c r="D18" s="61" t="s">
        <v>598</v>
      </c>
      <c r="E18" s="11" t="s">
        <v>13</v>
      </c>
    </row>
    <row r="19">
      <c r="A19" s="7">
        <v>0.14375</v>
      </c>
      <c r="B19" s="62" t="s">
        <v>479</v>
      </c>
      <c r="C19" s="45" t="s">
        <v>248</v>
      </c>
      <c r="D19" s="62" t="s">
        <v>365</v>
      </c>
      <c r="E19" s="11" t="s">
        <v>9</v>
      </c>
    </row>
    <row r="20">
      <c r="A20" s="7">
        <v>0.14375</v>
      </c>
      <c r="B20" s="61" t="s">
        <v>478</v>
      </c>
      <c r="C20" s="45" t="s">
        <v>198</v>
      </c>
      <c r="D20" s="61" t="s">
        <v>599</v>
      </c>
      <c r="E20" s="11" t="s">
        <v>13</v>
      </c>
    </row>
    <row r="21">
      <c r="A21" s="7">
        <v>0.15416666666666667</v>
      </c>
      <c r="B21" s="61" t="s">
        <v>479</v>
      </c>
      <c r="C21" s="45" t="s">
        <v>301</v>
      </c>
      <c r="D21" s="62" t="s">
        <v>598</v>
      </c>
      <c r="E21" s="11" t="s">
        <v>9</v>
      </c>
    </row>
    <row r="22">
      <c r="A22" s="7">
        <v>0.15416666666666667</v>
      </c>
      <c r="B22" s="62" t="s">
        <v>365</v>
      </c>
      <c r="C22" s="45" t="s">
        <v>177</v>
      </c>
      <c r="D22" s="61" t="s">
        <v>599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600</v>
      </c>
      <c r="C25" s="45" t="s">
        <v>225</v>
      </c>
      <c r="D25" s="61" t="s">
        <v>710</v>
      </c>
      <c r="E25" s="11" t="s">
        <v>29</v>
      </c>
    </row>
    <row r="26">
      <c r="A26" s="7">
        <v>0.0625</v>
      </c>
      <c r="B26" s="61" t="s">
        <v>485</v>
      </c>
      <c r="C26" s="45" t="s">
        <v>173</v>
      </c>
      <c r="D26" s="61" t="s">
        <v>461</v>
      </c>
      <c r="E26" s="11" t="s">
        <v>33</v>
      </c>
    </row>
    <row r="27">
      <c r="A27" s="7">
        <v>0.07222222222222222</v>
      </c>
      <c r="B27" s="62" t="s">
        <v>485</v>
      </c>
      <c r="C27" s="45" t="s">
        <v>426</v>
      </c>
      <c r="D27" s="62" t="s">
        <v>710</v>
      </c>
      <c r="E27" s="11" t="s">
        <v>29</v>
      </c>
    </row>
    <row r="28">
      <c r="A28" s="7">
        <v>0.07222222222222222</v>
      </c>
      <c r="B28" s="61" t="s">
        <v>711</v>
      </c>
      <c r="C28" s="45" t="s">
        <v>570</v>
      </c>
      <c r="D28" s="61" t="s">
        <v>461</v>
      </c>
      <c r="E28" s="15" t="s">
        <v>33</v>
      </c>
    </row>
    <row r="29">
      <c r="A29" s="7">
        <v>0.08263888888888889</v>
      </c>
      <c r="B29" s="62" t="s">
        <v>711</v>
      </c>
      <c r="C29" s="45" t="s">
        <v>712</v>
      </c>
      <c r="D29" s="61" t="s">
        <v>485</v>
      </c>
      <c r="E29" s="11" t="s">
        <v>29</v>
      </c>
    </row>
    <row r="30">
      <c r="A30" s="7">
        <v>0.08263888888888889</v>
      </c>
      <c r="B30" s="61" t="s">
        <v>461</v>
      </c>
      <c r="C30" s="45" t="s">
        <v>567</v>
      </c>
      <c r="D30" s="61" t="s">
        <v>600</v>
      </c>
      <c r="E30" s="15" t="s">
        <v>33</v>
      </c>
    </row>
    <row r="31">
      <c r="A31" s="7">
        <v>0.09305555555555556</v>
      </c>
      <c r="B31" s="62" t="s">
        <v>711</v>
      </c>
      <c r="C31" s="45" t="s">
        <v>219</v>
      </c>
      <c r="D31" s="61" t="s">
        <v>710</v>
      </c>
      <c r="E31" s="11" t="s">
        <v>29</v>
      </c>
    </row>
    <row r="32">
      <c r="A32" s="7">
        <v>0.09305555555555556</v>
      </c>
      <c r="B32" s="61" t="s">
        <v>600</v>
      </c>
      <c r="C32" s="45" t="s">
        <v>565</v>
      </c>
      <c r="D32" s="62" t="s">
        <v>485</v>
      </c>
      <c r="E32" s="15" t="s">
        <v>33</v>
      </c>
    </row>
    <row r="33">
      <c r="A33" s="7">
        <v>0.10277777777777777</v>
      </c>
      <c r="B33" s="61" t="s">
        <v>461</v>
      </c>
      <c r="C33" s="45" t="s">
        <v>256</v>
      </c>
      <c r="D33" s="61" t="s">
        <v>710</v>
      </c>
      <c r="E33" s="11" t="s">
        <v>29</v>
      </c>
    </row>
    <row r="34">
      <c r="A34" s="7">
        <v>0.10277777777777777</v>
      </c>
      <c r="B34" s="61" t="s">
        <v>600</v>
      </c>
      <c r="C34" s="45" t="s">
        <v>713</v>
      </c>
      <c r="D34" s="61" t="s">
        <v>711</v>
      </c>
      <c r="E34" s="15" t="s">
        <v>33</v>
      </c>
    </row>
    <row r="35">
      <c r="A35" s="7">
        <v>0.11319444444444444</v>
      </c>
      <c r="B35" s="61" t="s">
        <v>710</v>
      </c>
      <c r="C35" s="45" t="s">
        <v>418</v>
      </c>
      <c r="D35" s="61" t="s">
        <v>600</v>
      </c>
      <c r="E35" s="11" t="s">
        <v>29</v>
      </c>
    </row>
    <row r="36">
      <c r="A36" s="7">
        <v>0.11319444444444444</v>
      </c>
      <c r="B36" s="61" t="s">
        <v>461</v>
      </c>
      <c r="C36" s="45" t="s">
        <v>155</v>
      </c>
      <c r="D36" s="61" t="s">
        <v>485</v>
      </c>
      <c r="E36" s="15" t="s">
        <v>33</v>
      </c>
    </row>
    <row r="37">
      <c r="A37" s="7">
        <v>0.12361111111111112</v>
      </c>
      <c r="B37" s="62" t="s">
        <v>710</v>
      </c>
      <c r="C37" s="45" t="s">
        <v>16</v>
      </c>
      <c r="D37" s="62" t="s">
        <v>485</v>
      </c>
      <c r="E37" s="11" t="s">
        <v>29</v>
      </c>
    </row>
    <row r="38">
      <c r="A38" s="7">
        <v>0.12361111111111112</v>
      </c>
      <c r="B38" s="61" t="s">
        <v>461</v>
      </c>
      <c r="C38" s="45" t="s">
        <v>231</v>
      </c>
      <c r="D38" s="61" t="s">
        <v>711</v>
      </c>
      <c r="E38" s="15" t="s">
        <v>33</v>
      </c>
    </row>
    <row r="39">
      <c r="A39" s="7">
        <v>0.13333333333333333</v>
      </c>
      <c r="B39" s="61" t="s">
        <v>485</v>
      </c>
      <c r="C39" s="45" t="s">
        <v>17</v>
      </c>
      <c r="D39" s="62" t="s">
        <v>711</v>
      </c>
      <c r="E39" s="11" t="s">
        <v>29</v>
      </c>
    </row>
    <row r="40">
      <c r="A40" s="7">
        <v>0.13333333333333333</v>
      </c>
      <c r="B40" s="61" t="s">
        <v>600</v>
      </c>
      <c r="C40" s="45" t="s">
        <v>209</v>
      </c>
      <c r="D40" s="61" t="s">
        <v>461</v>
      </c>
      <c r="E40" s="15" t="s">
        <v>33</v>
      </c>
    </row>
    <row r="41">
      <c r="A41" s="7">
        <v>0.14375</v>
      </c>
      <c r="B41" s="61" t="s">
        <v>710</v>
      </c>
      <c r="C41" s="45" t="s">
        <v>362</v>
      </c>
      <c r="D41" s="62" t="s">
        <v>711</v>
      </c>
      <c r="E41" s="11" t="s">
        <v>29</v>
      </c>
    </row>
    <row r="42">
      <c r="A42" s="7">
        <v>0.14375</v>
      </c>
      <c r="B42" s="62" t="s">
        <v>485</v>
      </c>
      <c r="C42" s="45" t="s">
        <v>278</v>
      </c>
      <c r="D42" s="61" t="s">
        <v>600</v>
      </c>
      <c r="E42" s="15" t="s">
        <v>33</v>
      </c>
    </row>
    <row r="43">
      <c r="A43" s="7">
        <v>0.15416666666666667</v>
      </c>
      <c r="B43" s="61" t="s">
        <v>710</v>
      </c>
      <c r="C43" s="45" t="s">
        <v>248</v>
      </c>
      <c r="D43" s="61" t="s">
        <v>461</v>
      </c>
      <c r="E43" s="11" t="s">
        <v>29</v>
      </c>
    </row>
    <row r="44">
      <c r="A44" s="7">
        <v>0.15416666666666667</v>
      </c>
      <c r="B44" s="61" t="s">
        <v>711</v>
      </c>
      <c r="C44" s="45" t="s">
        <v>176</v>
      </c>
      <c r="D44" s="61" t="s">
        <v>600</v>
      </c>
      <c r="E44" s="15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1" t="s">
        <v>714</v>
      </c>
      <c r="C47" s="45" t="s">
        <v>162</v>
      </c>
      <c r="D47" s="61" t="s">
        <v>715</v>
      </c>
      <c r="E47" s="11" t="s">
        <v>9</v>
      </c>
    </row>
    <row r="48">
      <c r="A48" s="7">
        <v>0.16666666666666666</v>
      </c>
      <c r="B48" s="61" t="s">
        <v>491</v>
      </c>
      <c r="C48" s="45" t="s">
        <v>193</v>
      </c>
      <c r="D48" s="61" t="s">
        <v>716</v>
      </c>
      <c r="E48" s="11" t="s">
        <v>13</v>
      </c>
    </row>
    <row r="49">
      <c r="A49" s="7">
        <v>0.1763888888888889</v>
      </c>
      <c r="B49" s="61" t="s">
        <v>491</v>
      </c>
      <c r="C49" s="45" t="s">
        <v>185</v>
      </c>
      <c r="D49" s="61" t="s">
        <v>715</v>
      </c>
      <c r="E49" s="11" t="s">
        <v>9</v>
      </c>
    </row>
    <row r="50">
      <c r="A50" s="7">
        <v>0.1763888888888889</v>
      </c>
      <c r="B50" s="61" t="s">
        <v>717</v>
      </c>
      <c r="C50" s="45" t="s">
        <v>158</v>
      </c>
      <c r="D50" s="61" t="s">
        <v>716</v>
      </c>
      <c r="E50" s="11" t="s">
        <v>13</v>
      </c>
    </row>
    <row r="51">
      <c r="A51" s="7">
        <v>0.18680555555555556</v>
      </c>
      <c r="B51" s="61" t="s">
        <v>717</v>
      </c>
      <c r="C51" s="45" t="s">
        <v>638</v>
      </c>
      <c r="D51" s="61" t="s">
        <v>491</v>
      </c>
      <c r="E51" s="11" t="s">
        <v>9</v>
      </c>
    </row>
    <row r="52">
      <c r="A52" s="7">
        <v>0.18680555555555556</v>
      </c>
      <c r="B52" s="61" t="s">
        <v>716</v>
      </c>
      <c r="C52" s="45" t="s">
        <v>20</v>
      </c>
      <c r="D52" s="61" t="s">
        <v>714</v>
      </c>
      <c r="E52" s="11" t="s">
        <v>13</v>
      </c>
    </row>
    <row r="53">
      <c r="A53" s="7">
        <v>0.19722222222222222</v>
      </c>
      <c r="B53" s="61" t="s">
        <v>717</v>
      </c>
      <c r="C53" s="45" t="s">
        <v>173</v>
      </c>
      <c r="D53" s="61" t="s">
        <v>715</v>
      </c>
      <c r="E53" s="11" t="s">
        <v>9</v>
      </c>
    </row>
    <row r="54">
      <c r="A54" s="7">
        <v>0.19722222222222222</v>
      </c>
      <c r="B54" s="61" t="s">
        <v>714</v>
      </c>
      <c r="C54" s="45" t="s">
        <v>23</v>
      </c>
      <c r="D54" s="61" t="s">
        <v>491</v>
      </c>
      <c r="E54" s="11" t="s">
        <v>13</v>
      </c>
    </row>
    <row r="55">
      <c r="A55" s="7">
        <v>0.20694444444444443</v>
      </c>
      <c r="B55" s="61" t="s">
        <v>716</v>
      </c>
      <c r="C55" s="45" t="s">
        <v>245</v>
      </c>
      <c r="D55" s="61" t="s">
        <v>715</v>
      </c>
      <c r="E55" s="11" t="s">
        <v>9</v>
      </c>
    </row>
    <row r="56">
      <c r="A56" s="7">
        <v>0.20694444444444443</v>
      </c>
      <c r="B56" s="61" t="s">
        <v>714</v>
      </c>
      <c r="C56" s="45" t="s">
        <v>271</v>
      </c>
      <c r="D56" s="61" t="s">
        <v>717</v>
      </c>
      <c r="E56" s="11" t="s">
        <v>13</v>
      </c>
    </row>
    <row r="57">
      <c r="A57" s="7">
        <v>0.21736111111111112</v>
      </c>
      <c r="B57" s="61" t="s">
        <v>715</v>
      </c>
      <c r="C57" s="45" t="s">
        <v>198</v>
      </c>
      <c r="D57" s="61" t="s">
        <v>714</v>
      </c>
      <c r="E57" s="11" t="s">
        <v>9</v>
      </c>
    </row>
    <row r="58">
      <c r="A58" s="7">
        <v>0.21736111111111112</v>
      </c>
      <c r="B58" s="61" t="s">
        <v>716</v>
      </c>
      <c r="C58" s="45" t="s">
        <v>718</v>
      </c>
      <c r="D58" s="61" t="s">
        <v>491</v>
      </c>
      <c r="E58" s="11" t="s">
        <v>13</v>
      </c>
    </row>
    <row r="59">
      <c r="A59" s="7">
        <v>0.22777777777777777</v>
      </c>
      <c r="B59" s="61" t="s">
        <v>715</v>
      </c>
      <c r="C59" s="45" t="s">
        <v>14</v>
      </c>
      <c r="D59" s="61" t="s">
        <v>491</v>
      </c>
      <c r="E59" s="11" t="s">
        <v>9</v>
      </c>
    </row>
    <row r="60">
      <c r="A60" s="7">
        <v>0.22777777777777777</v>
      </c>
      <c r="B60" s="61" t="s">
        <v>716</v>
      </c>
      <c r="C60" s="45" t="s">
        <v>21</v>
      </c>
      <c r="D60" s="61" t="s">
        <v>717</v>
      </c>
      <c r="E60" s="11" t="s">
        <v>13</v>
      </c>
    </row>
    <row r="61">
      <c r="A61" s="7">
        <v>0.2375</v>
      </c>
      <c r="B61" s="61" t="s">
        <v>491</v>
      </c>
      <c r="C61" s="45" t="s">
        <v>271</v>
      </c>
      <c r="D61" s="61" t="s">
        <v>717</v>
      </c>
      <c r="E61" s="11" t="s">
        <v>9</v>
      </c>
    </row>
    <row r="62">
      <c r="A62" s="7">
        <v>0.2375</v>
      </c>
      <c r="B62" s="61" t="s">
        <v>714</v>
      </c>
      <c r="C62" s="45" t="s">
        <v>181</v>
      </c>
      <c r="D62" s="61" t="s">
        <v>716</v>
      </c>
      <c r="E62" s="11" t="s">
        <v>13</v>
      </c>
    </row>
    <row r="63">
      <c r="A63" s="7">
        <v>0.24791666666666667</v>
      </c>
      <c r="B63" s="61" t="s">
        <v>715</v>
      </c>
      <c r="C63" s="45" t="s">
        <v>719</v>
      </c>
      <c r="D63" s="61" t="s">
        <v>717</v>
      </c>
      <c r="E63" s="11" t="s">
        <v>9</v>
      </c>
    </row>
    <row r="64">
      <c r="A64" s="7">
        <v>0.24791666666666667</v>
      </c>
      <c r="B64" s="61" t="s">
        <v>491</v>
      </c>
      <c r="C64" s="45" t="s">
        <v>281</v>
      </c>
      <c r="D64" s="61" t="s">
        <v>714</v>
      </c>
      <c r="E64" s="11" t="s">
        <v>13</v>
      </c>
    </row>
    <row r="65">
      <c r="A65" s="7">
        <v>0.25833333333333336</v>
      </c>
      <c r="B65" s="61" t="s">
        <v>715</v>
      </c>
      <c r="C65" s="45" t="s">
        <v>155</v>
      </c>
      <c r="D65" s="61" t="s">
        <v>716</v>
      </c>
      <c r="E65" s="11" t="s">
        <v>9</v>
      </c>
    </row>
    <row r="66">
      <c r="A66" s="7">
        <v>0.25833333333333336</v>
      </c>
      <c r="B66" s="61" t="s">
        <v>717</v>
      </c>
      <c r="C66" s="45" t="s">
        <v>203</v>
      </c>
      <c r="D66" s="61" t="s">
        <v>714</v>
      </c>
      <c r="E66" s="11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1" t="s">
        <v>720</v>
      </c>
      <c r="C69" s="45" t="s">
        <v>211</v>
      </c>
      <c r="D69" s="61" t="s">
        <v>721</v>
      </c>
      <c r="E69" s="11" t="s">
        <v>29</v>
      </c>
    </row>
    <row r="70">
      <c r="A70" s="7">
        <v>0.16666666666666666</v>
      </c>
      <c r="B70" s="61" t="s">
        <v>130</v>
      </c>
      <c r="C70" s="45" t="s">
        <v>37</v>
      </c>
      <c r="D70" s="61" t="s">
        <v>722</v>
      </c>
      <c r="E70" s="11" t="s">
        <v>33</v>
      </c>
    </row>
    <row r="71">
      <c r="A71" s="7">
        <v>0.1763888888888889</v>
      </c>
      <c r="B71" s="61" t="s">
        <v>130</v>
      </c>
      <c r="C71" s="45" t="s">
        <v>289</v>
      </c>
      <c r="D71" s="61" t="s">
        <v>721</v>
      </c>
      <c r="E71" s="11" t="s">
        <v>29</v>
      </c>
    </row>
    <row r="72">
      <c r="A72" s="7">
        <v>0.1763888888888889</v>
      </c>
      <c r="B72" s="61" t="s">
        <v>723</v>
      </c>
      <c r="C72" s="45" t="s">
        <v>177</v>
      </c>
      <c r="D72" s="61" t="s">
        <v>722</v>
      </c>
      <c r="E72" s="15" t="s">
        <v>33</v>
      </c>
    </row>
    <row r="73">
      <c r="A73" s="7">
        <v>0.18680555555555556</v>
      </c>
      <c r="B73" s="61" t="s">
        <v>723</v>
      </c>
      <c r="C73" s="45" t="s">
        <v>566</v>
      </c>
      <c r="D73" s="61" t="s">
        <v>130</v>
      </c>
      <c r="E73" s="11" t="s">
        <v>29</v>
      </c>
    </row>
    <row r="74">
      <c r="A74" s="7">
        <v>0.18680555555555556</v>
      </c>
      <c r="B74" s="61" t="s">
        <v>722</v>
      </c>
      <c r="C74" s="45" t="s">
        <v>651</v>
      </c>
      <c r="D74" s="61" t="s">
        <v>720</v>
      </c>
      <c r="E74" s="15" t="s">
        <v>33</v>
      </c>
    </row>
    <row r="75">
      <c r="A75" s="7">
        <v>0.19722222222222222</v>
      </c>
      <c r="B75" s="61" t="s">
        <v>723</v>
      </c>
      <c r="C75" s="45" t="s">
        <v>311</v>
      </c>
      <c r="D75" s="61" t="s">
        <v>721</v>
      </c>
      <c r="E75" s="11" t="s">
        <v>29</v>
      </c>
    </row>
    <row r="76">
      <c r="A76" s="7">
        <v>0.19722222222222222</v>
      </c>
      <c r="B76" s="61" t="s">
        <v>720</v>
      </c>
      <c r="C76" s="45" t="s">
        <v>352</v>
      </c>
      <c r="D76" s="61" t="s">
        <v>130</v>
      </c>
      <c r="E76" s="15" t="s">
        <v>33</v>
      </c>
    </row>
    <row r="77">
      <c r="A77" s="7">
        <v>0.20694444444444443</v>
      </c>
      <c r="B77" s="61" t="s">
        <v>722</v>
      </c>
      <c r="C77" s="45" t="s">
        <v>549</v>
      </c>
      <c r="D77" s="61" t="s">
        <v>721</v>
      </c>
      <c r="E77" s="11" t="s">
        <v>29</v>
      </c>
    </row>
    <row r="78">
      <c r="A78" s="7">
        <v>0.20694444444444443</v>
      </c>
      <c r="B78" s="61" t="s">
        <v>720</v>
      </c>
      <c r="C78" s="45" t="s">
        <v>323</v>
      </c>
      <c r="D78" s="61" t="s">
        <v>723</v>
      </c>
      <c r="E78" s="15" t="s">
        <v>33</v>
      </c>
    </row>
    <row r="79">
      <c r="A79" s="7">
        <v>0.21736111111111112</v>
      </c>
      <c r="B79" s="61" t="s">
        <v>721</v>
      </c>
      <c r="C79" s="45" t="s">
        <v>556</v>
      </c>
      <c r="D79" s="61" t="s">
        <v>720</v>
      </c>
      <c r="E79" s="11" t="s">
        <v>29</v>
      </c>
    </row>
    <row r="80">
      <c r="A80" s="7">
        <v>0.21736111111111112</v>
      </c>
      <c r="B80" s="61" t="s">
        <v>722</v>
      </c>
      <c r="C80" s="45" t="s">
        <v>181</v>
      </c>
      <c r="D80" s="61" t="s">
        <v>130</v>
      </c>
      <c r="E80" s="15" t="s">
        <v>33</v>
      </c>
    </row>
    <row r="81">
      <c r="A81" s="7">
        <v>0.22777777777777777</v>
      </c>
      <c r="B81" s="61" t="s">
        <v>721</v>
      </c>
      <c r="C81" s="45" t="s">
        <v>290</v>
      </c>
      <c r="D81" s="61" t="s">
        <v>130</v>
      </c>
      <c r="E81" s="11" t="s">
        <v>29</v>
      </c>
    </row>
    <row r="82">
      <c r="A82" s="7">
        <v>0.22777777777777777</v>
      </c>
      <c r="B82" s="61" t="s">
        <v>722</v>
      </c>
      <c r="C82" s="45" t="s">
        <v>344</v>
      </c>
      <c r="D82" s="61" t="s">
        <v>723</v>
      </c>
      <c r="E82" s="15" t="s">
        <v>33</v>
      </c>
    </row>
    <row r="83">
      <c r="A83" s="7">
        <v>0.2375</v>
      </c>
      <c r="B83" s="61" t="s">
        <v>130</v>
      </c>
      <c r="C83" s="45" t="s">
        <v>17</v>
      </c>
      <c r="D83" s="61" t="s">
        <v>723</v>
      </c>
      <c r="E83" s="11" t="s">
        <v>29</v>
      </c>
    </row>
    <row r="84">
      <c r="A84" s="7">
        <v>0.2375</v>
      </c>
      <c r="B84" s="61" t="s">
        <v>720</v>
      </c>
      <c r="C84" s="45" t="s">
        <v>181</v>
      </c>
      <c r="D84" s="61" t="s">
        <v>722</v>
      </c>
      <c r="E84" s="15" t="s">
        <v>33</v>
      </c>
    </row>
    <row r="85">
      <c r="A85" s="7">
        <v>0.24791666666666667</v>
      </c>
      <c r="B85" s="61" t="s">
        <v>721</v>
      </c>
      <c r="C85" s="45" t="s">
        <v>724</v>
      </c>
      <c r="D85" s="61" t="s">
        <v>723</v>
      </c>
      <c r="E85" s="11" t="s">
        <v>29</v>
      </c>
    </row>
    <row r="86">
      <c r="A86" s="7">
        <v>0.24791666666666667</v>
      </c>
      <c r="B86" s="61" t="s">
        <v>130</v>
      </c>
      <c r="C86" s="45" t="s">
        <v>20</v>
      </c>
      <c r="D86" s="61" t="s">
        <v>720</v>
      </c>
      <c r="E86" s="15" t="s">
        <v>33</v>
      </c>
    </row>
    <row r="87">
      <c r="A87" s="7">
        <v>0.25833333333333336</v>
      </c>
      <c r="B87" s="61" t="s">
        <v>721</v>
      </c>
      <c r="C87" s="45" t="s">
        <v>19</v>
      </c>
      <c r="D87" s="61" t="s">
        <v>722</v>
      </c>
      <c r="E87" s="11" t="s">
        <v>29</v>
      </c>
    </row>
    <row r="88">
      <c r="A88" s="7">
        <v>0.25833333333333336</v>
      </c>
      <c r="B88" s="61" t="s">
        <v>723</v>
      </c>
      <c r="C88" s="45" t="s">
        <v>725</v>
      </c>
      <c r="D88" s="61" t="s">
        <v>720</v>
      </c>
      <c r="E88" s="15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726</v>
      </c>
      <c r="C91" s="45" t="s">
        <v>250</v>
      </c>
      <c r="D91" s="61" t="s">
        <v>727</v>
      </c>
      <c r="E91" s="11" t="s">
        <v>9</v>
      </c>
    </row>
    <row r="92">
      <c r="A92" s="48">
        <v>0.3333333333333333</v>
      </c>
      <c r="B92" s="61" t="s">
        <v>728</v>
      </c>
      <c r="C92" s="45" t="s">
        <v>23</v>
      </c>
      <c r="D92" s="61" t="s">
        <v>729</v>
      </c>
      <c r="E92" s="11" t="s">
        <v>13</v>
      </c>
    </row>
    <row r="93">
      <c r="A93" s="48">
        <v>0.34305555555555556</v>
      </c>
      <c r="B93" s="61" t="s">
        <v>728</v>
      </c>
      <c r="C93" s="45" t="s">
        <v>220</v>
      </c>
      <c r="D93" s="61" t="s">
        <v>727</v>
      </c>
      <c r="E93" s="11" t="s">
        <v>9</v>
      </c>
    </row>
    <row r="94">
      <c r="A94" s="48">
        <v>0.34305555555555556</v>
      </c>
      <c r="B94" s="61" t="s">
        <v>730</v>
      </c>
      <c r="C94" s="45" t="s">
        <v>449</v>
      </c>
      <c r="D94" s="61" t="s">
        <v>729</v>
      </c>
      <c r="E94" s="11" t="s">
        <v>13</v>
      </c>
    </row>
    <row r="95">
      <c r="A95" s="48">
        <v>0.35347222222222224</v>
      </c>
      <c r="B95" s="61" t="s">
        <v>730</v>
      </c>
      <c r="C95" s="45" t="s">
        <v>302</v>
      </c>
      <c r="D95" s="61" t="s">
        <v>728</v>
      </c>
      <c r="E95" s="11" t="s">
        <v>9</v>
      </c>
    </row>
    <row r="96">
      <c r="A96" s="48">
        <v>0.35347222222222224</v>
      </c>
      <c r="B96" s="61" t="s">
        <v>729</v>
      </c>
      <c r="C96" s="45" t="s">
        <v>688</v>
      </c>
      <c r="D96" s="61" t="s">
        <v>726</v>
      </c>
      <c r="E96" s="11" t="s">
        <v>13</v>
      </c>
    </row>
    <row r="97">
      <c r="A97" s="48">
        <v>0.3638888888888889</v>
      </c>
      <c r="B97" s="61" t="s">
        <v>730</v>
      </c>
      <c r="C97" s="45" t="s">
        <v>245</v>
      </c>
      <c r="D97" s="61" t="s">
        <v>727</v>
      </c>
      <c r="E97" s="11" t="s">
        <v>9</v>
      </c>
    </row>
    <row r="98">
      <c r="A98" s="48">
        <v>0.3638888888888889</v>
      </c>
      <c r="B98" s="61" t="s">
        <v>726</v>
      </c>
      <c r="C98" s="45" t="s">
        <v>155</v>
      </c>
      <c r="D98" s="61" t="s">
        <v>728</v>
      </c>
      <c r="E98" s="11" t="s">
        <v>13</v>
      </c>
    </row>
    <row r="99">
      <c r="A99" s="48">
        <v>0.3736111111111111</v>
      </c>
      <c r="B99" s="61" t="s">
        <v>729</v>
      </c>
      <c r="C99" s="45" t="s">
        <v>166</v>
      </c>
      <c r="D99" s="61" t="s">
        <v>727</v>
      </c>
      <c r="E99" s="11" t="s">
        <v>9</v>
      </c>
    </row>
    <row r="100">
      <c r="A100" s="48">
        <v>0.3736111111111111</v>
      </c>
      <c r="B100" s="61" t="s">
        <v>726</v>
      </c>
      <c r="C100" s="45" t="s">
        <v>16</v>
      </c>
      <c r="D100" s="61" t="s">
        <v>730</v>
      </c>
      <c r="E100" s="11" t="s">
        <v>13</v>
      </c>
    </row>
    <row r="101">
      <c r="A101" s="48">
        <v>0.3840277777777778</v>
      </c>
      <c r="B101" s="61" t="s">
        <v>727</v>
      </c>
      <c r="C101" s="45" t="s">
        <v>158</v>
      </c>
      <c r="D101" s="61" t="s">
        <v>726</v>
      </c>
      <c r="E101" s="11" t="s">
        <v>9</v>
      </c>
    </row>
    <row r="102">
      <c r="A102" s="48">
        <v>0.3840277777777778</v>
      </c>
      <c r="B102" s="61" t="s">
        <v>729</v>
      </c>
      <c r="C102" s="45" t="s">
        <v>248</v>
      </c>
      <c r="D102" s="61" t="s">
        <v>728</v>
      </c>
      <c r="E102" s="11" t="s">
        <v>13</v>
      </c>
    </row>
    <row r="103">
      <c r="A103" s="48">
        <v>0.39444444444444443</v>
      </c>
      <c r="B103" s="61" t="s">
        <v>727</v>
      </c>
      <c r="C103" s="45" t="s">
        <v>161</v>
      </c>
      <c r="D103" s="61" t="s">
        <v>728</v>
      </c>
      <c r="E103" s="11" t="s">
        <v>9</v>
      </c>
    </row>
    <row r="104">
      <c r="A104" s="48">
        <v>0.39444444444444443</v>
      </c>
      <c r="B104" s="61" t="s">
        <v>729</v>
      </c>
      <c r="C104" s="45" t="s">
        <v>248</v>
      </c>
      <c r="D104" s="61" t="s">
        <v>730</v>
      </c>
      <c r="E104" s="11" t="s">
        <v>13</v>
      </c>
    </row>
    <row r="105">
      <c r="A105" s="48">
        <v>0.4041666666666667</v>
      </c>
      <c r="B105" s="61" t="s">
        <v>728</v>
      </c>
      <c r="C105" s="45" t="s">
        <v>193</v>
      </c>
      <c r="D105" s="61" t="s">
        <v>730</v>
      </c>
      <c r="E105" s="11" t="s">
        <v>9</v>
      </c>
    </row>
    <row r="106">
      <c r="A106" s="48">
        <v>0.4041666666666667</v>
      </c>
      <c r="B106" s="61" t="s">
        <v>726</v>
      </c>
      <c r="C106" s="45" t="s">
        <v>196</v>
      </c>
      <c r="D106" s="61" t="s">
        <v>729</v>
      </c>
      <c r="E106" s="11" t="s">
        <v>13</v>
      </c>
    </row>
    <row r="107">
      <c r="A107" s="48">
        <v>0.41458333333333336</v>
      </c>
      <c r="B107" s="61" t="s">
        <v>727</v>
      </c>
      <c r="C107" s="45" t="s">
        <v>534</v>
      </c>
      <c r="D107" s="61" t="s">
        <v>730</v>
      </c>
      <c r="E107" s="11" t="s">
        <v>9</v>
      </c>
    </row>
    <row r="108">
      <c r="A108" s="48">
        <v>0.41458333333333336</v>
      </c>
      <c r="B108" s="61" t="s">
        <v>728</v>
      </c>
      <c r="C108" s="45" t="s">
        <v>20</v>
      </c>
      <c r="D108" s="61" t="s">
        <v>726</v>
      </c>
      <c r="E108" s="11" t="s">
        <v>13</v>
      </c>
    </row>
    <row r="109">
      <c r="A109" s="48">
        <v>0.425</v>
      </c>
      <c r="B109" s="61" t="s">
        <v>727</v>
      </c>
      <c r="C109" s="45" t="s">
        <v>16</v>
      </c>
      <c r="D109" s="61" t="s">
        <v>729</v>
      </c>
      <c r="E109" s="11" t="s">
        <v>9</v>
      </c>
    </row>
    <row r="110">
      <c r="A110" s="48">
        <v>0.425</v>
      </c>
      <c r="B110" s="61" t="s">
        <v>730</v>
      </c>
      <c r="C110" s="45" t="s">
        <v>194</v>
      </c>
      <c r="D110" s="61" t="s">
        <v>726</v>
      </c>
      <c r="E110" s="11" t="s">
        <v>13</v>
      </c>
    </row>
    <row r="111">
      <c r="A111" s="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61" t="s">
        <v>731</v>
      </c>
      <c r="C113" s="45" t="s">
        <v>732</v>
      </c>
      <c r="D113" s="61" t="s">
        <v>733</v>
      </c>
      <c r="E113" s="11" t="s">
        <v>29</v>
      </c>
    </row>
    <row r="114">
      <c r="A114" s="30">
        <v>0.3333333333333333</v>
      </c>
      <c r="B114" s="61" t="s">
        <v>734</v>
      </c>
      <c r="C114" s="45" t="s">
        <v>162</v>
      </c>
      <c r="D114" s="61" t="s">
        <v>735</v>
      </c>
      <c r="E114" s="11" t="s">
        <v>33</v>
      </c>
    </row>
    <row r="115">
      <c r="A115" s="30">
        <v>0.34305555555555556</v>
      </c>
      <c r="B115" s="61" t="s">
        <v>734</v>
      </c>
      <c r="C115" s="45" t="s">
        <v>38</v>
      </c>
      <c r="D115" s="61" t="s">
        <v>733</v>
      </c>
      <c r="E115" s="11" t="s">
        <v>29</v>
      </c>
    </row>
    <row r="116">
      <c r="A116" s="30">
        <v>0.34305555555555556</v>
      </c>
      <c r="B116" s="61" t="s">
        <v>621</v>
      </c>
      <c r="C116" s="45" t="s">
        <v>42</v>
      </c>
      <c r="D116" s="61" t="s">
        <v>735</v>
      </c>
      <c r="E116" s="11" t="s">
        <v>33</v>
      </c>
    </row>
    <row r="117">
      <c r="A117" s="30">
        <v>0.35347222222222224</v>
      </c>
      <c r="B117" s="61" t="s">
        <v>621</v>
      </c>
      <c r="C117" s="45" t="s">
        <v>209</v>
      </c>
      <c r="D117" s="61" t="s">
        <v>734</v>
      </c>
      <c r="E117" s="11" t="s">
        <v>29</v>
      </c>
    </row>
    <row r="118">
      <c r="A118" s="30">
        <v>0.35347222222222224</v>
      </c>
      <c r="B118" s="61" t="s">
        <v>735</v>
      </c>
      <c r="C118" s="45" t="s">
        <v>173</v>
      </c>
      <c r="D118" s="61" t="s">
        <v>731</v>
      </c>
      <c r="E118" s="11" t="s">
        <v>33</v>
      </c>
    </row>
    <row r="119">
      <c r="A119" s="30">
        <v>0.3638888888888889</v>
      </c>
      <c r="B119" s="61" t="s">
        <v>621</v>
      </c>
      <c r="C119" s="45" t="s">
        <v>736</v>
      </c>
      <c r="D119" s="61" t="s">
        <v>733</v>
      </c>
      <c r="E119" s="11" t="s">
        <v>29</v>
      </c>
    </row>
    <row r="120">
      <c r="A120" s="30">
        <v>0.3638888888888889</v>
      </c>
      <c r="B120" s="61" t="s">
        <v>731</v>
      </c>
      <c r="C120" s="45" t="s">
        <v>545</v>
      </c>
      <c r="D120" s="61" t="s">
        <v>734</v>
      </c>
      <c r="E120" s="11" t="s">
        <v>33</v>
      </c>
    </row>
    <row r="121">
      <c r="A121" s="30">
        <v>0.3736111111111111</v>
      </c>
      <c r="B121" s="61" t="s">
        <v>735</v>
      </c>
      <c r="C121" s="45" t="s">
        <v>219</v>
      </c>
      <c r="D121" s="61" t="s">
        <v>733</v>
      </c>
      <c r="E121" s="11" t="s">
        <v>29</v>
      </c>
    </row>
    <row r="122">
      <c r="A122" s="30">
        <v>0.3736111111111111</v>
      </c>
      <c r="B122" s="61" t="s">
        <v>731</v>
      </c>
      <c r="C122" s="45" t="s">
        <v>195</v>
      </c>
      <c r="D122" s="61" t="s">
        <v>621</v>
      </c>
      <c r="E122" s="11" t="s">
        <v>33</v>
      </c>
    </row>
    <row r="123">
      <c r="A123" s="30">
        <v>0.3840277777777778</v>
      </c>
      <c r="B123" s="61" t="s">
        <v>733</v>
      </c>
      <c r="C123" s="45" t="s">
        <v>219</v>
      </c>
      <c r="D123" s="61" t="s">
        <v>731</v>
      </c>
      <c r="E123" s="11" t="s">
        <v>29</v>
      </c>
    </row>
    <row r="124">
      <c r="A124" s="30">
        <v>0.3840277777777778</v>
      </c>
      <c r="B124" s="61" t="s">
        <v>735</v>
      </c>
      <c r="C124" s="45" t="s">
        <v>545</v>
      </c>
      <c r="D124" s="61" t="s">
        <v>734</v>
      </c>
      <c r="E124" s="11" t="s">
        <v>33</v>
      </c>
    </row>
    <row r="125">
      <c r="A125" s="30">
        <v>0.39444444444444443</v>
      </c>
      <c r="B125" s="61" t="s">
        <v>733</v>
      </c>
      <c r="C125" s="45" t="s">
        <v>209</v>
      </c>
      <c r="D125" s="61" t="s">
        <v>734</v>
      </c>
      <c r="E125" s="11" t="s">
        <v>29</v>
      </c>
    </row>
    <row r="126">
      <c r="A126" s="30">
        <v>0.39444444444444443</v>
      </c>
      <c r="B126" s="61" t="s">
        <v>735</v>
      </c>
      <c r="C126" s="45" t="s">
        <v>162</v>
      </c>
      <c r="D126" s="61" t="s">
        <v>621</v>
      </c>
      <c r="E126" s="11" t="s">
        <v>33</v>
      </c>
    </row>
    <row r="127">
      <c r="A127" s="30">
        <v>0.4041666666666667</v>
      </c>
      <c r="B127" s="61" t="s">
        <v>734</v>
      </c>
      <c r="C127" s="45" t="s">
        <v>176</v>
      </c>
      <c r="D127" s="61" t="s">
        <v>621</v>
      </c>
      <c r="E127" s="11" t="s">
        <v>29</v>
      </c>
    </row>
    <row r="128">
      <c r="A128" s="30">
        <v>0.4041666666666667</v>
      </c>
      <c r="B128" s="61" t="s">
        <v>731</v>
      </c>
      <c r="C128" s="45" t="s">
        <v>737</v>
      </c>
      <c r="D128" s="61" t="s">
        <v>735</v>
      </c>
      <c r="E128" s="11" t="s">
        <v>33</v>
      </c>
    </row>
    <row r="129">
      <c r="A129" s="30">
        <v>0.41458333333333336</v>
      </c>
      <c r="B129" s="61" t="s">
        <v>733</v>
      </c>
      <c r="C129" s="45" t="s">
        <v>536</v>
      </c>
      <c r="D129" s="61" t="s">
        <v>621</v>
      </c>
      <c r="E129" s="11" t="s">
        <v>29</v>
      </c>
    </row>
    <row r="130">
      <c r="A130" s="30">
        <v>0.41458333333333336</v>
      </c>
      <c r="B130" s="61" t="s">
        <v>734</v>
      </c>
      <c r="C130" s="45" t="s">
        <v>464</v>
      </c>
      <c r="D130" s="61" t="s">
        <v>731</v>
      </c>
      <c r="E130" s="11" t="s">
        <v>33</v>
      </c>
    </row>
    <row r="131">
      <c r="A131" s="30">
        <v>0.425</v>
      </c>
      <c r="B131" s="61" t="s">
        <v>733</v>
      </c>
      <c r="C131" s="45" t="s">
        <v>195</v>
      </c>
      <c r="D131" s="61" t="s">
        <v>735</v>
      </c>
      <c r="E131" s="11" t="s">
        <v>29</v>
      </c>
    </row>
    <row r="132">
      <c r="A132" s="30">
        <v>0.425</v>
      </c>
      <c r="B132" s="61" t="s">
        <v>621</v>
      </c>
      <c r="C132" s="45" t="s">
        <v>155</v>
      </c>
      <c r="D132" s="61" t="s">
        <v>731</v>
      </c>
      <c r="E132" s="11" t="s">
        <v>33</v>
      </c>
    </row>
    <row r="133">
      <c r="A133" s="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738</v>
      </c>
      <c r="C135" s="57" t="s">
        <v>7</v>
      </c>
      <c r="D135" s="61" t="s">
        <v>739</v>
      </c>
      <c r="E135" s="11" t="s">
        <v>9</v>
      </c>
    </row>
    <row r="136">
      <c r="A136" s="48">
        <v>0.4375</v>
      </c>
      <c r="B136" s="61" t="s">
        <v>740</v>
      </c>
      <c r="C136" s="57" t="s">
        <v>248</v>
      </c>
      <c r="D136" s="61" t="s">
        <v>741</v>
      </c>
      <c r="E136" s="11" t="s">
        <v>13</v>
      </c>
    </row>
    <row r="137">
      <c r="A137" s="48">
        <v>0.44722222222222224</v>
      </c>
      <c r="B137" s="61" t="s">
        <v>740</v>
      </c>
      <c r="C137" s="57" t="s">
        <v>18</v>
      </c>
      <c r="D137" s="61" t="s">
        <v>739</v>
      </c>
      <c r="E137" s="11" t="s">
        <v>9</v>
      </c>
    </row>
    <row r="138">
      <c r="A138" s="48">
        <v>0.44722222222222224</v>
      </c>
      <c r="B138" s="61" t="s">
        <v>742</v>
      </c>
      <c r="C138" s="57" t="s">
        <v>181</v>
      </c>
      <c r="D138" s="61" t="s">
        <v>741</v>
      </c>
      <c r="E138" s="11" t="s">
        <v>13</v>
      </c>
    </row>
    <row r="139">
      <c r="A139" s="48">
        <v>0.4576388888888889</v>
      </c>
      <c r="B139" s="61" t="s">
        <v>742</v>
      </c>
      <c r="C139" s="57" t="s">
        <v>302</v>
      </c>
      <c r="D139" s="61" t="s">
        <v>740</v>
      </c>
      <c r="E139" s="11" t="s">
        <v>9</v>
      </c>
    </row>
    <row r="140">
      <c r="A140" s="48">
        <v>0.4576388888888889</v>
      </c>
      <c r="B140" s="61" t="s">
        <v>741</v>
      </c>
      <c r="C140" s="57" t="s">
        <v>303</v>
      </c>
      <c r="D140" s="61" t="s">
        <v>738</v>
      </c>
      <c r="E140" s="11" t="s">
        <v>13</v>
      </c>
    </row>
    <row r="141">
      <c r="A141" s="48">
        <v>0.46805555555555556</v>
      </c>
      <c r="B141" s="61" t="s">
        <v>742</v>
      </c>
      <c r="C141" s="57" t="s">
        <v>16</v>
      </c>
      <c r="D141" s="61" t="s">
        <v>739</v>
      </c>
      <c r="E141" s="11" t="s">
        <v>9</v>
      </c>
    </row>
    <row r="142">
      <c r="A142" s="48">
        <v>0.46805555555555556</v>
      </c>
      <c r="B142" s="61" t="s">
        <v>738</v>
      </c>
      <c r="C142" s="57" t="s">
        <v>351</v>
      </c>
      <c r="D142" s="61" t="s">
        <v>740</v>
      </c>
      <c r="E142" s="11" t="s">
        <v>13</v>
      </c>
    </row>
    <row r="143">
      <c r="A143" s="48">
        <v>0.4777777777777778</v>
      </c>
      <c r="B143" s="61" t="s">
        <v>741</v>
      </c>
      <c r="C143" s="57" t="s">
        <v>743</v>
      </c>
      <c r="D143" s="61" t="s">
        <v>739</v>
      </c>
      <c r="E143" s="11" t="s">
        <v>9</v>
      </c>
    </row>
    <row r="144">
      <c r="A144" s="48">
        <v>0.4777777777777778</v>
      </c>
      <c r="B144" s="61" t="s">
        <v>738</v>
      </c>
      <c r="C144" s="57" t="s">
        <v>173</v>
      </c>
      <c r="D144" s="61" t="s">
        <v>742</v>
      </c>
      <c r="E144" s="11" t="s">
        <v>13</v>
      </c>
    </row>
    <row r="145">
      <c r="A145" s="48">
        <v>0.48819444444444443</v>
      </c>
      <c r="B145" s="61" t="s">
        <v>739</v>
      </c>
      <c r="C145" s="57" t="s">
        <v>289</v>
      </c>
      <c r="D145" s="61" t="s">
        <v>738</v>
      </c>
      <c r="E145" s="11" t="s">
        <v>9</v>
      </c>
    </row>
    <row r="146">
      <c r="A146" s="48">
        <v>0.48819444444444443</v>
      </c>
      <c r="B146" s="61" t="s">
        <v>741</v>
      </c>
      <c r="C146" s="57" t="s">
        <v>301</v>
      </c>
      <c r="D146" s="61" t="s">
        <v>740</v>
      </c>
      <c r="E146" s="11" t="s">
        <v>13</v>
      </c>
    </row>
    <row r="147">
      <c r="A147" s="48">
        <v>0.4986111111111111</v>
      </c>
      <c r="B147" s="61" t="s">
        <v>739</v>
      </c>
      <c r="C147" s="45" t="s">
        <v>161</v>
      </c>
      <c r="D147" s="61" t="s">
        <v>740</v>
      </c>
      <c r="E147" s="11" t="s">
        <v>9</v>
      </c>
    </row>
    <row r="148">
      <c r="A148" s="48">
        <v>0.4986111111111111</v>
      </c>
      <c r="B148" s="61" t="s">
        <v>741</v>
      </c>
      <c r="C148" s="45" t="s">
        <v>24</v>
      </c>
      <c r="D148" s="61" t="s">
        <v>742</v>
      </c>
      <c r="E148" s="11" t="s">
        <v>13</v>
      </c>
    </row>
    <row r="149">
      <c r="A149" s="48">
        <v>0.5083333333333333</v>
      </c>
      <c r="B149" s="61" t="s">
        <v>740</v>
      </c>
      <c r="C149" s="45" t="s">
        <v>163</v>
      </c>
      <c r="D149" s="61" t="s">
        <v>742</v>
      </c>
      <c r="E149" s="11" t="s">
        <v>9</v>
      </c>
    </row>
    <row r="150">
      <c r="A150" s="48">
        <v>0.5083333333333333</v>
      </c>
      <c r="B150" s="61" t="s">
        <v>738</v>
      </c>
      <c r="C150" s="45" t="s">
        <v>744</v>
      </c>
      <c r="D150" s="61" t="s">
        <v>741</v>
      </c>
      <c r="E150" s="11" t="s">
        <v>13</v>
      </c>
    </row>
    <row r="151">
      <c r="A151" s="48">
        <v>0.51875</v>
      </c>
      <c r="B151" s="61" t="s">
        <v>739</v>
      </c>
      <c r="C151" s="45" t="s">
        <v>16</v>
      </c>
      <c r="D151" s="61" t="s">
        <v>742</v>
      </c>
      <c r="E151" s="11" t="s">
        <v>9</v>
      </c>
    </row>
    <row r="152">
      <c r="A152" s="48">
        <v>0.51875</v>
      </c>
      <c r="B152" s="61" t="s">
        <v>740</v>
      </c>
      <c r="C152" s="45" t="s">
        <v>14</v>
      </c>
      <c r="D152" s="61" t="s">
        <v>738</v>
      </c>
      <c r="E152" s="11" t="s">
        <v>13</v>
      </c>
    </row>
    <row r="153">
      <c r="A153" s="48">
        <v>0.5291666666666667</v>
      </c>
      <c r="B153" s="61" t="s">
        <v>739</v>
      </c>
      <c r="C153" s="45" t="s">
        <v>302</v>
      </c>
      <c r="D153" s="61" t="s">
        <v>741</v>
      </c>
      <c r="E153" s="11" t="s">
        <v>9</v>
      </c>
    </row>
    <row r="154">
      <c r="A154" s="48">
        <v>0.5291666666666667</v>
      </c>
      <c r="B154" s="61" t="s">
        <v>742</v>
      </c>
      <c r="C154" s="45" t="s">
        <v>549</v>
      </c>
      <c r="D154" s="61" t="s">
        <v>738</v>
      </c>
      <c r="E154" s="11" t="s">
        <v>13</v>
      </c>
    </row>
    <row r="155">
      <c r="A155" s="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745</v>
      </c>
      <c r="C157" s="45" t="s">
        <v>289</v>
      </c>
      <c r="D157" s="61" t="s">
        <v>746</v>
      </c>
      <c r="E157" s="11" t="s">
        <v>29</v>
      </c>
    </row>
    <row r="158">
      <c r="A158" s="48">
        <v>0.4375</v>
      </c>
      <c r="B158" s="61" t="s">
        <v>747</v>
      </c>
      <c r="C158" s="45" t="s">
        <v>38</v>
      </c>
      <c r="D158" s="61" t="s">
        <v>748</v>
      </c>
      <c r="E158" s="11" t="s">
        <v>33</v>
      </c>
    </row>
    <row r="159">
      <c r="A159" s="48">
        <v>0.44722222222222224</v>
      </c>
      <c r="B159" s="61" t="s">
        <v>747</v>
      </c>
      <c r="C159" s="45" t="s">
        <v>38</v>
      </c>
      <c r="D159" s="61" t="s">
        <v>746</v>
      </c>
      <c r="E159" s="11" t="s">
        <v>29</v>
      </c>
    </row>
    <row r="160">
      <c r="A160" s="48">
        <v>0.44722222222222224</v>
      </c>
      <c r="B160" s="61" t="s">
        <v>749</v>
      </c>
      <c r="C160" s="45" t="s">
        <v>640</v>
      </c>
      <c r="D160" s="61" t="s">
        <v>748</v>
      </c>
      <c r="E160" s="11" t="s">
        <v>33</v>
      </c>
    </row>
    <row r="161">
      <c r="A161" s="48">
        <v>0.4576388888888889</v>
      </c>
      <c r="B161" s="61" t="s">
        <v>749</v>
      </c>
      <c r="C161" s="45" t="s">
        <v>750</v>
      </c>
      <c r="D161" s="61" t="s">
        <v>747</v>
      </c>
      <c r="E161" s="11" t="s">
        <v>29</v>
      </c>
    </row>
    <row r="162">
      <c r="A162" s="48">
        <v>0.4576388888888889</v>
      </c>
      <c r="B162" s="61" t="s">
        <v>748</v>
      </c>
      <c r="C162" s="45" t="s">
        <v>212</v>
      </c>
      <c r="D162" s="61" t="s">
        <v>745</v>
      </c>
      <c r="E162" s="11" t="s">
        <v>33</v>
      </c>
    </row>
    <row r="163">
      <c r="A163" s="48">
        <v>0.46805555555555556</v>
      </c>
      <c r="B163" s="61" t="s">
        <v>749</v>
      </c>
      <c r="C163" s="45" t="s">
        <v>291</v>
      </c>
      <c r="D163" s="61" t="s">
        <v>746</v>
      </c>
      <c r="E163" s="11" t="s">
        <v>29</v>
      </c>
    </row>
    <row r="164">
      <c r="A164" s="48">
        <v>0.46805555555555556</v>
      </c>
      <c r="B164" s="61" t="s">
        <v>745</v>
      </c>
      <c r="C164" s="45" t="s">
        <v>218</v>
      </c>
      <c r="D164" s="61" t="s">
        <v>747</v>
      </c>
      <c r="E164" s="11" t="s">
        <v>33</v>
      </c>
      <c r="I164" s="50" t="s">
        <v>514</v>
      </c>
    </row>
    <row r="165">
      <c r="A165" s="48">
        <v>0.4777777777777778</v>
      </c>
      <c r="B165" s="61" t="s">
        <v>748</v>
      </c>
      <c r="C165" s="45" t="s">
        <v>244</v>
      </c>
      <c r="D165" s="61" t="s">
        <v>746</v>
      </c>
      <c r="E165" s="11" t="s">
        <v>29</v>
      </c>
    </row>
    <row r="166">
      <c r="A166" s="48">
        <v>0.4777777777777778</v>
      </c>
      <c r="B166" s="61" t="s">
        <v>745</v>
      </c>
      <c r="C166" s="45" t="s">
        <v>43</v>
      </c>
      <c r="D166" s="61" t="s">
        <v>749</v>
      </c>
      <c r="E166" s="11" t="s">
        <v>33</v>
      </c>
    </row>
    <row r="167">
      <c r="A167" s="48">
        <v>0.48819444444444443</v>
      </c>
      <c r="B167" s="61" t="s">
        <v>746</v>
      </c>
      <c r="C167" s="45" t="s">
        <v>271</v>
      </c>
      <c r="D167" s="61" t="s">
        <v>745</v>
      </c>
      <c r="E167" s="11" t="s">
        <v>29</v>
      </c>
      <c r="G167" s="50"/>
      <c r="I167" s="50"/>
    </row>
    <row r="168">
      <c r="A168" s="48">
        <v>0.48819444444444443</v>
      </c>
      <c r="B168" s="61" t="s">
        <v>748</v>
      </c>
      <c r="C168" s="45" t="s">
        <v>354</v>
      </c>
      <c r="D168" s="61" t="s">
        <v>747</v>
      </c>
      <c r="E168" s="11" t="s">
        <v>33</v>
      </c>
    </row>
    <row r="169">
      <c r="A169" s="48">
        <v>0.4986111111111111</v>
      </c>
      <c r="B169" s="61" t="s">
        <v>746</v>
      </c>
      <c r="C169" s="45" t="s">
        <v>497</v>
      </c>
      <c r="D169" s="61" t="s">
        <v>747</v>
      </c>
      <c r="E169" s="11" t="s">
        <v>29</v>
      </c>
    </row>
    <row r="170">
      <c r="A170" s="48">
        <v>0.4986111111111111</v>
      </c>
      <c r="B170" s="61" t="s">
        <v>748</v>
      </c>
      <c r="C170" s="45" t="s">
        <v>244</v>
      </c>
      <c r="D170" s="61" t="s">
        <v>749</v>
      </c>
      <c r="E170" s="11" t="s">
        <v>33</v>
      </c>
    </row>
    <row r="171">
      <c r="A171" s="48">
        <v>0.5083333333333333</v>
      </c>
      <c r="B171" s="61" t="s">
        <v>747</v>
      </c>
      <c r="C171" s="45" t="s">
        <v>185</v>
      </c>
      <c r="D171" s="61" t="s">
        <v>749</v>
      </c>
      <c r="E171" s="11" t="s">
        <v>29</v>
      </c>
    </row>
    <row r="172">
      <c r="A172" s="48">
        <v>0.5083333333333333</v>
      </c>
      <c r="B172" s="61" t="s">
        <v>745</v>
      </c>
      <c r="C172" s="45" t="s">
        <v>189</v>
      </c>
      <c r="D172" s="61" t="s">
        <v>748</v>
      </c>
      <c r="E172" s="11" t="s">
        <v>33</v>
      </c>
    </row>
    <row r="173">
      <c r="A173" s="48">
        <v>0.51875</v>
      </c>
      <c r="B173" s="61" t="s">
        <v>746</v>
      </c>
      <c r="C173" s="45" t="s">
        <v>362</v>
      </c>
      <c r="D173" s="61" t="s">
        <v>749</v>
      </c>
      <c r="E173" s="11" t="s">
        <v>29</v>
      </c>
    </row>
    <row r="174">
      <c r="A174" s="48">
        <v>0.51875</v>
      </c>
      <c r="B174" s="61" t="s">
        <v>747</v>
      </c>
      <c r="C174" s="45" t="s">
        <v>610</v>
      </c>
      <c r="D174" s="61" t="s">
        <v>745</v>
      </c>
      <c r="E174" s="11" t="s">
        <v>33</v>
      </c>
    </row>
    <row r="175">
      <c r="A175" s="48">
        <v>0.5291666666666667</v>
      </c>
      <c r="B175" s="61" t="s">
        <v>746</v>
      </c>
      <c r="C175" s="45" t="s">
        <v>751</v>
      </c>
      <c r="D175" s="61" t="s">
        <v>748</v>
      </c>
      <c r="E175" s="11" t="s">
        <v>29</v>
      </c>
    </row>
    <row r="176">
      <c r="A176" s="48">
        <v>0.5291666666666667</v>
      </c>
      <c r="B176" s="61" t="s">
        <v>749</v>
      </c>
      <c r="C176" s="45" t="s">
        <v>302</v>
      </c>
      <c r="D176" s="61" t="s">
        <v>745</v>
      </c>
      <c r="E176" s="11" t="s">
        <v>33</v>
      </c>
    </row>
    <row r="177">
      <c r="A177" s="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752</v>
      </c>
      <c r="C179" s="45" t="s">
        <v>173</v>
      </c>
      <c r="D179" s="61" t="s">
        <v>641</v>
      </c>
      <c r="E179" s="11" t="s">
        <v>9</v>
      </c>
    </row>
    <row r="180">
      <c r="A180" s="48">
        <v>0.5416666666666666</v>
      </c>
      <c r="B180" s="61" t="s">
        <v>753</v>
      </c>
      <c r="C180" s="45" t="s">
        <v>166</v>
      </c>
      <c r="D180" s="61" t="s">
        <v>754</v>
      </c>
      <c r="E180" s="11" t="s">
        <v>13</v>
      </c>
    </row>
    <row r="181">
      <c r="A181" s="48">
        <v>0.5513888888888889</v>
      </c>
      <c r="B181" s="61" t="s">
        <v>753</v>
      </c>
      <c r="C181" s="45" t="s">
        <v>185</v>
      </c>
      <c r="D181" s="61" t="s">
        <v>641</v>
      </c>
      <c r="E181" s="11" t="s">
        <v>9</v>
      </c>
    </row>
    <row r="182">
      <c r="A182" s="48">
        <v>0.5513888888888889</v>
      </c>
      <c r="B182" s="61" t="s">
        <v>755</v>
      </c>
      <c r="C182" s="45" t="s">
        <v>219</v>
      </c>
      <c r="D182" s="61" t="s">
        <v>754</v>
      </c>
      <c r="E182" s="11" t="s">
        <v>13</v>
      </c>
    </row>
    <row r="183">
      <c r="A183" s="48">
        <v>0.5618055555555556</v>
      </c>
      <c r="B183" s="61" t="s">
        <v>755</v>
      </c>
      <c r="C183" s="45" t="s">
        <v>219</v>
      </c>
      <c r="D183" s="61" t="s">
        <v>753</v>
      </c>
      <c r="E183" s="11" t="s">
        <v>9</v>
      </c>
    </row>
    <row r="184">
      <c r="A184" s="48">
        <v>0.5618055555555556</v>
      </c>
      <c r="B184" s="61" t="s">
        <v>754</v>
      </c>
      <c r="C184" s="45" t="s">
        <v>279</v>
      </c>
      <c r="D184" s="61" t="s">
        <v>752</v>
      </c>
      <c r="E184" s="11" t="s">
        <v>13</v>
      </c>
    </row>
    <row r="185">
      <c r="A185" s="48">
        <v>0.5722222222222222</v>
      </c>
      <c r="B185" s="61" t="s">
        <v>755</v>
      </c>
      <c r="C185" s="45" t="s">
        <v>181</v>
      </c>
      <c r="D185" s="61" t="s">
        <v>641</v>
      </c>
      <c r="E185" s="11" t="s">
        <v>9</v>
      </c>
    </row>
    <row r="186">
      <c r="A186" s="48">
        <v>0.5722222222222222</v>
      </c>
      <c r="B186" s="61" t="s">
        <v>752</v>
      </c>
      <c r="C186" s="45" t="s">
        <v>271</v>
      </c>
      <c r="D186" s="61" t="s">
        <v>753</v>
      </c>
      <c r="E186" s="11" t="s">
        <v>13</v>
      </c>
    </row>
    <row r="187">
      <c r="A187" s="48">
        <v>0.5819444444444445</v>
      </c>
      <c r="B187" s="61" t="s">
        <v>754</v>
      </c>
      <c r="C187" s="45" t="s">
        <v>165</v>
      </c>
      <c r="D187" s="61" t="s">
        <v>641</v>
      </c>
      <c r="E187" s="11" t="s">
        <v>9</v>
      </c>
    </row>
    <row r="188">
      <c r="A188" s="48">
        <v>0.5819444444444445</v>
      </c>
      <c r="B188" s="61" t="s">
        <v>752</v>
      </c>
      <c r="C188" s="45" t="s">
        <v>225</v>
      </c>
      <c r="D188" s="61" t="s">
        <v>755</v>
      </c>
      <c r="E188" s="11" t="s">
        <v>13</v>
      </c>
    </row>
    <row r="189">
      <c r="A189" s="48">
        <v>0.5923611111111111</v>
      </c>
      <c r="B189" s="61" t="s">
        <v>641</v>
      </c>
      <c r="C189" s="45" t="s">
        <v>36</v>
      </c>
      <c r="D189" s="61" t="s">
        <v>752</v>
      </c>
      <c r="E189" s="11" t="s">
        <v>9</v>
      </c>
    </row>
    <row r="190">
      <c r="A190" s="48">
        <v>0.5923611111111111</v>
      </c>
      <c r="B190" s="61" t="s">
        <v>754</v>
      </c>
      <c r="C190" s="45" t="s">
        <v>193</v>
      </c>
      <c r="D190" s="61" t="s">
        <v>753</v>
      </c>
      <c r="E190" s="11" t="s">
        <v>13</v>
      </c>
    </row>
    <row r="191">
      <c r="A191" s="48">
        <v>0.6027777777777777</v>
      </c>
      <c r="B191" s="61" t="s">
        <v>641</v>
      </c>
      <c r="C191" s="45" t="s">
        <v>756</v>
      </c>
      <c r="D191" s="61" t="s">
        <v>753</v>
      </c>
      <c r="E191" s="11" t="s">
        <v>9</v>
      </c>
    </row>
    <row r="192">
      <c r="A192" s="48">
        <v>0.6027777777777777</v>
      </c>
      <c r="B192" s="61" t="s">
        <v>754</v>
      </c>
      <c r="C192" s="45" t="s">
        <v>718</v>
      </c>
      <c r="D192" s="61" t="s">
        <v>755</v>
      </c>
      <c r="E192" s="11" t="s">
        <v>13</v>
      </c>
    </row>
    <row r="193">
      <c r="A193" s="48">
        <v>0.6125</v>
      </c>
      <c r="B193" s="61" t="s">
        <v>753</v>
      </c>
      <c r="C193" s="45" t="s">
        <v>181</v>
      </c>
      <c r="D193" s="61" t="s">
        <v>755</v>
      </c>
      <c r="E193" s="11" t="s">
        <v>9</v>
      </c>
    </row>
    <row r="194">
      <c r="A194" s="48">
        <v>0.6125</v>
      </c>
      <c r="B194" s="61" t="s">
        <v>752</v>
      </c>
      <c r="C194" s="45" t="s">
        <v>278</v>
      </c>
      <c r="D194" s="61" t="s">
        <v>754</v>
      </c>
      <c r="E194" s="11" t="s">
        <v>13</v>
      </c>
    </row>
    <row r="195">
      <c r="A195" s="48">
        <v>0.6229166666666667</v>
      </c>
      <c r="B195" s="61" t="s">
        <v>641</v>
      </c>
      <c r="C195" s="45" t="s">
        <v>41</v>
      </c>
      <c r="D195" s="61" t="s">
        <v>755</v>
      </c>
      <c r="E195" s="11" t="s">
        <v>9</v>
      </c>
    </row>
    <row r="196">
      <c r="A196" s="48">
        <v>0.6229166666666667</v>
      </c>
      <c r="B196" s="61" t="s">
        <v>753</v>
      </c>
      <c r="C196" s="45" t="s">
        <v>165</v>
      </c>
      <c r="D196" s="61" t="s">
        <v>752</v>
      </c>
      <c r="E196" s="11" t="s">
        <v>13</v>
      </c>
    </row>
    <row r="197">
      <c r="A197" s="48">
        <v>0.6333333333333333</v>
      </c>
      <c r="B197" s="61" t="s">
        <v>641</v>
      </c>
      <c r="C197" s="45" t="s">
        <v>757</v>
      </c>
      <c r="D197" s="61" t="s">
        <v>754</v>
      </c>
      <c r="E197" s="11" t="s">
        <v>9</v>
      </c>
    </row>
    <row r="198">
      <c r="A198" s="48">
        <v>0.6333333333333333</v>
      </c>
      <c r="B198" s="61" t="s">
        <v>755</v>
      </c>
      <c r="C198" s="45" t="s">
        <v>185</v>
      </c>
      <c r="D198" s="61" t="s">
        <v>752</v>
      </c>
      <c r="E198" s="11" t="s">
        <v>13</v>
      </c>
      <c r="G198" s="50"/>
    </row>
    <row r="199">
      <c r="A199" s="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758</v>
      </c>
      <c r="C201" s="57" t="s">
        <v>161</v>
      </c>
      <c r="D201" s="61" t="s">
        <v>759</v>
      </c>
      <c r="E201" s="11" t="s">
        <v>29</v>
      </c>
    </row>
    <row r="202">
      <c r="A202" s="48">
        <v>0.5416666666666666</v>
      </c>
      <c r="B202" s="61" t="s">
        <v>760</v>
      </c>
      <c r="C202" s="57" t="s">
        <v>610</v>
      </c>
      <c r="D202" s="61" t="s">
        <v>645</v>
      </c>
      <c r="E202" s="11" t="s">
        <v>33</v>
      </c>
    </row>
    <row r="203">
      <c r="A203" s="48">
        <v>0.5513888888888889</v>
      </c>
      <c r="B203" s="61" t="s">
        <v>760</v>
      </c>
      <c r="C203" s="57" t="s">
        <v>162</v>
      </c>
      <c r="D203" s="61" t="s">
        <v>759</v>
      </c>
      <c r="E203" s="11" t="s">
        <v>29</v>
      </c>
    </row>
    <row r="204">
      <c r="A204" s="48">
        <v>0.5513888888888889</v>
      </c>
      <c r="B204" s="61" t="s">
        <v>644</v>
      </c>
      <c r="C204" s="57" t="s">
        <v>7</v>
      </c>
      <c r="D204" s="61" t="s">
        <v>645</v>
      </c>
      <c r="E204" s="11" t="s">
        <v>33</v>
      </c>
    </row>
    <row r="205">
      <c r="A205" s="48">
        <v>0.5618055555555556</v>
      </c>
      <c r="B205" s="61" t="s">
        <v>644</v>
      </c>
      <c r="C205" s="57" t="s">
        <v>761</v>
      </c>
      <c r="D205" s="61" t="s">
        <v>760</v>
      </c>
      <c r="E205" s="11" t="s">
        <v>29</v>
      </c>
    </row>
    <row r="206">
      <c r="A206" s="48">
        <v>0.5618055555555556</v>
      </c>
      <c r="B206" s="61" t="s">
        <v>645</v>
      </c>
      <c r="C206" s="57" t="s">
        <v>362</v>
      </c>
      <c r="D206" s="61" t="s">
        <v>758</v>
      </c>
      <c r="E206" s="11" t="s">
        <v>33</v>
      </c>
    </row>
    <row r="207">
      <c r="A207" s="48">
        <v>0.5722222222222222</v>
      </c>
      <c r="B207" s="61" t="s">
        <v>644</v>
      </c>
      <c r="C207" s="57" t="s">
        <v>762</v>
      </c>
      <c r="D207" s="61" t="s">
        <v>759</v>
      </c>
      <c r="E207" s="11" t="s">
        <v>29</v>
      </c>
    </row>
    <row r="208">
      <c r="A208" s="48">
        <v>0.5722222222222222</v>
      </c>
      <c r="B208" s="61" t="s">
        <v>758</v>
      </c>
      <c r="C208" s="57" t="s">
        <v>182</v>
      </c>
      <c r="D208" s="61" t="s">
        <v>760</v>
      </c>
      <c r="E208" s="11" t="s">
        <v>33</v>
      </c>
    </row>
    <row r="209">
      <c r="A209" s="48">
        <v>0.5819444444444445</v>
      </c>
      <c r="B209" s="61" t="s">
        <v>645</v>
      </c>
      <c r="C209" s="57" t="s">
        <v>517</v>
      </c>
      <c r="D209" s="61" t="s">
        <v>759</v>
      </c>
      <c r="E209" s="11" t="s">
        <v>29</v>
      </c>
    </row>
    <row r="210">
      <c r="A210" s="48">
        <v>0.5819444444444445</v>
      </c>
      <c r="B210" s="61" t="s">
        <v>758</v>
      </c>
      <c r="C210" s="57" t="s">
        <v>763</v>
      </c>
      <c r="D210" s="61" t="s">
        <v>644</v>
      </c>
      <c r="E210" s="11" t="s">
        <v>33</v>
      </c>
    </row>
    <row r="211">
      <c r="A211" s="48">
        <v>0.5923611111111111</v>
      </c>
      <c r="B211" s="61" t="s">
        <v>759</v>
      </c>
      <c r="C211" s="57" t="s">
        <v>166</v>
      </c>
      <c r="D211" s="61" t="s">
        <v>758</v>
      </c>
      <c r="E211" s="11" t="s">
        <v>29</v>
      </c>
    </row>
    <row r="212">
      <c r="A212" s="48">
        <v>0.5923611111111111</v>
      </c>
      <c r="B212" s="61" t="s">
        <v>645</v>
      </c>
      <c r="C212" s="57" t="s">
        <v>42</v>
      </c>
      <c r="D212" s="61" t="s">
        <v>760</v>
      </c>
      <c r="E212" s="11" t="s">
        <v>33</v>
      </c>
    </row>
    <row r="213">
      <c r="A213" s="48">
        <v>0.6027777777777777</v>
      </c>
      <c r="B213" s="61" t="s">
        <v>759</v>
      </c>
      <c r="C213" s="45" t="s">
        <v>302</v>
      </c>
      <c r="D213" s="61" t="s">
        <v>760</v>
      </c>
      <c r="E213" s="11" t="s">
        <v>29</v>
      </c>
    </row>
    <row r="214">
      <c r="A214" s="48">
        <v>0.6027777777777777</v>
      </c>
      <c r="B214" s="61" t="s">
        <v>645</v>
      </c>
      <c r="C214" s="45" t="s">
        <v>173</v>
      </c>
      <c r="D214" s="61" t="s">
        <v>644</v>
      </c>
      <c r="E214" s="11" t="s">
        <v>33</v>
      </c>
    </row>
    <row r="215">
      <c r="A215" s="48">
        <v>0.6125</v>
      </c>
      <c r="B215" s="61" t="s">
        <v>760</v>
      </c>
      <c r="C215" s="45" t="s">
        <v>764</v>
      </c>
      <c r="D215" s="61" t="s">
        <v>644</v>
      </c>
      <c r="E215" s="11" t="s">
        <v>29</v>
      </c>
    </row>
    <row r="216">
      <c r="A216" s="48">
        <v>0.6125</v>
      </c>
      <c r="B216" s="61" t="s">
        <v>758</v>
      </c>
      <c r="C216" s="45" t="s">
        <v>18</v>
      </c>
      <c r="D216" s="61" t="s">
        <v>645</v>
      </c>
      <c r="E216" s="11" t="s">
        <v>33</v>
      </c>
    </row>
    <row r="217">
      <c r="A217" s="48">
        <v>0.6229166666666667</v>
      </c>
      <c r="B217" s="61" t="s">
        <v>759</v>
      </c>
      <c r="C217" s="45" t="s">
        <v>765</v>
      </c>
      <c r="D217" s="61" t="s">
        <v>644</v>
      </c>
      <c r="E217" s="11" t="s">
        <v>29</v>
      </c>
    </row>
    <row r="218">
      <c r="A218" s="48">
        <v>0.6229166666666667</v>
      </c>
      <c r="B218" s="61" t="s">
        <v>760</v>
      </c>
      <c r="C218" s="45" t="s">
        <v>208</v>
      </c>
      <c r="D218" s="61" t="s">
        <v>758</v>
      </c>
      <c r="E218" s="11" t="s">
        <v>33</v>
      </c>
    </row>
    <row r="219">
      <c r="A219" s="48">
        <v>0.6333333333333333</v>
      </c>
      <c r="B219" s="61" t="s">
        <v>759</v>
      </c>
      <c r="C219" s="45" t="s">
        <v>195</v>
      </c>
      <c r="D219" s="61" t="s">
        <v>645</v>
      </c>
      <c r="E219" s="11" t="s">
        <v>29</v>
      </c>
    </row>
    <row r="220">
      <c r="A220" s="48">
        <v>0.6333333333333333</v>
      </c>
      <c r="B220" s="61" t="s">
        <v>644</v>
      </c>
      <c r="C220" s="45" t="s">
        <v>344</v>
      </c>
      <c r="D220" s="61" t="s">
        <v>758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766</v>
      </c>
      <c r="C223" s="57" t="s">
        <v>269</v>
      </c>
      <c r="D223" s="62" t="s">
        <v>767</v>
      </c>
      <c r="E223" s="11" t="s">
        <v>9</v>
      </c>
    </row>
    <row r="224">
      <c r="A224" s="48">
        <v>0.6458333333333334</v>
      </c>
      <c r="B224" s="62" t="s">
        <v>768</v>
      </c>
      <c r="C224" s="45" t="s">
        <v>158</v>
      </c>
      <c r="D224" s="62" t="s">
        <v>769</v>
      </c>
      <c r="E224" s="11" t="s">
        <v>13</v>
      </c>
    </row>
    <row r="225">
      <c r="A225" s="48">
        <v>0.6555555555555556</v>
      </c>
      <c r="B225" s="62" t="s">
        <v>768</v>
      </c>
      <c r="C225" s="57" t="s">
        <v>208</v>
      </c>
      <c r="D225" s="62" t="s">
        <v>767</v>
      </c>
      <c r="E225" s="11" t="s">
        <v>9</v>
      </c>
    </row>
    <row r="226">
      <c r="A226" s="48">
        <v>0.6555555555555556</v>
      </c>
      <c r="B226" s="62" t="s">
        <v>770</v>
      </c>
      <c r="C226" s="57" t="s">
        <v>181</v>
      </c>
      <c r="D226" s="62" t="s">
        <v>769</v>
      </c>
      <c r="E226" s="11" t="s">
        <v>13</v>
      </c>
    </row>
    <row r="227">
      <c r="A227" s="48">
        <v>0.6659722222222222</v>
      </c>
      <c r="B227" s="62" t="s">
        <v>770</v>
      </c>
      <c r="C227" s="57" t="s">
        <v>344</v>
      </c>
      <c r="D227" s="62" t="s">
        <v>768</v>
      </c>
      <c r="E227" s="11" t="s">
        <v>9</v>
      </c>
    </row>
    <row r="228">
      <c r="A228" s="48">
        <v>0.6659722222222222</v>
      </c>
      <c r="B228" s="62" t="s">
        <v>769</v>
      </c>
      <c r="C228" s="57" t="s">
        <v>157</v>
      </c>
      <c r="D228" s="62" t="s">
        <v>766</v>
      </c>
      <c r="E228" s="11" t="s">
        <v>13</v>
      </c>
    </row>
    <row r="229">
      <c r="A229" s="48">
        <v>0.6763888888888889</v>
      </c>
      <c r="B229" s="62" t="s">
        <v>770</v>
      </c>
      <c r="C229" s="57" t="s">
        <v>27</v>
      </c>
      <c r="D229" s="62" t="s">
        <v>767</v>
      </c>
      <c r="E229" s="11" t="s">
        <v>9</v>
      </c>
    </row>
    <row r="230">
      <c r="A230" s="48">
        <v>0.6763888888888889</v>
      </c>
      <c r="B230" s="62" t="s">
        <v>766</v>
      </c>
      <c r="C230" s="57" t="s">
        <v>344</v>
      </c>
      <c r="D230" s="62" t="s">
        <v>768</v>
      </c>
      <c r="E230" s="11" t="s">
        <v>13</v>
      </c>
    </row>
    <row r="231">
      <c r="A231" s="48">
        <v>0.6861111111111111</v>
      </c>
      <c r="B231" s="62" t="s">
        <v>769</v>
      </c>
      <c r="C231" s="57" t="s">
        <v>324</v>
      </c>
      <c r="D231" s="62" t="s">
        <v>767</v>
      </c>
      <c r="E231" s="11" t="s">
        <v>9</v>
      </c>
    </row>
    <row r="232">
      <c r="A232" s="48">
        <v>0.6861111111111111</v>
      </c>
      <c r="B232" s="62" t="s">
        <v>766</v>
      </c>
      <c r="C232" s="57" t="s">
        <v>185</v>
      </c>
      <c r="D232" s="62" t="s">
        <v>770</v>
      </c>
      <c r="E232" s="11" t="s">
        <v>13</v>
      </c>
    </row>
    <row r="233">
      <c r="A233" s="48">
        <v>0.6965277777777777</v>
      </c>
      <c r="B233" s="62" t="s">
        <v>767</v>
      </c>
      <c r="C233" s="57" t="s">
        <v>173</v>
      </c>
      <c r="D233" s="62" t="s">
        <v>766</v>
      </c>
      <c r="E233" s="11" t="s">
        <v>9</v>
      </c>
    </row>
    <row r="234">
      <c r="A234" s="48">
        <v>0.6965277777777777</v>
      </c>
      <c r="B234" s="62" t="s">
        <v>769</v>
      </c>
      <c r="C234" s="57" t="s">
        <v>41</v>
      </c>
      <c r="D234" s="62" t="s">
        <v>768</v>
      </c>
      <c r="E234" s="11" t="s">
        <v>13</v>
      </c>
    </row>
    <row r="235">
      <c r="A235" s="48">
        <v>0.7069444444444445</v>
      </c>
      <c r="B235" s="62" t="s">
        <v>767</v>
      </c>
      <c r="C235" s="45" t="s">
        <v>182</v>
      </c>
      <c r="D235" s="62" t="s">
        <v>768</v>
      </c>
      <c r="E235" s="11" t="s">
        <v>9</v>
      </c>
    </row>
    <row r="236">
      <c r="A236" s="48">
        <v>0.7069444444444445</v>
      </c>
      <c r="B236" s="62" t="s">
        <v>769</v>
      </c>
      <c r="C236" s="45" t="s">
        <v>251</v>
      </c>
      <c r="D236" s="62" t="s">
        <v>770</v>
      </c>
      <c r="E236" s="11" t="s">
        <v>13</v>
      </c>
    </row>
    <row r="237">
      <c r="A237" s="48">
        <v>0.7166666666666667</v>
      </c>
      <c r="B237" s="62" t="s">
        <v>768</v>
      </c>
      <c r="C237" s="45" t="s">
        <v>181</v>
      </c>
      <c r="D237" s="62" t="s">
        <v>770</v>
      </c>
      <c r="E237" s="11" t="s">
        <v>9</v>
      </c>
    </row>
    <row r="238">
      <c r="A238" s="48">
        <v>0.7166666666666667</v>
      </c>
      <c r="B238" s="62" t="s">
        <v>766</v>
      </c>
      <c r="C238" s="45" t="s">
        <v>696</v>
      </c>
      <c r="D238" s="62" t="s">
        <v>769</v>
      </c>
      <c r="E238" s="11" t="s">
        <v>13</v>
      </c>
    </row>
    <row r="239">
      <c r="A239" s="48">
        <v>0.7270833333333333</v>
      </c>
      <c r="B239" s="62" t="s">
        <v>767</v>
      </c>
      <c r="C239" s="45" t="s">
        <v>195</v>
      </c>
      <c r="D239" s="62" t="s">
        <v>770</v>
      </c>
      <c r="E239" s="11" t="s">
        <v>9</v>
      </c>
    </row>
    <row r="240">
      <c r="A240" s="48">
        <v>0.7270833333333333</v>
      </c>
      <c r="B240" s="62" t="s">
        <v>768</v>
      </c>
      <c r="C240" s="45" t="s">
        <v>185</v>
      </c>
      <c r="D240" s="62" t="s">
        <v>766</v>
      </c>
      <c r="E240" s="11" t="s">
        <v>13</v>
      </c>
    </row>
    <row r="241">
      <c r="A241" s="48">
        <v>0.7375</v>
      </c>
      <c r="B241" s="62" t="s">
        <v>767</v>
      </c>
      <c r="C241" s="45" t="s">
        <v>18</v>
      </c>
      <c r="D241" s="62" t="s">
        <v>769</v>
      </c>
      <c r="E241" s="11" t="s">
        <v>9</v>
      </c>
    </row>
    <row r="242">
      <c r="A242" s="48">
        <v>0.7375</v>
      </c>
      <c r="B242" s="62" t="s">
        <v>770</v>
      </c>
      <c r="C242" s="45" t="s">
        <v>194</v>
      </c>
      <c r="D242" s="62" t="s">
        <v>766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661</v>
      </c>
      <c r="C245" s="45" t="s">
        <v>301</v>
      </c>
      <c r="D245" s="62" t="s">
        <v>771</v>
      </c>
      <c r="E245" s="11" t="s">
        <v>29</v>
      </c>
    </row>
    <row r="246">
      <c r="A246" s="48">
        <v>0.6458333333333334</v>
      </c>
      <c r="B246" s="62" t="s">
        <v>539</v>
      </c>
      <c r="C246" s="45" t="s">
        <v>41</v>
      </c>
      <c r="D246" s="62" t="s">
        <v>772</v>
      </c>
      <c r="E246" s="11" t="s">
        <v>33</v>
      </c>
    </row>
    <row r="247">
      <c r="A247" s="48">
        <v>0.6555555555555556</v>
      </c>
      <c r="B247" s="62" t="s">
        <v>539</v>
      </c>
      <c r="C247" s="45" t="s">
        <v>212</v>
      </c>
      <c r="D247" s="62" t="s">
        <v>771</v>
      </c>
      <c r="E247" s="11" t="s">
        <v>29</v>
      </c>
    </row>
    <row r="248">
      <c r="A248" s="48">
        <v>0.6555555555555556</v>
      </c>
      <c r="B248" s="62" t="s">
        <v>773</v>
      </c>
      <c r="C248" s="45" t="s">
        <v>245</v>
      </c>
      <c r="D248" s="62" t="s">
        <v>772</v>
      </c>
      <c r="E248" s="11" t="s">
        <v>33</v>
      </c>
    </row>
    <row r="249">
      <c r="A249" s="48">
        <v>0.6659722222222222</v>
      </c>
      <c r="B249" s="62" t="s">
        <v>773</v>
      </c>
      <c r="C249" s="45" t="s">
        <v>638</v>
      </c>
      <c r="D249" s="62" t="s">
        <v>539</v>
      </c>
      <c r="E249" s="11" t="s">
        <v>29</v>
      </c>
    </row>
    <row r="250">
      <c r="A250" s="48">
        <v>0.6659722222222222</v>
      </c>
      <c r="B250" s="62" t="s">
        <v>772</v>
      </c>
      <c r="C250" s="45" t="s">
        <v>16</v>
      </c>
      <c r="D250" s="62" t="s">
        <v>661</v>
      </c>
      <c r="E250" s="11" t="s">
        <v>33</v>
      </c>
    </row>
    <row r="251">
      <c r="A251" s="48">
        <v>0.6763888888888889</v>
      </c>
      <c r="B251" s="62" t="s">
        <v>773</v>
      </c>
      <c r="C251" s="45" t="s">
        <v>181</v>
      </c>
      <c r="D251" s="62" t="s">
        <v>771</v>
      </c>
      <c r="E251" s="11" t="s">
        <v>29</v>
      </c>
    </row>
    <row r="252">
      <c r="A252" s="48">
        <v>0.6763888888888889</v>
      </c>
      <c r="B252" s="62" t="s">
        <v>661</v>
      </c>
      <c r="C252" s="45" t="s">
        <v>774</v>
      </c>
      <c r="D252" s="62" t="s">
        <v>539</v>
      </c>
      <c r="E252" s="11" t="s">
        <v>33</v>
      </c>
    </row>
    <row r="253">
      <c r="A253" s="48">
        <v>0.6861111111111111</v>
      </c>
      <c r="B253" s="62" t="s">
        <v>772</v>
      </c>
      <c r="C253" s="45" t="s">
        <v>195</v>
      </c>
      <c r="D253" s="62" t="s">
        <v>771</v>
      </c>
      <c r="E253" s="11" t="s">
        <v>29</v>
      </c>
    </row>
    <row r="254">
      <c r="A254" s="48">
        <v>0.6861111111111111</v>
      </c>
      <c r="B254" s="62" t="s">
        <v>661</v>
      </c>
      <c r="C254" s="45" t="s">
        <v>534</v>
      </c>
      <c r="D254" s="62" t="s">
        <v>773</v>
      </c>
      <c r="E254" s="11" t="s">
        <v>33</v>
      </c>
    </row>
    <row r="255">
      <c r="A255" s="48">
        <v>0.6965277777777777</v>
      </c>
      <c r="B255" s="62" t="s">
        <v>771</v>
      </c>
      <c r="C255" s="45" t="s">
        <v>775</v>
      </c>
      <c r="D255" s="62" t="s">
        <v>661</v>
      </c>
      <c r="E255" s="11" t="s">
        <v>29</v>
      </c>
    </row>
    <row r="256">
      <c r="A256" s="48">
        <v>0.6965277777777777</v>
      </c>
      <c r="B256" s="62" t="s">
        <v>772</v>
      </c>
      <c r="C256" s="45" t="s">
        <v>219</v>
      </c>
      <c r="D256" s="62" t="s">
        <v>539</v>
      </c>
      <c r="E256" s="11" t="s">
        <v>33</v>
      </c>
    </row>
    <row r="257">
      <c r="A257" s="48">
        <v>0.7069444444444445</v>
      </c>
      <c r="B257" s="62" t="s">
        <v>771</v>
      </c>
      <c r="C257" s="45" t="s">
        <v>219</v>
      </c>
      <c r="D257" s="62" t="s">
        <v>539</v>
      </c>
      <c r="E257" s="11" t="s">
        <v>29</v>
      </c>
    </row>
    <row r="258">
      <c r="A258" s="48">
        <v>0.7069444444444445</v>
      </c>
      <c r="B258" s="62" t="s">
        <v>772</v>
      </c>
      <c r="C258" s="45" t="s">
        <v>251</v>
      </c>
      <c r="D258" s="62" t="s">
        <v>773</v>
      </c>
      <c r="E258" s="11" t="s">
        <v>33</v>
      </c>
    </row>
    <row r="259">
      <c r="A259" s="48">
        <v>0.7166666666666667</v>
      </c>
      <c r="B259" s="62" t="s">
        <v>539</v>
      </c>
      <c r="C259" s="45" t="s">
        <v>248</v>
      </c>
      <c r="D259" s="62" t="s">
        <v>773</v>
      </c>
      <c r="E259" s="11" t="s">
        <v>29</v>
      </c>
    </row>
    <row r="260">
      <c r="A260" s="48">
        <v>0.7166666666666667</v>
      </c>
      <c r="B260" s="62" t="s">
        <v>661</v>
      </c>
      <c r="C260" s="45" t="s">
        <v>257</v>
      </c>
      <c r="D260" s="62" t="s">
        <v>772</v>
      </c>
      <c r="E260" s="11" t="s">
        <v>33</v>
      </c>
    </row>
    <row r="261">
      <c r="A261" s="48">
        <v>0.7270833333333333</v>
      </c>
      <c r="B261" s="62" t="s">
        <v>771</v>
      </c>
      <c r="C261" s="45" t="s">
        <v>776</v>
      </c>
      <c r="D261" s="62" t="s">
        <v>773</v>
      </c>
      <c r="E261" s="11" t="s">
        <v>29</v>
      </c>
    </row>
    <row r="262">
      <c r="A262" s="48">
        <v>0.7270833333333333</v>
      </c>
      <c r="B262" s="62" t="s">
        <v>539</v>
      </c>
      <c r="C262" s="45" t="s">
        <v>23</v>
      </c>
      <c r="D262" s="62" t="s">
        <v>661</v>
      </c>
      <c r="E262" s="11" t="s">
        <v>33</v>
      </c>
    </row>
    <row r="263">
      <c r="A263" s="48">
        <v>0.7375</v>
      </c>
      <c r="B263" s="62" t="s">
        <v>771</v>
      </c>
      <c r="C263" s="45" t="s">
        <v>17</v>
      </c>
      <c r="D263" s="62" t="s">
        <v>772</v>
      </c>
      <c r="E263" s="11" t="s">
        <v>29</v>
      </c>
    </row>
    <row r="264">
      <c r="A264" s="48">
        <v>0.7375</v>
      </c>
      <c r="B264" s="62" t="s">
        <v>773</v>
      </c>
      <c r="C264" s="45" t="s">
        <v>425</v>
      </c>
      <c r="D264" s="62" t="s">
        <v>661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777</v>
      </c>
      <c r="C267" s="45" t="s">
        <v>16</v>
      </c>
      <c r="D267" s="62" t="s">
        <v>778</v>
      </c>
      <c r="E267" s="11" t="s">
        <v>9</v>
      </c>
    </row>
    <row r="268">
      <c r="A268" s="48">
        <v>0.75</v>
      </c>
      <c r="B268" s="62" t="s">
        <v>779</v>
      </c>
      <c r="C268" s="45" t="s">
        <v>219</v>
      </c>
      <c r="D268" s="62" t="s">
        <v>780</v>
      </c>
      <c r="E268" s="11" t="s">
        <v>13</v>
      </c>
    </row>
    <row r="269">
      <c r="A269" s="48">
        <v>0.7597222222222222</v>
      </c>
      <c r="B269" s="62" t="s">
        <v>779</v>
      </c>
      <c r="C269" s="45" t="s">
        <v>301</v>
      </c>
      <c r="D269" s="62" t="s">
        <v>778</v>
      </c>
      <c r="E269" s="11" t="s">
        <v>9</v>
      </c>
    </row>
    <row r="270">
      <c r="A270" s="48">
        <v>0.7597222222222222</v>
      </c>
      <c r="B270" s="62" t="s">
        <v>781</v>
      </c>
      <c r="C270" s="45" t="s">
        <v>292</v>
      </c>
      <c r="D270" s="62" t="s">
        <v>780</v>
      </c>
      <c r="E270" s="11" t="s">
        <v>13</v>
      </c>
    </row>
    <row r="271">
      <c r="A271" s="48">
        <v>0.7701388888888889</v>
      </c>
      <c r="B271" s="62" t="s">
        <v>781</v>
      </c>
      <c r="C271" s="45" t="s">
        <v>18</v>
      </c>
      <c r="D271" s="62" t="s">
        <v>779</v>
      </c>
      <c r="E271" s="11" t="s">
        <v>9</v>
      </c>
    </row>
    <row r="272">
      <c r="A272" s="48">
        <v>0.7701388888888889</v>
      </c>
      <c r="B272" s="62" t="s">
        <v>780</v>
      </c>
      <c r="C272" s="45" t="s">
        <v>181</v>
      </c>
      <c r="D272" s="62" t="s">
        <v>777</v>
      </c>
      <c r="E272" s="11" t="s">
        <v>13</v>
      </c>
    </row>
    <row r="273">
      <c r="A273" s="48">
        <v>0.7805555555555556</v>
      </c>
      <c r="B273" s="62" t="s">
        <v>781</v>
      </c>
      <c r="C273" s="45" t="s">
        <v>41</v>
      </c>
      <c r="D273" s="62" t="s">
        <v>778</v>
      </c>
      <c r="E273" s="11" t="s">
        <v>9</v>
      </c>
    </row>
    <row r="274">
      <c r="A274" s="48">
        <v>0.7805555555555556</v>
      </c>
      <c r="B274" s="62" t="s">
        <v>777</v>
      </c>
      <c r="C274" s="45" t="s">
        <v>248</v>
      </c>
      <c r="D274" s="62" t="s">
        <v>779</v>
      </c>
      <c r="E274" s="11" t="s">
        <v>13</v>
      </c>
    </row>
    <row r="275">
      <c r="A275" s="48">
        <v>0.7902777777777777</v>
      </c>
      <c r="B275" s="62" t="s">
        <v>780</v>
      </c>
      <c r="C275" s="45" t="s">
        <v>39</v>
      </c>
      <c r="D275" s="62" t="s">
        <v>778</v>
      </c>
      <c r="E275" s="11" t="s">
        <v>9</v>
      </c>
    </row>
    <row r="276">
      <c r="A276" s="48">
        <v>0.7902777777777777</v>
      </c>
      <c r="B276" s="62" t="s">
        <v>777</v>
      </c>
      <c r="C276" s="45" t="s">
        <v>181</v>
      </c>
      <c r="D276" s="62" t="s">
        <v>781</v>
      </c>
      <c r="E276" s="11" t="s">
        <v>13</v>
      </c>
    </row>
    <row r="277">
      <c r="A277" s="48">
        <v>0.8006944444444445</v>
      </c>
      <c r="B277" s="62" t="s">
        <v>778</v>
      </c>
      <c r="C277" s="45" t="s">
        <v>19</v>
      </c>
      <c r="D277" s="62" t="s">
        <v>777</v>
      </c>
      <c r="E277" s="11" t="s">
        <v>9</v>
      </c>
    </row>
    <row r="278">
      <c r="A278" s="48">
        <v>0.8006944444444445</v>
      </c>
      <c r="B278" s="62" t="s">
        <v>780</v>
      </c>
      <c r="C278" s="45" t="s">
        <v>7</v>
      </c>
      <c r="D278" s="62" t="s">
        <v>779</v>
      </c>
      <c r="E278" s="11" t="s">
        <v>13</v>
      </c>
    </row>
    <row r="279">
      <c r="A279" s="48">
        <v>0.8111111111111111</v>
      </c>
      <c r="B279" s="62" t="s">
        <v>778</v>
      </c>
      <c r="C279" s="45" t="s">
        <v>442</v>
      </c>
      <c r="D279" s="62" t="s">
        <v>779</v>
      </c>
      <c r="E279" s="11" t="s">
        <v>9</v>
      </c>
    </row>
    <row r="280">
      <c r="A280" s="48">
        <v>0.8111111111111111</v>
      </c>
      <c r="B280" s="62" t="s">
        <v>780</v>
      </c>
      <c r="C280" s="45" t="s">
        <v>281</v>
      </c>
      <c r="D280" s="62" t="s">
        <v>781</v>
      </c>
      <c r="E280" s="11" t="s">
        <v>13</v>
      </c>
    </row>
    <row r="281">
      <c r="A281" s="48">
        <v>0.8208333333333333</v>
      </c>
      <c r="B281" s="62" t="s">
        <v>779</v>
      </c>
      <c r="C281" s="45" t="s">
        <v>166</v>
      </c>
      <c r="D281" s="62" t="s">
        <v>781</v>
      </c>
      <c r="E281" s="11" t="s">
        <v>9</v>
      </c>
    </row>
    <row r="282">
      <c r="A282" s="48">
        <v>0.8208333333333333</v>
      </c>
      <c r="B282" s="62" t="s">
        <v>777</v>
      </c>
      <c r="C282" s="45" t="s">
        <v>278</v>
      </c>
      <c r="D282" s="62" t="s">
        <v>780</v>
      </c>
      <c r="E282" s="11" t="s">
        <v>13</v>
      </c>
    </row>
    <row r="283">
      <c r="A283" s="48">
        <v>0.83125</v>
      </c>
      <c r="B283" s="62" t="s">
        <v>778</v>
      </c>
      <c r="C283" s="45" t="s">
        <v>466</v>
      </c>
      <c r="D283" s="62" t="s">
        <v>781</v>
      </c>
      <c r="E283" s="11" t="s">
        <v>9</v>
      </c>
    </row>
    <row r="284">
      <c r="A284" s="48">
        <v>0.83125</v>
      </c>
      <c r="B284" s="62" t="s">
        <v>779</v>
      </c>
      <c r="C284" s="45" t="s">
        <v>219</v>
      </c>
      <c r="D284" s="62" t="s">
        <v>777</v>
      </c>
      <c r="E284" s="11" t="s">
        <v>13</v>
      </c>
    </row>
    <row r="285">
      <c r="A285" s="48">
        <v>0.8416666666666667</v>
      </c>
      <c r="B285" s="62" t="s">
        <v>778</v>
      </c>
      <c r="C285" s="45" t="s">
        <v>525</v>
      </c>
      <c r="D285" s="62" t="s">
        <v>780</v>
      </c>
      <c r="E285" s="11" t="s">
        <v>9</v>
      </c>
    </row>
    <row r="286">
      <c r="A286" s="48">
        <v>0.8416666666666667</v>
      </c>
      <c r="B286" s="62" t="s">
        <v>781</v>
      </c>
      <c r="C286" s="45" t="s">
        <v>220</v>
      </c>
      <c r="D286" s="62" t="s">
        <v>777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782</v>
      </c>
      <c r="C289" s="45" t="s">
        <v>783</v>
      </c>
      <c r="D289" s="62" t="s">
        <v>784</v>
      </c>
      <c r="E289" s="11" t="s">
        <v>29</v>
      </c>
    </row>
    <row r="290">
      <c r="A290" s="48">
        <v>0.75</v>
      </c>
      <c r="B290" s="62" t="s">
        <v>785</v>
      </c>
      <c r="C290" s="45" t="s">
        <v>786</v>
      </c>
      <c r="D290" s="62" t="s">
        <v>787</v>
      </c>
      <c r="E290" s="11" t="s">
        <v>33</v>
      </c>
    </row>
    <row r="291">
      <c r="A291" s="48">
        <v>0.7597222222222222</v>
      </c>
      <c r="B291" s="62" t="s">
        <v>785</v>
      </c>
      <c r="C291" s="45" t="s">
        <v>250</v>
      </c>
      <c r="D291" s="62" t="s">
        <v>784</v>
      </c>
      <c r="E291" s="11" t="s">
        <v>29</v>
      </c>
    </row>
    <row r="292">
      <c r="A292" s="48">
        <v>0.7597222222222222</v>
      </c>
      <c r="B292" s="62" t="s">
        <v>788</v>
      </c>
      <c r="C292" s="45" t="s">
        <v>233</v>
      </c>
      <c r="D292" s="62" t="s">
        <v>787</v>
      </c>
      <c r="E292" s="11" t="s">
        <v>33</v>
      </c>
    </row>
    <row r="293">
      <c r="A293" s="48">
        <v>0.7701388888888889</v>
      </c>
      <c r="B293" s="62" t="s">
        <v>788</v>
      </c>
      <c r="C293" s="45" t="s">
        <v>718</v>
      </c>
      <c r="D293" s="62" t="s">
        <v>785</v>
      </c>
      <c r="E293" s="11" t="s">
        <v>29</v>
      </c>
    </row>
    <row r="294">
      <c r="A294" s="48">
        <v>0.7701388888888889</v>
      </c>
      <c r="B294" s="62" t="s">
        <v>787</v>
      </c>
      <c r="C294" s="45" t="s">
        <v>216</v>
      </c>
      <c r="D294" s="62" t="s">
        <v>782</v>
      </c>
      <c r="E294" s="11" t="s">
        <v>33</v>
      </c>
    </row>
    <row r="295">
      <c r="A295" s="48">
        <v>0.7805555555555556</v>
      </c>
      <c r="B295" s="62" t="s">
        <v>788</v>
      </c>
      <c r="C295" s="45" t="s">
        <v>334</v>
      </c>
      <c r="D295" s="62" t="s">
        <v>784</v>
      </c>
      <c r="E295" s="11" t="s">
        <v>29</v>
      </c>
    </row>
    <row r="296">
      <c r="A296" s="48">
        <v>0.7805555555555556</v>
      </c>
      <c r="B296" s="62" t="s">
        <v>782</v>
      </c>
      <c r="C296" s="45" t="s">
        <v>555</v>
      </c>
      <c r="D296" s="62" t="s">
        <v>785</v>
      </c>
      <c r="E296" s="11" t="s">
        <v>33</v>
      </c>
    </row>
    <row r="297">
      <c r="A297" s="48">
        <v>0.7902777777777777</v>
      </c>
      <c r="B297" s="62" t="s">
        <v>787</v>
      </c>
      <c r="C297" s="45" t="s">
        <v>18</v>
      </c>
      <c r="D297" s="62" t="s">
        <v>784</v>
      </c>
      <c r="E297" s="11" t="s">
        <v>29</v>
      </c>
    </row>
    <row r="298">
      <c r="A298" s="48">
        <v>0.7902777777777777</v>
      </c>
      <c r="B298" s="62" t="s">
        <v>782</v>
      </c>
      <c r="C298" s="45" t="s">
        <v>183</v>
      </c>
      <c r="D298" s="62" t="s">
        <v>788</v>
      </c>
      <c r="E298" s="11" t="s">
        <v>33</v>
      </c>
    </row>
    <row r="299">
      <c r="A299" s="48">
        <v>0.8006944444444445</v>
      </c>
      <c r="B299" s="62" t="s">
        <v>784</v>
      </c>
      <c r="C299" s="45" t="s">
        <v>789</v>
      </c>
      <c r="D299" s="62" t="s">
        <v>782</v>
      </c>
      <c r="E299" s="11" t="s">
        <v>29</v>
      </c>
    </row>
    <row r="300">
      <c r="A300" s="48">
        <v>0.8006944444444445</v>
      </c>
      <c r="B300" s="62" t="s">
        <v>787</v>
      </c>
      <c r="C300" s="45" t="s">
        <v>394</v>
      </c>
      <c r="D300" s="62" t="s">
        <v>785</v>
      </c>
      <c r="E300" s="11" t="s">
        <v>33</v>
      </c>
    </row>
    <row r="301">
      <c r="A301" s="48">
        <v>0.8111111111111111</v>
      </c>
      <c r="B301" s="62" t="s">
        <v>784</v>
      </c>
      <c r="C301" s="45" t="s">
        <v>176</v>
      </c>
      <c r="D301" s="62" t="s">
        <v>785</v>
      </c>
      <c r="E301" s="11" t="s">
        <v>29</v>
      </c>
    </row>
    <row r="302">
      <c r="A302" s="48">
        <v>0.8111111111111111</v>
      </c>
      <c r="B302" s="62" t="s">
        <v>787</v>
      </c>
      <c r="C302" s="45" t="s">
        <v>173</v>
      </c>
      <c r="D302" s="62" t="s">
        <v>788</v>
      </c>
      <c r="E302" s="11" t="s">
        <v>33</v>
      </c>
    </row>
    <row r="303">
      <c r="A303" s="48">
        <v>0.8208333333333333</v>
      </c>
      <c r="B303" s="62" t="s">
        <v>785</v>
      </c>
      <c r="C303" s="45" t="s">
        <v>573</v>
      </c>
      <c r="D303" s="62" t="s">
        <v>788</v>
      </c>
      <c r="E303" s="11" t="s">
        <v>29</v>
      </c>
    </row>
    <row r="304">
      <c r="A304" s="48">
        <v>0.8208333333333333</v>
      </c>
      <c r="B304" s="62" t="s">
        <v>782</v>
      </c>
      <c r="C304" s="45" t="s">
        <v>790</v>
      </c>
      <c r="D304" s="62" t="s">
        <v>787</v>
      </c>
      <c r="E304" s="11" t="s">
        <v>33</v>
      </c>
    </row>
    <row r="305">
      <c r="A305" s="48">
        <v>0.83125</v>
      </c>
      <c r="B305" s="62" t="s">
        <v>784</v>
      </c>
      <c r="C305" s="45" t="s">
        <v>158</v>
      </c>
      <c r="D305" s="62" t="s">
        <v>788</v>
      </c>
      <c r="E305" s="11" t="s">
        <v>29</v>
      </c>
    </row>
    <row r="306">
      <c r="A306" s="48">
        <v>0.83125</v>
      </c>
      <c r="B306" s="62" t="s">
        <v>785</v>
      </c>
      <c r="C306" s="45" t="s">
        <v>674</v>
      </c>
      <c r="D306" s="62" t="s">
        <v>782</v>
      </c>
      <c r="E306" s="11" t="s">
        <v>33</v>
      </c>
    </row>
    <row r="307">
      <c r="A307" s="48">
        <v>0.8416666666666667</v>
      </c>
      <c r="B307" s="62" t="s">
        <v>784</v>
      </c>
      <c r="C307" s="45" t="s">
        <v>164</v>
      </c>
      <c r="D307" s="62" t="s">
        <v>787</v>
      </c>
      <c r="E307" s="11" t="s">
        <v>29</v>
      </c>
    </row>
    <row r="308">
      <c r="A308" s="48">
        <v>0.8416666666666667</v>
      </c>
      <c r="B308" s="62" t="s">
        <v>788</v>
      </c>
      <c r="C308" s="45" t="s">
        <v>791</v>
      </c>
      <c r="D308" s="62" t="s">
        <v>782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792</v>
      </c>
      <c r="C311" s="57" t="s">
        <v>292</v>
      </c>
      <c r="D311" s="62" t="s">
        <v>793</v>
      </c>
      <c r="E311" s="11" t="s">
        <v>9</v>
      </c>
    </row>
    <row r="312">
      <c r="A312" s="48">
        <v>0.8541666666666666</v>
      </c>
      <c r="B312" s="62" t="s">
        <v>794</v>
      </c>
      <c r="C312" s="57" t="s">
        <v>41</v>
      </c>
      <c r="D312" s="62" t="s">
        <v>795</v>
      </c>
      <c r="E312" s="11" t="s">
        <v>13</v>
      </c>
    </row>
    <row r="313">
      <c r="A313" s="48">
        <v>0.8638888888888889</v>
      </c>
      <c r="B313" s="62" t="s">
        <v>794</v>
      </c>
      <c r="C313" s="57" t="s">
        <v>313</v>
      </c>
      <c r="D313" s="62" t="s">
        <v>793</v>
      </c>
      <c r="E313" s="11" t="s">
        <v>9</v>
      </c>
    </row>
    <row r="314">
      <c r="A314" s="48">
        <v>0.8638888888888889</v>
      </c>
      <c r="B314" s="62" t="s">
        <v>796</v>
      </c>
      <c r="C314" s="57" t="s">
        <v>181</v>
      </c>
      <c r="D314" s="62" t="s">
        <v>795</v>
      </c>
      <c r="E314" s="11" t="s">
        <v>13</v>
      </c>
    </row>
    <row r="315">
      <c r="A315" s="48">
        <v>0.8743055555555556</v>
      </c>
      <c r="B315" s="62" t="s">
        <v>796</v>
      </c>
      <c r="C315" s="57" t="s">
        <v>218</v>
      </c>
      <c r="D315" s="62" t="s">
        <v>794</v>
      </c>
      <c r="E315" s="11" t="s">
        <v>9</v>
      </c>
    </row>
    <row r="316">
      <c r="A316" s="48">
        <v>0.8743055555555556</v>
      </c>
      <c r="B316" s="62" t="s">
        <v>795</v>
      </c>
      <c r="C316" s="57" t="s">
        <v>18</v>
      </c>
      <c r="D316" s="62" t="s">
        <v>792</v>
      </c>
      <c r="E316" s="11" t="s">
        <v>13</v>
      </c>
    </row>
    <row r="317">
      <c r="A317" s="48">
        <v>0.8847222222222222</v>
      </c>
      <c r="B317" s="62" t="s">
        <v>796</v>
      </c>
      <c r="C317" s="57" t="s">
        <v>210</v>
      </c>
      <c r="D317" s="62" t="s">
        <v>793</v>
      </c>
      <c r="E317" s="11" t="s">
        <v>9</v>
      </c>
    </row>
    <row r="318">
      <c r="A318" s="48">
        <v>0.8847222222222222</v>
      </c>
      <c r="B318" s="62" t="s">
        <v>792</v>
      </c>
      <c r="C318" s="57" t="s">
        <v>620</v>
      </c>
      <c r="D318" s="62" t="s">
        <v>794</v>
      </c>
      <c r="E318" s="11" t="s">
        <v>13</v>
      </c>
    </row>
    <row r="319">
      <c r="A319" s="48">
        <v>0.8944444444444445</v>
      </c>
      <c r="B319" s="62" t="s">
        <v>795</v>
      </c>
      <c r="C319" s="57" t="s">
        <v>291</v>
      </c>
      <c r="D319" s="62" t="s">
        <v>793</v>
      </c>
      <c r="E319" s="11" t="s">
        <v>9</v>
      </c>
    </row>
    <row r="320">
      <c r="A320" s="48">
        <v>0.8944444444444445</v>
      </c>
      <c r="B320" s="62" t="s">
        <v>792</v>
      </c>
      <c r="C320" s="57" t="s">
        <v>210</v>
      </c>
      <c r="D320" s="62" t="s">
        <v>796</v>
      </c>
      <c r="E320" s="11" t="s">
        <v>13</v>
      </c>
    </row>
    <row r="321">
      <c r="A321" s="48">
        <v>0.9048611111111111</v>
      </c>
      <c r="B321" s="62" t="s">
        <v>793</v>
      </c>
      <c r="C321" s="57" t="s">
        <v>279</v>
      </c>
      <c r="D321" s="62" t="s">
        <v>792</v>
      </c>
      <c r="E321" s="11" t="s">
        <v>9</v>
      </c>
    </row>
    <row r="322">
      <c r="A322" s="48">
        <v>0.9048611111111111</v>
      </c>
      <c r="B322" s="62" t="s">
        <v>795</v>
      </c>
      <c r="C322" s="57" t="s">
        <v>158</v>
      </c>
      <c r="D322" s="62" t="s">
        <v>794</v>
      </c>
      <c r="E322" s="11" t="s">
        <v>13</v>
      </c>
    </row>
    <row r="323">
      <c r="A323" s="48">
        <v>0.9152777777777777</v>
      </c>
      <c r="B323" s="62" t="s">
        <v>793</v>
      </c>
      <c r="C323" s="45" t="s">
        <v>381</v>
      </c>
      <c r="D323" s="62" t="s">
        <v>794</v>
      </c>
      <c r="E323" s="11" t="s">
        <v>9</v>
      </c>
    </row>
    <row r="324">
      <c r="A324" s="48">
        <v>0.9152777777777777</v>
      </c>
      <c r="B324" s="62" t="s">
        <v>795</v>
      </c>
      <c r="C324" s="45" t="s">
        <v>193</v>
      </c>
      <c r="D324" s="62" t="s">
        <v>796</v>
      </c>
      <c r="E324" s="11" t="s">
        <v>13</v>
      </c>
    </row>
    <row r="325">
      <c r="A325" s="48">
        <v>0.925</v>
      </c>
      <c r="B325" s="62" t="s">
        <v>794</v>
      </c>
      <c r="C325" s="45" t="s">
        <v>7</v>
      </c>
      <c r="D325" s="62" t="s">
        <v>796</v>
      </c>
      <c r="E325" s="11" t="s">
        <v>9</v>
      </c>
    </row>
    <row r="326">
      <c r="A326" s="48">
        <v>0.925</v>
      </c>
      <c r="B326" s="62" t="s">
        <v>792</v>
      </c>
      <c r="C326" s="45" t="s">
        <v>219</v>
      </c>
      <c r="D326" s="62" t="s">
        <v>795</v>
      </c>
      <c r="E326" s="11" t="s">
        <v>13</v>
      </c>
    </row>
    <row r="327">
      <c r="A327" s="48">
        <v>0.9354166666666667</v>
      </c>
      <c r="B327" s="62" t="s">
        <v>793</v>
      </c>
      <c r="C327" s="45" t="s">
        <v>158</v>
      </c>
      <c r="D327" s="62" t="s">
        <v>796</v>
      </c>
      <c r="E327" s="11" t="s">
        <v>9</v>
      </c>
    </row>
    <row r="328">
      <c r="A328" s="48">
        <v>0.9354166666666667</v>
      </c>
      <c r="B328" s="62" t="s">
        <v>794</v>
      </c>
      <c r="C328" s="45" t="s">
        <v>164</v>
      </c>
      <c r="D328" s="62" t="s">
        <v>792</v>
      </c>
      <c r="E328" s="11" t="s">
        <v>13</v>
      </c>
    </row>
    <row r="329">
      <c r="A329" s="48">
        <v>0.9458333333333333</v>
      </c>
      <c r="B329" s="62" t="s">
        <v>793</v>
      </c>
      <c r="C329" s="45" t="s">
        <v>19</v>
      </c>
      <c r="D329" s="62" t="s">
        <v>795</v>
      </c>
      <c r="E329" s="11" t="s">
        <v>9</v>
      </c>
    </row>
    <row r="330">
      <c r="A330" s="48">
        <v>0.9458333333333333</v>
      </c>
      <c r="B330" s="62" t="s">
        <v>796</v>
      </c>
      <c r="C330" s="45" t="s">
        <v>194</v>
      </c>
      <c r="D330" s="62" t="s">
        <v>792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797</v>
      </c>
      <c r="C333" s="45" t="s">
        <v>256</v>
      </c>
      <c r="D333" s="62" t="s">
        <v>798</v>
      </c>
      <c r="E333" s="11" t="s">
        <v>29</v>
      </c>
    </row>
    <row r="334">
      <c r="A334" s="48">
        <v>0.8541666666666666</v>
      </c>
      <c r="B334" s="62" t="s">
        <v>799</v>
      </c>
      <c r="C334" s="45" t="s">
        <v>225</v>
      </c>
      <c r="D334" s="62" t="s">
        <v>800</v>
      </c>
      <c r="E334" s="11" t="s">
        <v>33</v>
      </c>
    </row>
    <row r="335">
      <c r="A335" s="48">
        <v>0.8638888888888889</v>
      </c>
      <c r="B335" s="62" t="s">
        <v>799</v>
      </c>
      <c r="C335" s="45" t="s">
        <v>248</v>
      </c>
      <c r="D335" s="62" t="s">
        <v>798</v>
      </c>
      <c r="E335" s="11" t="s">
        <v>29</v>
      </c>
    </row>
    <row r="336">
      <c r="A336" s="48">
        <v>0.8638888888888889</v>
      </c>
      <c r="B336" s="62" t="s">
        <v>801</v>
      </c>
      <c r="C336" s="45" t="s">
        <v>195</v>
      </c>
      <c r="D336" s="62" t="s">
        <v>800</v>
      </c>
      <c r="E336" s="11" t="s">
        <v>33</v>
      </c>
    </row>
    <row r="337">
      <c r="A337" s="48">
        <v>0.8743055555555556</v>
      </c>
      <c r="B337" s="62" t="s">
        <v>801</v>
      </c>
      <c r="C337" s="45" t="s">
        <v>802</v>
      </c>
      <c r="D337" s="62" t="s">
        <v>799</v>
      </c>
      <c r="E337" s="11" t="s">
        <v>29</v>
      </c>
    </row>
    <row r="338">
      <c r="A338" s="48">
        <v>0.8743055555555556</v>
      </c>
      <c r="B338" s="62" t="s">
        <v>800</v>
      </c>
      <c r="C338" s="45" t="s">
        <v>16</v>
      </c>
      <c r="D338" s="62" t="s">
        <v>797</v>
      </c>
      <c r="E338" s="11" t="s">
        <v>33</v>
      </c>
    </row>
    <row r="339">
      <c r="A339" s="48">
        <v>0.8847222222222222</v>
      </c>
      <c r="B339" s="62" t="s">
        <v>801</v>
      </c>
      <c r="C339" s="45" t="s">
        <v>184</v>
      </c>
      <c r="D339" s="62" t="s">
        <v>798</v>
      </c>
      <c r="E339" s="11" t="s">
        <v>29</v>
      </c>
    </row>
    <row r="340">
      <c r="A340" s="48">
        <v>0.8847222222222222</v>
      </c>
      <c r="B340" s="62" t="s">
        <v>797</v>
      </c>
      <c r="C340" s="45" t="s">
        <v>502</v>
      </c>
      <c r="D340" s="62" t="s">
        <v>799</v>
      </c>
      <c r="E340" s="11" t="s">
        <v>33</v>
      </c>
    </row>
    <row r="341">
      <c r="A341" s="48">
        <v>0.8944444444444445</v>
      </c>
      <c r="B341" s="62" t="s">
        <v>800</v>
      </c>
      <c r="C341" s="45" t="s">
        <v>20</v>
      </c>
      <c r="D341" s="62" t="s">
        <v>798</v>
      </c>
      <c r="E341" s="11" t="s">
        <v>29</v>
      </c>
    </row>
    <row r="342">
      <c r="A342" s="48">
        <v>0.8944444444444445</v>
      </c>
      <c r="B342" s="62" t="s">
        <v>797</v>
      </c>
      <c r="C342" s="45" t="s">
        <v>41</v>
      </c>
      <c r="D342" s="62" t="s">
        <v>801</v>
      </c>
      <c r="E342" s="11" t="s">
        <v>33</v>
      </c>
    </row>
    <row r="343">
      <c r="A343" s="48">
        <v>0.9048611111111111</v>
      </c>
      <c r="B343" s="62" t="s">
        <v>798</v>
      </c>
      <c r="C343" s="45" t="s">
        <v>184</v>
      </c>
      <c r="D343" s="62" t="s">
        <v>797</v>
      </c>
      <c r="E343" s="11" t="s">
        <v>29</v>
      </c>
    </row>
    <row r="344">
      <c r="A344" s="48">
        <v>0.9048611111111111</v>
      </c>
      <c r="B344" s="62" t="s">
        <v>800</v>
      </c>
      <c r="C344" s="45" t="s">
        <v>18</v>
      </c>
      <c r="D344" s="62" t="s">
        <v>799</v>
      </c>
      <c r="E344" s="11" t="s">
        <v>33</v>
      </c>
    </row>
    <row r="345">
      <c r="A345" s="48">
        <v>0.9152777777777777</v>
      </c>
      <c r="B345" s="62" t="s">
        <v>798</v>
      </c>
      <c r="C345" s="45" t="s">
        <v>803</v>
      </c>
      <c r="D345" s="62" t="s">
        <v>799</v>
      </c>
      <c r="E345" s="11" t="s">
        <v>29</v>
      </c>
    </row>
    <row r="346">
      <c r="A346" s="48">
        <v>0.9152777777777777</v>
      </c>
      <c r="B346" s="62" t="s">
        <v>800</v>
      </c>
      <c r="C346" s="45" t="s">
        <v>161</v>
      </c>
      <c r="D346" s="62" t="s">
        <v>801</v>
      </c>
      <c r="E346" s="11" t="s">
        <v>33</v>
      </c>
    </row>
    <row r="347">
      <c r="A347" s="48">
        <v>0.925</v>
      </c>
      <c r="B347" s="62" t="s">
        <v>799</v>
      </c>
      <c r="C347" s="45" t="s">
        <v>545</v>
      </c>
      <c r="D347" s="62" t="s">
        <v>801</v>
      </c>
      <c r="E347" s="11" t="s">
        <v>29</v>
      </c>
    </row>
    <row r="348">
      <c r="A348" s="48">
        <v>0.925</v>
      </c>
      <c r="B348" s="62" t="s">
        <v>797</v>
      </c>
      <c r="C348" s="45" t="s">
        <v>185</v>
      </c>
      <c r="D348" s="62" t="s">
        <v>800</v>
      </c>
      <c r="E348" s="11" t="s">
        <v>33</v>
      </c>
    </row>
    <row r="349">
      <c r="A349" s="48">
        <v>0.9354166666666667</v>
      </c>
      <c r="B349" s="62" t="s">
        <v>798</v>
      </c>
      <c r="C349" s="45" t="s">
        <v>362</v>
      </c>
      <c r="D349" s="62" t="s">
        <v>801</v>
      </c>
      <c r="E349" s="11" t="s">
        <v>29</v>
      </c>
    </row>
    <row r="350">
      <c r="A350" s="48">
        <v>0.9354166666666667</v>
      </c>
      <c r="B350" s="62" t="s">
        <v>799</v>
      </c>
      <c r="C350" s="45" t="s">
        <v>662</v>
      </c>
      <c r="D350" s="62" t="s">
        <v>797</v>
      </c>
      <c r="E350" s="11" t="s">
        <v>33</v>
      </c>
    </row>
    <row r="351">
      <c r="A351" s="48">
        <v>0.9458333333333333</v>
      </c>
      <c r="B351" s="62" t="s">
        <v>798</v>
      </c>
      <c r="C351" s="45" t="s">
        <v>248</v>
      </c>
      <c r="D351" s="62" t="s">
        <v>800</v>
      </c>
      <c r="E351" s="11" t="s">
        <v>29</v>
      </c>
    </row>
    <row r="352">
      <c r="A352" s="48">
        <v>0.9458333333333333</v>
      </c>
      <c r="B352" s="62" t="s">
        <v>801</v>
      </c>
      <c r="C352" s="45" t="s">
        <v>640</v>
      </c>
      <c r="D352" s="62" t="s">
        <v>797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595</v>
      </c>
      <c r="C355" s="45" t="s">
        <v>20</v>
      </c>
      <c r="D355" s="62" t="s">
        <v>699</v>
      </c>
      <c r="E355" s="11" t="s">
        <v>9</v>
      </c>
    </row>
    <row r="356">
      <c r="A356" s="48">
        <v>0.9583333333333334</v>
      </c>
      <c r="B356" s="62" t="s">
        <v>804</v>
      </c>
      <c r="C356" s="45" t="s">
        <v>41</v>
      </c>
      <c r="D356" s="62" t="s">
        <v>805</v>
      </c>
      <c r="E356" s="11" t="s">
        <v>13</v>
      </c>
    </row>
    <row r="357">
      <c r="A357" s="48">
        <v>0.9680555555555556</v>
      </c>
      <c r="B357" s="62" t="s">
        <v>804</v>
      </c>
      <c r="C357" s="45" t="s">
        <v>43</v>
      </c>
      <c r="D357" s="62" t="s">
        <v>699</v>
      </c>
      <c r="E357" s="11" t="s">
        <v>9</v>
      </c>
    </row>
    <row r="358">
      <c r="A358" s="48">
        <v>0.9680555555555556</v>
      </c>
      <c r="B358" s="62" t="s">
        <v>806</v>
      </c>
      <c r="C358" s="45" t="s">
        <v>209</v>
      </c>
      <c r="D358" s="62" t="s">
        <v>805</v>
      </c>
      <c r="E358" s="11" t="s">
        <v>13</v>
      </c>
    </row>
    <row r="359">
      <c r="A359" s="48">
        <v>0.9784722222222222</v>
      </c>
      <c r="B359" s="62" t="s">
        <v>806</v>
      </c>
      <c r="C359" s="45" t="s">
        <v>16</v>
      </c>
      <c r="D359" s="62" t="s">
        <v>804</v>
      </c>
      <c r="E359" s="11" t="s">
        <v>9</v>
      </c>
    </row>
    <row r="360">
      <c r="A360" s="48">
        <v>0.9784722222222222</v>
      </c>
      <c r="B360" s="62" t="s">
        <v>805</v>
      </c>
      <c r="C360" s="45" t="s">
        <v>220</v>
      </c>
      <c r="D360" s="62" t="s">
        <v>595</v>
      </c>
      <c r="E360" s="11" t="s">
        <v>13</v>
      </c>
    </row>
    <row r="361">
      <c r="A361" s="48">
        <v>0.9888888888888889</v>
      </c>
      <c r="B361" s="62" t="s">
        <v>806</v>
      </c>
      <c r="C361" s="45" t="s">
        <v>177</v>
      </c>
      <c r="D361" s="62" t="s">
        <v>699</v>
      </c>
      <c r="E361" s="11" t="s">
        <v>9</v>
      </c>
    </row>
    <row r="362">
      <c r="A362" s="48">
        <v>0.9888888888888889</v>
      </c>
      <c r="B362" s="62" t="s">
        <v>595</v>
      </c>
      <c r="C362" s="45" t="s">
        <v>271</v>
      </c>
      <c r="D362" s="62" t="s">
        <v>804</v>
      </c>
      <c r="E362" s="11" t="s">
        <v>13</v>
      </c>
    </row>
    <row r="363">
      <c r="A363" s="48">
        <v>0.9986111111111111</v>
      </c>
      <c r="B363" s="62" t="s">
        <v>805</v>
      </c>
      <c r="C363" s="45" t="s">
        <v>289</v>
      </c>
      <c r="D363" s="62" t="s">
        <v>699</v>
      </c>
      <c r="E363" s="11" t="s">
        <v>9</v>
      </c>
    </row>
    <row r="364">
      <c r="A364" s="48">
        <v>0.9986111111111111</v>
      </c>
      <c r="B364" s="62" t="s">
        <v>595</v>
      </c>
      <c r="C364" s="45" t="s">
        <v>158</v>
      </c>
      <c r="D364" s="62" t="s">
        <v>806</v>
      </c>
      <c r="E364" s="11" t="s">
        <v>13</v>
      </c>
    </row>
    <row r="365">
      <c r="A365" s="48">
        <v>0.009027777777777777</v>
      </c>
      <c r="B365" s="62" t="s">
        <v>699</v>
      </c>
      <c r="C365" s="45" t="s">
        <v>20</v>
      </c>
      <c r="D365" s="62" t="s">
        <v>595</v>
      </c>
      <c r="E365" s="11" t="s">
        <v>9</v>
      </c>
    </row>
    <row r="366">
      <c r="A366" s="48">
        <v>0.009027777777777777</v>
      </c>
      <c r="B366" s="62" t="s">
        <v>805</v>
      </c>
      <c r="C366" s="45" t="s">
        <v>193</v>
      </c>
      <c r="D366" s="62" t="s">
        <v>804</v>
      </c>
      <c r="E366" s="11" t="s">
        <v>13</v>
      </c>
    </row>
    <row r="367">
      <c r="A367" s="48">
        <v>0.019444444444444445</v>
      </c>
      <c r="B367" s="62" t="s">
        <v>699</v>
      </c>
      <c r="C367" s="45" t="s">
        <v>324</v>
      </c>
      <c r="D367" s="62" t="s">
        <v>804</v>
      </c>
      <c r="E367" s="11" t="s">
        <v>9</v>
      </c>
    </row>
    <row r="368">
      <c r="A368" s="48">
        <v>0.019444444444444445</v>
      </c>
      <c r="B368" s="62" t="s">
        <v>805</v>
      </c>
      <c r="C368" s="45" t="s">
        <v>222</v>
      </c>
      <c r="D368" s="62" t="s">
        <v>806</v>
      </c>
      <c r="E368" s="11" t="s">
        <v>13</v>
      </c>
    </row>
    <row r="369">
      <c r="A369" s="48">
        <v>0.029166666666666667</v>
      </c>
      <c r="B369" s="62" t="s">
        <v>804</v>
      </c>
      <c r="C369" s="45" t="s">
        <v>43</v>
      </c>
      <c r="D369" s="62" t="s">
        <v>806</v>
      </c>
      <c r="E369" s="11" t="s">
        <v>9</v>
      </c>
    </row>
    <row r="370">
      <c r="A370" s="48">
        <v>0.029166666666666667</v>
      </c>
      <c r="B370" s="62" t="s">
        <v>595</v>
      </c>
      <c r="C370" s="45" t="s">
        <v>209</v>
      </c>
      <c r="D370" s="62" t="s">
        <v>805</v>
      </c>
      <c r="E370" s="11" t="s">
        <v>13</v>
      </c>
    </row>
    <row r="371">
      <c r="A371" s="48">
        <v>0.03958333333333333</v>
      </c>
      <c r="B371" s="62" t="s">
        <v>699</v>
      </c>
      <c r="C371" s="45" t="s">
        <v>20</v>
      </c>
      <c r="D371" s="62" t="s">
        <v>806</v>
      </c>
      <c r="E371" s="11" t="s">
        <v>9</v>
      </c>
    </row>
    <row r="372">
      <c r="A372" s="48">
        <v>0.03958333333333333</v>
      </c>
      <c r="B372" s="62" t="s">
        <v>804</v>
      </c>
      <c r="C372" s="45" t="s">
        <v>163</v>
      </c>
      <c r="D372" s="62" t="s">
        <v>595</v>
      </c>
      <c r="E372" s="11" t="s">
        <v>13</v>
      </c>
    </row>
    <row r="373">
      <c r="A373" s="48">
        <v>0.05</v>
      </c>
      <c r="B373" s="62" t="s">
        <v>699</v>
      </c>
      <c r="C373" s="45" t="s">
        <v>248</v>
      </c>
      <c r="D373" s="62" t="s">
        <v>805</v>
      </c>
      <c r="E373" s="11" t="s">
        <v>9</v>
      </c>
    </row>
    <row r="374">
      <c r="A374" s="48">
        <v>0.05</v>
      </c>
      <c r="B374" s="62" t="s">
        <v>806</v>
      </c>
      <c r="C374" s="45" t="s">
        <v>251</v>
      </c>
      <c r="D374" s="62" t="s">
        <v>595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703</v>
      </c>
      <c r="C377" s="45" t="s">
        <v>158</v>
      </c>
      <c r="D377" s="62" t="s">
        <v>807</v>
      </c>
      <c r="E377" s="11" t="s">
        <v>29</v>
      </c>
    </row>
    <row r="378">
      <c r="A378" s="48">
        <v>0.9583333333333334</v>
      </c>
      <c r="B378" s="62" t="s">
        <v>808</v>
      </c>
      <c r="C378" s="45" t="s">
        <v>164</v>
      </c>
      <c r="D378" s="62" t="s">
        <v>809</v>
      </c>
      <c r="E378" s="11" t="s">
        <v>33</v>
      </c>
    </row>
    <row r="379">
      <c r="A379" s="48">
        <v>0.9680555555555556</v>
      </c>
      <c r="B379" s="62" t="s">
        <v>808</v>
      </c>
      <c r="C379" s="45" t="s">
        <v>18</v>
      </c>
      <c r="D379" s="62" t="s">
        <v>807</v>
      </c>
      <c r="E379" s="11" t="s">
        <v>29</v>
      </c>
    </row>
    <row r="380">
      <c r="A380" s="48">
        <v>0.9680555555555556</v>
      </c>
      <c r="B380" s="62" t="s">
        <v>810</v>
      </c>
      <c r="C380" s="45" t="s">
        <v>209</v>
      </c>
      <c r="D380" s="62" t="s">
        <v>809</v>
      </c>
      <c r="E380" s="11" t="s">
        <v>33</v>
      </c>
    </row>
    <row r="381">
      <c r="A381" s="48">
        <v>0.9784722222222222</v>
      </c>
      <c r="B381" s="62" t="s">
        <v>810</v>
      </c>
      <c r="C381" s="45" t="s">
        <v>302</v>
      </c>
      <c r="D381" s="62" t="s">
        <v>808</v>
      </c>
      <c r="E381" s="11" t="s">
        <v>29</v>
      </c>
    </row>
    <row r="382">
      <c r="A382" s="48">
        <v>0.9784722222222222</v>
      </c>
      <c r="B382" s="62" t="s">
        <v>809</v>
      </c>
      <c r="C382" s="45" t="s">
        <v>19</v>
      </c>
      <c r="D382" s="62" t="s">
        <v>703</v>
      </c>
      <c r="E382" s="11" t="s">
        <v>33</v>
      </c>
    </row>
    <row r="383">
      <c r="A383" s="48">
        <v>0.9888888888888889</v>
      </c>
      <c r="B383" s="62" t="s">
        <v>810</v>
      </c>
      <c r="C383" s="45" t="s">
        <v>554</v>
      </c>
      <c r="D383" s="62" t="s">
        <v>807</v>
      </c>
      <c r="E383" s="11" t="s">
        <v>29</v>
      </c>
    </row>
    <row r="384">
      <c r="A384" s="48">
        <v>0.9888888888888889</v>
      </c>
      <c r="B384" s="62" t="s">
        <v>703</v>
      </c>
      <c r="C384" s="45" t="s">
        <v>395</v>
      </c>
      <c r="D384" s="62" t="s">
        <v>808</v>
      </c>
      <c r="E384" s="11" t="s">
        <v>33</v>
      </c>
    </row>
    <row r="385">
      <c r="A385" s="48">
        <v>0.9986111111111111</v>
      </c>
      <c r="B385" s="62" t="s">
        <v>809</v>
      </c>
      <c r="C385" s="45" t="s">
        <v>193</v>
      </c>
      <c r="D385" s="62" t="s">
        <v>807</v>
      </c>
      <c r="E385" s="11" t="s">
        <v>29</v>
      </c>
    </row>
    <row r="386">
      <c r="A386" s="48">
        <v>0.9986111111111111</v>
      </c>
      <c r="B386" s="62" t="s">
        <v>703</v>
      </c>
      <c r="C386" s="45" t="s">
        <v>196</v>
      </c>
      <c r="D386" s="62" t="s">
        <v>810</v>
      </c>
      <c r="E386" s="11" t="s">
        <v>33</v>
      </c>
    </row>
    <row r="387">
      <c r="A387" s="48">
        <v>0.009027777777777777</v>
      </c>
      <c r="B387" s="62" t="s">
        <v>807</v>
      </c>
      <c r="C387" s="45" t="s">
        <v>279</v>
      </c>
      <c r="D387" s="62" t="s">
        <v>703</v>
      </c>
      <c r="E387" s="11" t="s">
        <v>29</v>
      </c>
    </row>
    <row r="388">
      <c r="A388" s="48">
        <v>0.009027777777777777</v>
      </c>
      <c r="B388" s="62" t="s">
        <v>809</v>
      </c>
      <c r="C388" s="45" t="s">
        <v>534</v>
      </c>
      <c r="D388" s="62" t="s">
        <v>808</v>
      </c>
      <c r="E388" s="11" t="s">
        <v>33</v>
      </c>
    </row>
    <row r="389">
      <c r="A389" s="48">
        <v>0.019444444444444445</v>
      </c>
      <c r="B389" s="62" t="s">
        <v>807</v>
      </c>
      <c r="C389" s="45" t="s">
        <v>44</v>
      </c>
      <c r="D389" s="62" t="s">
        <v>808</v>
      </c>
      <c r="E389" s="11" t="s">
        <v>29</v>
      </c>
    </row>
    <row r="390">
      <c r="A390" s="48">
        <v>0.019444444444444445</v>
      </c>
      <c r="B390" s="62" t="s">
        <v>809</v>
      </c>
      <c r="C390" s="45" t="s">
        <v>20</v>
      </c>
      <c r="D390" s="62" t="s">
        <v>810</v>
      </c>
      <c r="E390" s="11" t="s">
        <v>33</v>
      </c>
    </row>
    <row r="391">
      <c r="A391" s="48">
        <v>0.029166666666666667</v>
      </c>
      <c r="B391" s="62" t="s">
        <v>808</v>
      </c>
      <c r="C391" s="45" t="s">
        <v>464</v>
      </c>
      <c r="D391" s="62" t="s">
        <v>810</v>
      </c>
      <c r="E391" s="11" t="s">
        <v>29</v>
      </c>
    </row>
    <row r="392">
      <c r="A392" s="48">
        <v>0.029166666666666667</v>
      </c>
      <c r="B392" s="62" t="s">
        <v>703</v>
      </c>
      <c r="C392" s="45" t="s">
        <v>158</v>
      </c>
      <c r="D392" s="62" t="s">
        <v>809</v>
      </c>
      <c r="E392" s="11" t="s">
        <v>33</v>
      </c>
    </row>
    <row r="393">
      <c r="A393" s="48">
        <v>0.03958333333333333</v>
      </c>
      <c r="B393" s="62" t="s">
        <v>807</v>
      </c>
      <c r="C393" s="45" t="s">
        <v>162</v>
      </c>
      <c r="D393" s="62" t="s">
        <v>810</v>
      </c>
      <c r="E393" s="11" t="s">
        <v>29</v>
      </c>
    </row>
    <row r="394">
      <c r="A394" s="48">
        <v>0.03958333333333333</v>
      </c>
      <c r="B394" s="62" t="s">
        <v>808</v>
      </c>
      <c r="C394" s="45" t="s">
        <v>177</v>
      </c>
      <c r="D394" s="62" t="s">
        <v>703</v>
      </c>
      <c r="E394" s="11" t="s">
        <v>33</v>
      </c>
    </row>
    <row r="395">
      <c r="A395" s="48">
        <v>0.05</v>
      </c>
      <c r="B395" s="62" t="s">
        <v>807</v>
      </c>
      <c r="C395" s="45" t="s">
        <v>41</v>
      </c>
      <c r="D395" s="62" t="s">
        <v>809</v>
      </c>
      <c r="E395" s="11" t="s">
        <v>29</v>
      </c>
    </row>
    <row r="396">
      <c r="A396" s="48">
        <v>0.05</v>
      </c>
      <c r="B396" s="62" t="s">
        <v>810</v>
      </c>
      <c r="C396" s="45" t="s">
        <v>17</v>
      </c>
      <c r="D396" s="62" t="s">
        <v>703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811</v>
      </c>
      <c r="C3" s="57" t="s">
        <v>173</v>
      </c>
      <c r="D3" s="62" t="s">
        <v>812</v>
      </c>
      <c r="E3" s="11" t="s">
        <v>9</v>
      </c>
    </row>
    <row r="4">
      <c r="A4" s="7">
        <v>0.0625</v>
      </c>
      <c r="B4" s="61" t="s">
        <v>813</v>
      </c>
      <c r="C4" s="57" t="s">
        <v>517</v>
      </c>
      <c r="D4" s="61" t="s">
        <v>481</v>
      </c>
      <c r="E4" s="11" t="s">
        <v>13</v>
      </c>
    </row>
    <row r="5">
      <c r="A5" s="7">
        <v>0.07222222222222222</v>
      </c>
      <c r="B5" s="62" t="s">
        <v>813</v>
      </c>
      <c r="C5" s="57" t="s">
        <v>24</v>
      </c>
      <c r="D5" s="61" t="s">
        <v>812</v>
      </c>
      <c r="E5" s="11" t="s">
        <v>9</v>
      </c>
    </row>
    <row r="6">
      <c r="A6" s="7">
        <v>0.07222222222222222</v>
      </c>
      <c r="B6" s="61" t="s">
        <v>814</v>
      </c>
      <c r="C6" s="57" t="s">
        <v>230</v>
      </c>
      <c r="D6" s="62" t="s">
        <v>481</v>
      </c>
      <c r="E6" s="11" t="s">
        <v>13</v>
      </c>
    </row>
    <row r="7">
      <c r="A7" s="7">
        <v>0.08263888888888889</v>
      </c>
      <c r="B7" s="62" t="s">
        <v>814</v>
      </c>
      <c r="C7" s="57" t="s">
        <v>194</v>
      </c>
      <c r="D7" s="61" t="s">
        <v>813</v>
      </c>
      <c r="E7" s="11" t="s">
        <v>9</v>
      </c>
    </row>
    <row r="8">
      <c r="A8" s="7">
        <v>0.08263888888888889</v>
      </c>
      <c r="B8" s="61" t="s">
        <v>481</v>
      </c>
      <c r="C8" s="57" t="s">
        <v>23</v>
      </c>
      <c r="D8" s="61" t="s">
        <v>811</v>
      </c>
      <c r="E8" s="11" t="s">
        <v>13</v>
      </c>
    </row>
    <row r="9">
      <c r="A9" s="7">
        <v>0.09305555555555556</v>
      </c>
      <c r="B9" s="62" t="s">
        <v>814</v>
      </c>
      <c r="C9" s="57" t="s">
        <v>198</v>
      </c>
      <c r="D9" s="62" t="s">
        <v>812</v>
      </c>
      <c r="E9" s="11" t="s">
        <v>9</v>
      </c>
    </row>
    <row r="10">
      <c r="A10" s="7">
        <v>0.09305555555555556</v>
      </c>
      <c r="B10" s="61" t="s">
        <v>811</v>
      </c>
      <c r="C10" s="57" t="s">
        <v>292</v>
      </c>
      <c r="D10" s="61" t="s">
        <v>813</v>
      </c>
      <c r="E10" s="11" t="s">
        <v>13</v>
      </c>
    </row>
    <row r="11">
      <c r="A11" s="7">
        <v>0.10277777777777777</v>
      </c>
      <c r="B11" s="62" t="s">
        <v>481</v>
      </c>
      <c r="C11" s="57" t="s">
        <v>326</v>
      </c>
      <c r="D11" s="61" t="s">
        <v>812</v>
      </c>
      <c r="E11" s="11" t="s">
        <v>9</v>
      </c>
    </row>
    <row r="12">
      <c r="A12" s="7">
        <v>0.10277777777777777</v>
      </c>
      <c r="B12" s="61" t="s">
        <v>811</v>
      </c>
      <c r="C12" s="57" t="s">
        <v>164</v>
      </c>
      <c r="D12" s="62" t="s">
        <v>814</v>
      </c>
      <c r="E12" s="11" t="s">
        <v>13</v>
      </c>
    </row>
    <row r="13">
      <c r="A13" s="7">
        <v>0.11319444444444444</v>
      </c>
      <c r="B13" s="62" t="s">
        <v>812</v>
      </c>
      <c r="C13" s="57" t="s">
        <v>610</v>
      </c>
      <c r="D13" s="61" t="s">
        <v>811</v>
      </c>
      <c r="E13" s="11" t="s">
        <v>9</v>
      </c>
    </row>
    <row r="14">
      <c r="A14" s="7">
        <v>0.11319444444444444</v>
      </c>
      <c r="B14" s="61" t="s">
        <v>481</v>
      </c>
      <c r="C14" s="57" t="s">
        <v>218</v>
      </c>
      <c r="D14" s="61" t="s">
        <v>813</v>
      </c>
      <c r="E14" s="11" t="s">
        <v>13</v>
      </c>
    </row>
    <row r="15">
      <c r="A15" s="7">
        <v>0.12361111111111112</v>
      </c>
      <c r="B15" s="61" t="s">
        <v>812</v>
      </c>
      <c r="C15" s="45" t="s">
        <v>205</v>
      </c>
      <c r="D15" s="62" t="s">
        <v>813</v>
      </c>
      <c r="E15" s="11" t="s">
        <v>9</v>
      </c>
    </row>
    <row r="16">
      <c r="A16" s="7">
        <v>0.12361111111111112</v>
      </c>
      <c r="B16" s="62" t="s">
        <v>481</v>
      </c>
      <c r="C16" s="45" t="s">
        <v>256</v>
      </c>
      <c r="D16" s="61" t="s">
        <v>814</v>
      </c>
      <c r="E16" s="11" t="s">
        <v>13</v>
      </c>
    </row>
    <row r="17">
      <c r="A17" s="7">
        <v>0.13333333333333333</v>
      </c>
      <c r="B17" s="61" t="s">
        <v>813</v>
      </c>
      <c r="C17" s="45" t="s">
        <v>573</v>
      </c>
      <c r="D17" s="62" t="s">
        <v>814</v>
      </c>
      <c r="E17" s="11" t="s">
        <v>9</v>
      </c>
    </row>
    <row r="18">
      <c r="A18" s="7">
        <v>0.13333333333333333</v>
      </c>
      <c r="B18" s="61" t="s">
        <v>811</v>
      </c>
      <c r="C18" s="45" t="s">
        <v>155</v>
      </c>
      <c r="D18" s="61" t="s">
        <v>481</v>
      </c>
      <c r="E18" s="11" t="s">
        <v>13</v>
      </c>
    </row>
    <row r="19">
      <c r="A19" s="7">
        <v>0.14375</v>
      </c>
      <c r="B19" s="62" t="s">
        <v>812</v>
      </c>
      <c r="C19" s="45" t="s">
        <v>257</v>
      </c>
      <c r="D19" s="62" t="s">
        <v>814</v>
      </c>
      <c r="E19" s="11" t="s">
        <v>9</v>
      </c>
    </row>
    <row r="20">
      <c r="A20" s="7">
        <v>0.14375</v>
      </c>
      <c r="B20" s="61" t="s">
        <v>813</v>
      </c>
      <c r="C20" s="45" t="s">
        <v>18</v>
      </c>
      <c r="D20" s="61" t="s">
        <v>811</v>
      </c>
      <c r="E20" s="11" t="s">
        <v>13</v>
      </c>
    </row>
    <row r="21">
      <c r="A21" s="7">
        <v>0.15416666666666667</v>
      </c>
      <c r="B21" s="61" t="s">
        <v>812</v>
      </c>
      <c r="C21" s="45" t="s">
        <v>233</v>
      </c>
      <c r="D21" s="62" t="s">
        <v>481</v>
      </c>
      <c r="E21" s="11" t="s">
        <v>9</v>
      </c>
    </row>
    <row r="22">
      <c r="A22" s="7">
        <v>0.15416666666666667</v>
      </c>
      <c r="B22" s="62" t="s">
        <v>814</v>
      </c>
      <c r="C22" s="45" t="s">
        <v>536</v>
      </c>
      <c r="D22" s="61" t="s">
        <v>811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815</v>
      </c>
      <c r="C25" s="57" t="s">
        <v>194</v>
      </c>
      <c r="D25" s="61" t="s">
        <v>816</v>
      </c>
      <c r="E25" s="11" t="s">
        <v>29</v>
      </c>
    </row>
    <row r="26">
      <c r="A26" s="7">
        <v>0.0625</v>
      </c>
      <c r="B26" s="61" t="s">
        <v>817</v>
      </c>
      <c r="C26" s="57" t="s">
        <v>352</v>
      </c>
      <c r="D26" s="61" t="s">
        <v>131</v>
      </c>
      <c r="E26" s="11" t="s">
        <v>33</v>
      </c>
    </row>
    <row r="27">
      <c r="A27" s="7">
        <v>0.07222222222222222</v>
      </c>
      <c r="B27" s="62" t="s">
        <v>817</v>
      </c>
      <c r="C27" s="57" t="s">
        <v>507</v>
      </c>
      <c r="D27" s="62" t="s">
        <v>816</v>
      </c>
      <c r="E27" s="11" t="s">
        <v>29</v>
      </c>
    </row>
    <row r="28">
      <c r="A28" s="7">
        <v>0.07222222222222222</v>
      </c>
      <c r="B28" s="61" t="s">
        <v>818</v>
      </c>
      <c r="C28" s="57" t="s">
        <v>426</v>
      </c>
      <c r="D28" s="61" t="s">
        <v>131</v>
      </c>
      <c r="E28" s="11" t="s">
        <v>33</v>
      </c>
    </row>
    <row r="29">
      <c r="A29" s="7">
        <v>0.08263888888888889</v>
      </c>
      <c r="B29" s="62" t="s">
        <v>818</v>
      </c>
      <c r="C29" s="57" t="s">
        <v>688</v>
      </c>
      <c r="D29" s="61" t="s">
        <v>817</v>
      </c>
      <c r="E29" s="11" t="s">
        <v>29</v>
      </c>
    </row>
    <row r="30">
      <c r="A30" s="7">
        <v>0.08263888888888889</v>
      </c>
      <c r="B30" s="61" t="s">
        <v>131</v>
      </c>
      <c r="C30" s="57" t="s">
        <v>219</v>
      </c>
      <c r="D30" s="61" t="s">
        <v>815</v>
      </c>
      <c r="E30" s="11" t="s">
        <v>33</v>
      </c>
    </row>
    <row r="31">
      <c r="A31" s="7">
        <v>0.09305555555555556</v>
      </c>
      <c r="B31" s="62" t="s">
        <v>818</v>
      </c>
      <c r="C31" s="57" t="s">
        <v>819</v>
      </c>
      <c r="D31" s="61" t="s">
        <v>816</v>
      </c>
      <c r="E31" s="11" t="s">
        <v>29</v>
      </c>
    </row>
    <row r="32">
      <c r="A32" s="7">
        <v>0.09305555555555556</v>
      </c>
      <c r="B32" s="61" t="s">
        <v>815</v>
      </c>
      <c r="C32" s="57" t="s">
        <v>327</v>
      </c>
      <c r="D32" s="62" t="s">
        <v>817</v>
      </c>
      <c r="E32" s="11" t="s">
        <v>33</v>
      </c>
    </row>
    <row r="33">
      <c r="A33" s="7">
        <v>0.10277777777777777</v>
      </c>
      <c r="B33" s="61" t="s">
        <v>131</v>
      </c>
      <c r="C33" s="57" t="s">
        <v>38</v>
      </c>
      <c r="D33" s="61" t="s">
        <v>816</v>
      </c>
      <c r="E33" s="11" t="s">
        <v>29</v>
      </c>
    </row>
    <row r="34">
      <c r="A34" s="7">
        <v>0.10277777777777777</v>
      </c>
      <c r="B34" s="61" t="s">
        <v>815</v>
      </c>
      <c r="C34" s="57" t="s">
        <v>344</v>
      </c>
      <c r="D34" s="61" t="s">
        <v>818</v>
      </c>
      <c r="E34" s="11" t="s">
        <v>33</v>
      </c>
    </row>
    <row r="35">
      <c r="A35" s="7">
        <v>0.11319444444444444</v>
      </c>
      <c r="B35" s="61" t="s">
        <v>816</v>
      </c>
      <c r="C35" s="57" t="s">
        <v>193</v>
      </c>
      <c r="D35" s="61" t="s">
        <v>815</v>
      </c>
      <c r="E35" s="11" t="s">
        <v>29</v>
      </c>
    </row>
    <row r="36">
      <c r="A36" s="7">
        <v>0.11319444444444444</v>
      </c>
      <c r="B36" s="61" t="s">
        <v>131</v>
      </c>
      <c r="C36" s="57" t="s">
        <v>164</v>
      </c>
      <c r="D36" s="61" t="s">
        <v>817</v>
      </c>
      <c r="E36" s="11" t="s">
        <v>33</v>
      </c>
    </row>
    <row r="37">
      <c r="A37" s="7">
        <v>0.12361111111111112</v>
      </c>
      <c r="B37" s="62" t="s">
        <v>816</v>
      </c>
      <c r="C37" s="57" t="s">
        <v>23</v>
      </c>
      <c r="D37" s="62" t="s">
        <v>817</v>
      </c>
      <c r="E37" s="11" t="s">
        <v>29</v>
      </c>
    </row>
    <row r="38">
      <c r="A38" s="7">
        <v>0.12361111111111112</v>
      </c>
      <c r="B38" s="61" t="s">
        <v>131</v>
      </c>
      <c r="C38" s="57" t="s">
        <v>289</v>
      </c>
      <c r="D38" s="61" t="s">
        <v>818</v>
      </c>
      <c r="E38" s="11" t="s">
        <v>33</v>
      </c>
    </row>
    <row r="39">
      <c r="A39" s="7">
        <v>0.13333333333333333</v>
      </c>
      <c r="B39" s="61" t="s">
        <v>817</v>
      </c>
      <c r="C39" s="57" t="s">
        <v>449</v>
      </c>
      <c r="D39" s="62" t="s">
        <v>818</v>
      </c>
      <c r="E39" s="11" t="s">
        <v>29</v>
      </c>
    </row>
    <row r="40">
      <c r="A40" s="7">
        <v>0.13333333333333333</v>
      </c>
      <c r="B40" s="61" t="s">
        <v>815</v>
      </c>
      <c r="C40" s="57" t="s">
        <v>281</v>
      </c>
      <c r="D40" s="61" t="s">
        <v>131</v>
      </c>
      <c r="E40" s="11" t="s">
        <v>33</v>
      </c>
    </row>
    <row r="41">
      <c r="A41" s="7">
        <v>0.14375</v>
      </c>
      <c r="B41" s="61" t="s">
        <v>816</v>
      </c>
      <c r="C41" s="57" t="s">
        <v>41</v>
      </c>
      <c r="D41" s="62" t="s">
        <v>818</v>
      </c>
      <c r="E41" s="11" t="s">
        <v>29</v>
      </c>
    </row>
    <row r="42">
      <c r="A42" s="7">
        <v>0.14375</v>
      </c>
      <c r="B42" s="62" t="s">
        <v>817</v>
      </c>
      <c r="C42" s="57" t="s">
        <v>291</v>
      </c>
      <c r="D42" s="61" t="s">
        <v>815</v>
      </c>
      <c r="E42" s="11" t="s">
        <v>33</v>
      </c>
    </row>
    <row r="43">
      <c r="A43" s="7">
        <v>0.15416666666666667</v>
      </c>
      <c r="B43" s="61" t="s">
        <v>816</v>
      </c>
      <c r="C43" s="57" t="s">
        <v>490</v>
      </c>
      <c r="D43" s="61" t="s">
        <v>131</v>
      </c>
      <c r="E43" s="11" t="s">
        <v>29</v>
      </c>
    </row>
    <row r="44">
      <c r="A44" s="7">
        <v>0.15416666666666667</v>
      </c>
      <c r="B44" s="61" t="s">
        <v>818</v>
      </c>
      <c r="C44" s="57" t="s">
        <v>820</v>
      </c>
      <c r="D44" s="61" t="s">
        <v>815</v>
      </c>
      <c r="E44" s="11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1" t="s">
        <v>821</v>
      </c>
      <c r="C47" s="45" t="s">
        <v>209</v>
      </c>
      <c r="D47" s="61" t="s">
        <v>715</v>
      </c>
      <c r="E47" s="11" t="s">
        <v>9</v>
      </c>
    </row>
    <row r="48">
      <c r="A48" s="7">
        <v>0.16666666666666666</v>
      </c>
      <c r="B48" s="61" t="s">
        <v>822</v>
      </c>
      <c r="C48" s="45" t="s">
        <v>292</v>
      </c>
      <c r="D48" s="61" t="s">
        <v>823</v>
      </c>
      <c r="E48" s="11" t="s">
        <v>13</v>
      </c>
    </row>
    <row r="49">
      <c r="A49" s="7">
        <v>0.1763888888888889</v>
      </c>
      <c r="B49" s="61" t="s">
        <v>822</v>
      </c>
      <c r="C49" s="45" t="s">
        <v>23</v>
      </c>
      <c r="D49" s="61" t="s">
        <v>715</v>
      </c>
      <c r="E49" s="11" t="s">
        <v>9</v>
      </c>
    </row>
    <row r="50">
      <c r="A50" s="7">
        <v>0.1763888888888889</v>
      </c>
      <c r="B50" s="61" t="s">
        <v>717</v>
      </c>
      <c r="C50" s="45" t="s">
        <v>16</v>
      </c>
      <c r="D50" s="61" t="s">
        <v>823</v>
      </c>
      <c r="E50" s="11" t="s">
        <v>13</v>
      </c>
    </row>
    <row r="51">
      <c r="A51" s="7">
        <v>0.18680555555555556</v>
      </c>
      <c r="B51" s="61" t="s">
        <v>717</v>
      </c>
      <c r="C51" s="45" t="s">
        <v>281</v>
      </c>
      <c r="D51" s="61" t="s">
        <v>822</v>
      </c>
      <c r="E51" s="11" t="s">
        <v>9</v>
      </c>
    </row>
    <row r="52">
      <c r="A52" s="7">
        <v>0.18680555555555556</v>
      </c>
      <c r="B52" s="61" t="s">
        <v>823</v>
      </c>
      <c r="C52" s="45" t="s">
        <v>41</v>
      </c>
      <c r="D52" s="61" t="s">
        <v>821</v>
      </c>
      <c r="E52" s="11" t="s">
        <v>13</v>
      </c>
    </row>
    <row r="53">
      <c r="A53" s="7">
        <v>0.19722222222222222</v>
      </c>
      <c r="B53" s="61" t="s">
        <v>717</v>
      </c>
      <c r="C53" s="45" t="s">
        <v>23</v>
      </c>
      <c r="D53" s="61" t="s">
        <v>715</v>
      </c>
      <c r="E53" s="11" t="s">
        <v>9</v>
      </c>
    </row>
    <row r="54">
      <c r="A54" s="7">
        <v>0.19722222222222222</v>
      </c>
      <c r="B54" s="61" t="s">
        <v>821</v>
      </c>
      <c r="C54" s="45" t="s">
        <v>196</v>
      </c>
      <c r="D54" s="61" t="s">
        <v>822</v>
      </c>
      <c r="E54" s="11" t="s">
        <v>13</v>
      </c>
    </row>
    <row r="55">
      <c r="A55" s="7">
        <v>0.20694444444444443</v>
      </c>
      <c r="B55" s="61" t="s">
        <v>823</v>
      </c>
      <c r="C55" s="45" t="s">
        <v>155</v>
      </c>
      <c r="D55" s="61" t="s">
        <v>715</v>
      </c>
      <c r="E55" s="11" t="s">
        <v>9</v>
      </c>
    </row>
    <row r="56">
      <c r="A56" s="7">
        <v>0.20694444444444443</v>
      </c>
      <c r="B56" s="61" t="s">
        <v>821</v>
      </c>
      <c r="C56" s="45" t="s">
        <v>824</v>
      </c>
      <c r="D56" s="61" t="s">
        <v>717</v>
      </c>
      <c r="E56" s="11" t="s">
        <v>13</v>
      </c>
    </row>
    <row r="57">
      <c r="A57" s="7">
        <v>0.21736111111111112</v>
      </c>
      <c r="B57" s="61" t="s">
        <v>715</v>
      </c>
      <c r="C57" s="45" t="s">
        <v>20</v>
      </c>
      <c r="D57" s="61" t="s">
        <v>821</v>
      </c>
      <c r="E57" s="11" t="s">
        <v>9</v>
      </c>
    </row>
    <row r="58">
      <c r="A58" s="7">
        <v>0.21736111111111112</v>
      </c>
      <c r="B58" s="61" t="s">
        <v>823</v>
      </c>
      <c r="C58" s="45" t="s">
        <v>220</v>
      </c>
      <c r="D58" s="61" t="s">
        <v>822</v>
      </c>
      <c r="E58" s="11" t="s">
        <v>13</v>
      </c>
    </row>
    <row r="59">
      <c r="A59" s="7">
        <v>0.22777777777777777</v>
      </c>
      <c r="B59" s="61" t="s">
        <v>715</v>
      </c>
      <c r="C59" s="45" t="s">
        <v>279</v>
      </c>
      <c r="D59" s="61" t="s">
        <v>822</v>
      </c>
      <c r="E59" s="11" t="s">
        <v>9</v>
      </c>
    </row>
    <row r="60">
      <c r="A60" s="7">
        <v>0.22777777777777777</v>
      </c>
      <c r="B60" s="61" t="s">
        <v>823</v>
      </c>
      <c r="C60" s="45" t="s">
        <v>20</v>
      </c>
      <c r="D60" s="61" t="s">
        <v>717</v>
      </c>
      <c r="E60" s="11" t="s">
        <v>13</v>
      </c>
    </row>
    <row r="61">
      <c r="A61" s="7">
        <v>0.2375</v>
      </c>
      <c r="B61" s="61" t="s">
        <v>822</v>
      </c>
      <c r="C61" s="45" t="s">
        <v>248</v>
      </c>
      <c r="D61" s="61" t="s">
        <v>717</v>
      </c>
      <c r="E61" s="11" t="s">
        <v>9</v>
      </c>
    </row>
    <row r="62">
      <c r="A62" s="7">
        <v>0.2375</v>
      </c>
      <c r="B62" s="61" t="s">
        <v>821</v>
      </c>
      <c r="C62" s="45" t="s">
        <v>301</v>
      </c>
      <c r="D62" s="61" t="s">
        <v>823</v>
      </c>
      <c r="E62" s="11" t="s">
        <v>13</v>
      </c>
    </row>
    <row r="63">
      <c r="A63" s="7">
        <v>0.24791666666666667</v>
      </c>
      <c r="B63" s="61" t="s">
        <v>715</v>
      </c>
      <c r="C63" s="45" t="s">
        <v>229</v>
      </c>
      <c r="D63" s="61" t="s">
        <v>717</v>
      </c>
      <c r="E63" s="11" t="s">
        <v>9</v>
      </c>
    </row>
    <row r="64">
      <c r="A64" s="7">
        <v>0.24791666666666667</v>
      </c>
      <c r="B64" s="61" t="s">
        <v>822</v>
      </c>
      <c r="C64" s="45" t="s">
        <v>7</v>
      </c>
      <c r="D64" s="61" t="s">
        <v>821</v>
      </c>
      <c r="E64" s="11" t="s">
        <v>13</v>
      </c>
    </row>
    <row r="65">
      <c r="A65" s="7">
        <v>0.25833333333333336</v>
      </c>
      <c r="B65" s="61" t="s">
        <v>715</v>
      </c>
      <c r="C65" s="45" t="s">
        <v>362</v>
      </c>
      <c r="D65" s="61" t="s">
        <v>823</v>
      </c>
      <c r="E65" s="11" t="s">
        <v>9</v>
      </c>
    </row>
    <row r="66">
      <c r="A66" s="7">
        <v>0.25833333333333336</v>
      </c>
      <c r="B66" s="61" t="s">
        <v>717</v>
      </c>
      <c r="C66" s="45" t="s">
        <v>825</v>
      </c>
      <c r="D66" s="61" t="s">
        <v>821</v>
      </c>
      <c r="E66" s="11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1" t="s">
        <v>826</v>
      </c>
      <c r="C69" s="57" t="s">
        <v>19</v>
      </c>
      <c r="D69" s="61" t="s">
        <v>827</v>
      </c>
      <c r="E69" s="11" t="s">
        <v>29</v>
      </c>
    </row>
    <row r="70">
      <c r="A70" s="7">
        <v>0.16666666666666666</v>
      </c>
      <c r="B70" s="61" t="s">
        <v>498</v>
      </c>
      <c r="C70" s="57" t="s">
        <v>477</v>
      </c>
      <c r="D70" s="61" t="s">
        <v>828</v>
      </c>
      <c r="E70" s="11" t="s">
        <v>33</v>
      </c>
    </row>
    <row r="71">
      <c r="A71" s="7">
        <v>0.1763888888888889</v>
      </c>
      <c r="B71" s="61" t="s">
        <v>498</v>
      </c>
      <c r="C71" s="57" t="s">
        <v>327</v>
      </c>
      <c r="D71" s="61" t="s">
        <v>827</v>
      </c>
      <c r="E71" s="11" t="s">
        <v>29</v>
      </c>
    </row>
    <row r="72">
      <c r="A72" s="7">
        <v>0.1763888888888889</v>
      </c>
      <c r="B72" s="61" t="s">
        <v>829</v>
      </c>
      <c r="C72" s="57" t="s">
        <v>442</v>
      </c>
      <c r="D72" s="61" t="s">
        <v>828</v>
      </c>
      <c r="E72" s="11" t="s">
        <v>33</v>
      </c>
    </row>
    <row r="73">
      <c r="A73" s="7">
        <v>0.18680555555555556</v>
      </c>
      <c r="B73" s="61" t="s">
        <v>829</v>
      </c>
      <c r="C73" s="57" t="s">
        <v>158</v>
      </c>
      <c r="D73" s="61" t="s">
        <v>498</v>
      </c>
      <c r="E73" s="11" t="s">
        <v>29</v>
      </c>
    </row>
    <row r="74">
      <c r="A74" s="7">
        <v>0.18680555555555556</v>
      </c>
      <c r="B74" s="61" t="s">
        <v>828</v>
      </c>
      <c r="C74" s="57" t="s">
        <v>185</v>
      </c>
      <c r="D74" s="61" t="s">
        <v>826</v>
      </c>
      <c r="E74" s="11" t="s">
        <v>33</v>
      </c>
    </row>
    <row r="75">
      <c r="A75" s="7">
        <v>0.19722222222222222</v>
      </c>
      <c r="B75" s="61" t="s">
        <v>829</v>
      </c>
      <c r="C75" s="57" t="s">
        <v>195</v>
      </c>
      <c r="D75" s="61" t="s">
        <v>827</v>
      </c>
      <c r="E75" s="11" t="s">
        <v>29</v>
      </c>
    </row>
    <row r="76">
      <c r="A76" s="7">
        <v>0.19722222222222222</v>
      </c>
      <c r="B76" s="61" t="s">
        <v>826</v>
      </c>
      <c r="C76" s="57" t="s">
        <v>20</v>
      </c>
      <c r="D76" s="61" t="s">
        <v>498</v>
      </c>
      <c r="E76" s="11" t="s">
        <v>33</v>
      </c>
    </row>
    <row r="77">
      <c r="A77" s="7">
        <v>0.20694444444444443</v>
      </c>
      <c r="B77" s="61" t="s">
        <v>828</v>
      </c>
      <c r="C77" s="57" t="s">
        <v>286</v>
      </c>
      <c r="D77" s="61" t="s">
        <v>827</v>
      </c>
      <c r="E77" s="11" t="s">
        <v>29</v>
      </c>
    </row>
    <row r="78">
      <c r="A78" s="7">
        <v>0.20694444444444443</v>
      </c>
      <c r="B78" s="61" t="s">
        <v>826</v>
      </c>
      <c r="C78" s="57" t="s">
        <v>20</v>
      </c>
      <c r="D78" s="61" t="s">
        <v>829</v>
      </c>
      <c r="E78" s="11" t="s">
        <v>33</v>
      </c>
    </row>
    <row r="79">
      <c r="A79" s="7">
        <v>0.21736111111111112</v>
      </c>
      <c r="B79" s="61" t="s">
        <v>827</v>
      </c>
      <c r="C79" s="57" t="s">
        <v>301</v>
      </c>
      <c r="D79" s="61" t="s">
        <v>826</v>
      </c>
      <c r="E79" s="11" t="s">
        <v>29</v>
      </c>
    </row>
    <row r="80">
      <c r="A80" s="7">
        <v>0.21736111111111112</v>
      </c>
      <c r="B80" s="61" t="s">
        <v>828</v>
      </c>
      <c r="C80" s="57" t="s">
        <v>830</v>
      </c>
      <c r="D80" s="61" t="s">
        <v>498</v>
      </c>
      <c r="E80" s="11" t="s">
        <v>33</v>
      </c>
    </row>
    <row r="81">
      <c r="A81" s="7">
        <v>0.22777777777777777</v>
      </c>
      <c r="B81" s="61" t="s">
        <v>827</v>
      </c>
      <c r="C81" s="57" t="s">
        <v>41</v>
      </c>
      <c r="D81" s="61" t="s">
        <v>498</v>
      </c>
      <c r="E81" s="11" t="s">
        <v>29</v>
      </c>
    </row>
    <row r="82">
      <c r="A82" s="7">
        <v>0.22777777777777777</v>
      </c>
      <c r="B82" s="61" t="s">
        <v>828</v>
      </c>
      <c r="C82" s="57" t="s">
        <v>534</v>
      </c>
      <c r="D82" s="61" t="s">
        <v>829</v>
      </c>
      <c r="E82" s="11" t="s">
        <v>33</v>
      </c>
    </row>
    <row r="83">
      <c r="A83" s="7">
        <v>0.2375</v>
      </c>
      <c r="B83" s="61" t="s">
        <v>498</v>
      </c>
      <c r="C83" s="57" t="s">
        <v>155</v>
      </c>
      <c r="D83" s="61" t="s">
        <v>829</v>
      </c>
      <c r="E83" s="11" t="s">
        <v>29</v>
      </c>
    </row>
    <row r="84">
      <c r="A84" s="7">
        <v>0.2375</v>
      </c>
      <c r="B84" s="61" t="s">
        <v>826</v>
      </c>
      <c r="C84" s="57" t="s">
        <v>38</v>
      </c>
      <c r="D84" s="61" t="s">
        <v>828</v>
      </c>
      <c r="E84" s="11" t="s">
        <v>33</v>
      </c>
    </row>
    <row r="85">
      <c r="A85" s="7">
        <v>0.24791666666666667</v>
      </c>
      <c r="B85" s="61" t="s">
        <v>827</v>
      </c>
      <c r="C85" s="57" t="s">
        <v>194</v>
      </c>
      <c r="D85" s="61" t="s">
        <v>829</v>
      </c>
      <c r="E85" s="11" t="s">
        <v>29</v>
      </c>
    </row>
    <row r="86">
      <c r="A86" s="7">
        <v>0.24791666666666667</v>
      </c>
      <c r="B86" s="61" t="s">
        <v>498</v>
      </c>
      <c r="C86" s="57" t="s">
        <v>256</v>
      </c>
      <c r="D86" s="61" t="s">
        <v>826</v>
      </c>
      <c r="E86" s="11" t="s">
        <v>33</v>
      </c>
    </row>
    <row r="87">
      <c r="A87" s="7">
        <v>0.25833333333333336</v>
      </c>
      <c r="B87" s="61" t="s">
        <v>827</v>
      </c>
      <c r="C87" s="57" t="s">
        <v>19</v>
      </c>
      <c r="D87" s="61" t="s">
        <v>828</v>
      </c>
      <c r="E87" s="11" t="s">
        <v>29</v>
      </c>
    </row>
    <row r="88">
      <c r="A88" s="7">
        <v>0.25833333333333336</v>
      </c>
      <c r="B88" s="61" t="s">
        <v>829</v>
      </c>
      <c r="C88" s="57" t="s">
        <v>194</v>
      </c>
      <c r="D88" s="61" t="s">
        <v>826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831</v>
      </c>
      <c r="C91" s="45" t="s">
        <v>176</v>
      </c>
      <c r="D91" s="61" t="s">
        <v>832</v>
      </c>
      <c r="E91" s="11" t="s">
        <v>9</v>
      </c>
    </row>
    <row r="92">
      <c r="A92" s="48">
        <v>0.3333333333333333</v>
      </c>
      <c r="B92" s="61" t="s">
        <v>833</v>
      </c>
      <c r="C92" s="45" t="s">
        <v>362</v>
      </c>
      <c r="D92" s="61" t="s">
        <v>834</v>
      </c>
      <c r="E92" s="11" t="s">
        <v>13</v>
      </c>
    </row>
    <row r="93">
      <c r="A93" s="48">
        <v>0.34305555555555556</v>
      </c>
      <c r="B93" s="61" t="s">
        <v>833</v>
      </c>
      <c r="C93" s="45" t="s">
        <v>166</v>
      </c>
      <c r="D93" s="61" t="s">
        <v>832</v>
      </c>
      <c r="E93" s="11" t="s">
        <v>9</v>
      </c>
    </row>
    <row r="94">
      <c r="A94" s="48">
        <v>0.34305555555555556</v>
      </c>
      <c r="B94" s="61" t="s">
        <v>835</v>
      </c>
      <c r="C94" s="45" t="s">
        <v>354</v>
      </c>
      <c r="D94" s="61" t="s">
        <v>834</v>
      </c>
      <c r="E94" s="11" t="s">
        <v>13</v>
      </c>
    </row>
    <row r="95">
      <c r="A95" s="48">
        <v>0.35347222222222224</v>
      </c>
      <c r="B95" s="61" t="s">
        <v>835</v>
      </c>
      <c r="C95" s="45" t="s">
        <v>836</v>
      </c>
      <c r="D95" s="61" t="s">
        <v>833</v>
      </c>
      <c r="E95" s="11" t="s">
        <v>9</v>
      </c>
    </row>
    <row r="96">
      <c r="A96" s="48">
        <v>0.35347222222222224</v>
      </c>
      <c r="B96" s="61" t="s">
        <v>834</v>
      </c>
      <c r="C96" s="45" t="s">
        <v>278</v>
      </c>
      <c r="D96" s="61" t="s">
        <v>831</v>
      </c>
      <c r="E96" s="11" t="s">
        <v>13</v>
      </c>
    </row>
    <row r="97">
      <c r="A97" s="48">
        <v>0.3638888888888889</v>
      </c>
      <c r="B97" s="61" t="s">
        <v>835</v>
      </c>
      <c r="C97" s="45" t="s">
        <v>334</v>
      </c>
      <c r="D97" s="61" t="s">
        <v>832</v>
      </c>
      <c r="E97" s="11" t="s">
        <v>9</v>
      </c>
    </row>
    <row r="98">
      <c r="A98" s="48">
        <v>0.3638888888888889</v>
      </c>
      <c r="B98" s="61" t="s">
        <v>831</v>
      </c>
      <c r="C98" s="45" t="s">
        <v>14</v>
      </c>
      <c r="D98" s="61" t="s">
        <v>833</v>
      </c>
      <c r="E98" s="11" t="s">
        <v>13</v>
      </c>
    </row>
    <row r="99">
      <c r="A99" s="48">
        <v>0.3736111111111111</v>
      </c>
      <c r="B99" s="61" t="s">
        <v>834</v>
      </c>
      <c r="C99" s="45" t="s">
        <v>193</v>
      </c>
      <c r="D99" s="61" t="s">
        <v>832</v>
      </c>
      <c r="E99" s="11" t="s">
        <v>9</v>
      </c>
    </row>
    <row r="100">
      <c r="A100" s="48">
        <v>0.3736111111111111</v>
      </c>
      <c r="B100" s="61" t="s">
        <v>831</v>
      </c>
      <c r="C100" s="45" t="s">
        <v>164</v>
      </c>
      <c r="D100" s="61" t="s">
        <v>835</v>
      </c>
      <c r="E100" s="11" t="s">
        <v>13</v>
      </c>
    </row>
    <row r="101">
      <c r="A101" s="48">
        <v>0.3840277777777778</v>
      </c>
      <c r="B101" s="61" t="s">
        <v>832</v>
      </c>
      <c r="C101" s="45" t="s">
        <v>209</v>
      </c>
      <c r="D101" s="61" t="s">
        <v>831</v>
      </c>
      <c r="E101" s="11" t="s">
        <v>9</v>
      </c>
    </row>
    <row r="102">
      <c r="A102" s="48">
        <v>0.3840277777777778</v>
      </c>
      <c r="B102" s="61" t="s">
        <v>834</v>
      </c>
      <c r="C102" s="45" t="s">
        <v>271</v>
      </c>
      <c r="D102" s="61" t="s">
        <v>833</v>
      </c>
      <c r="E102" s="11" t="s">
        <v>13</v>
      </c>
    </row>
    <row r="103">
      <c r="A103" s="48">
        <v>0.39444444444444443</v>
      </c>
      <c r="B103" s="61" t="s">
        <v>832</v>
      </c>
      <c r="C103" s="45" t="s">
        <v>302</v>
      </c>
      <c r="D103" s="61" t="s">
        <v>833</v>
      </c>
      <c r="E103" s="11" t="s">
        <v>9</v>
      </c>
    </row>
    <row r="104">
      <c r="A104" s="48">
        <v>0.39444444444444443</v>
      </c>
      <c r="B104" s="61" t="s">
        <v>834</v>
      </c>
      <c r="C104" s="45" t="s">
        <v>181</v>
      </c>
      <c r="D104" s="61" t="s">
        <v>835</v>
      </c>
      <c r="E104" s="11" t="s">
        <v>13</v>
      </c>
    </row>
    <row r="105">
      <c r="A105" s="48">
        <v>0.4041666666666667</v>
      </c>
      <c r="B105" s="61" t="s">
        <v>833</v>
      </c>
      <c r="C105" s="45" t="s">
        <v>312</v>
      </c>
      <c r="D105" s="61" t="s">
        <v>835</v>
      </c>
      <c r="E105" s="11" t="s">
        <v>9</v>
      </c>
    </row>
    <row r="106">
      <c r="A106" s="48">
        <v>0.4041666666666667</v>
      </c>
      <c r="B106" s="61" t="s">
        <v>831</v>
      </c>
      <c r="C106" s="45" t="s">
        <v>39</v>
      </c>
      <c r="D106" s="61" t="s">
        <v>834</v>
      </c>
      <c r="E106" s="11" t="s">
        <v>13</v>
      </c>
    </row>
    <row r="107">
      <c r="A107" s="48">
        <v>0.41458333333333336</v>
      </c>
      <c r="B107" s="61" t="s">
        <v>832</v>
      </c>
      <c r="C107" s="45" t="s">
        <v>185</v>
      </c>
      <c r="D107" s="61" t="s">
        <v>835</v>
      </c>
      <c r="E107" s="11" t="s">
        <v>9</v>
      </c>
    </row>
    <row r="108">
      <c r="A108" s="48">
        <v>0.41458333333333336</v>
      </c>
      <c r="B108" s="61" t="s">
        <v>833</v>
      </c>
      <c r="C108" s="45" t="s">
        <v>324</v>
      </c>
      <c r="D108" s="61" t="s">
        <v>831</v>
      </c>
      <c r="E108" s="11" t="s">
        <v>13</v>
      </c>
    </row>
    <row r="109">
      <c r="A109" s="48">
        <v>0.425</v>
      </c>
      <c r="B109" s="61" t="s">
        <v>832</v>
      </c>
      <c r="C109" s="45" t="s">
        <v>225</v>
      </c>
      <c r="D109" s="61" t="s">
        <v>834</v>
      </c>
      <c r="E109" s="11" t="s">
        <v>9</v>
      </c>
    </row>
    <row r="110">
      <c r="A110" s="48">
        <v>0.425</v>
      </c>
      <c r="B110" s="61" t="s">
        <v>835</v>
      </c>
      <c r="C110" s="45" t="s">
        <v>210</v>
      </c>
      <c r="D110" s="61" t="s">
        <v>831</v>
      </c>
      <c r="E110" s="11" t="s">
        <v>13</v>
      </c>
    </row>
    <row r="111">
      <c r="A111" s="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61" t="s">
        <v>837</v>
      </c>
      <c r="C113" s="45" t="s">
        <v>23</v>
      </c>
      <c r="D113" s="61" t="s">
        <v>838</v>
      </c>
      <c r="E113" s="11" t="s">
        <v>29</v>
      </c>
    </row>
    <row r="114">
      <c r="A114" s="30">
        <v>0.3333333333333333</v>
      </c>
      <c r="B114" s="61" t="s">
        <v>839</v>
      </c>
      <c r="C114" s="45" t="s">
        <v>209</v>
      </c>
      <c r="D114" s="61" t="s">
        <v>840</v>
      </c>
      <c r="E114" s="11" t="s">
        <v>33</v>
      </c>
    </row>
    <row r="115">
      <c r="A115" s="30">
        <v>0.34305555555555556</v>
      </c>
      <c r="B115" s="61" t="s">
        <v>839</v>
      </c>
      <c r="C115" s="45" t="s">
        <v>23</v>
      </c>
      <c r="D115" s="61" t="s">
        <v>838</v>
      </c>
      <c r="E115" s="11" t="s">
        <v>29</v>
      </c>
    </row>
    <row r="116">
      <c r="A116" s="30">
        <v>0.34305555555555556</v>
      </c>
      <c r="B116" s="61" t="s">
        <v>841</v>
      </c>
      <c r="C116" s="45" t="s">
        <v>155</v>
      </c>
      <c r="D116" s="61" t="s">
        <v>840</v>
      </c>
      <c r="E116" s="11" t="s">
        <v>33</v>
      </c>
    </row>
    <row r="117">
      <c r="A117" s="30">
        <v>0.35347222222222224</v>
      </c>
      <c r="B117" s="61" t="s">
        <v>841</v>
      </c>
      <c r="C117" s="45" t="s">
        <v>162</v>
      </c>
      <c r="D117" s="61" t="s">
        <v>839</v>
      </c>
      <c r="E117" s="11" t="s">
        <v>29</v>
      </c>
    </row>
    <row r="118">
      <c r="A118" s="30">
        <v>0.35347222222222224</v>
      </c>
      <c r="B118" s="61" t="s">
        <v>840</v>
      </c>
      <c r="C118" s="45" t="s">
        <v>181</v>
      </c>
      <c r="D118" s="61" t="s">
        <v>837</v>
      </c>
      <c r="E118" s="11" t="s">
        <v>33</v>
      </c>
    </row>
    <row r="119">
      <c r="A119" s="30">
        <v>0.3638888888888889</v>
      </c>
      <c r="B119" s="61" t="s">
        <v>841</v>
      </c>
      <c r="C119" s="45" t="s">
        <v>291</v>
      </c>
      <c r="D119" s="61" t="s">
        <v>838</v>
      </c>
      <c r="E119" s="11" t="s">
        <v>29</v>
      </c>
    </row>
    <row r="120">
      <c r="A120" s="30">
        <v>0.3638888888888889</v>
      </c>
      <c r="B120" s="61" t="s">
        <v>837</v>
      </c>
      <c r="C120" s="45" t="s">
        <v>18</v>
      </c>
      <c r="D120" s="61" t="s">
        <v>839</v>
      </c>
      <c r="E120" s="11" t="s">
        <v>33</v>
      </c>
    </row>
    <row r="121">
      <c r="A121" s="30">
        <v>0.3736111111111111</v>
      </c>
      <c r="B121" s="61" t="s">
        <v>840</v>
      </c>
      <c r="C121" s="45" t="s">
        <v>209</v>
      </c>
      <c r="D121" s="61" t="s">
        <v>838</v>
      </c>
      <c r="E121" s="11" t="s">
        <v>29</v>
      </c>
    </row>
    <row r="122">
      <c r="A122" s="30">
        <v>0.3736111111111111</v>
      </c>
      <c r="B122" s="61" t="s">
        <v>837</v>
      </c>
      <c r="C122" s="45" t="s">
        <v>173</v>
      </c>
      <c r="D122" s="61" t="s">
        <v>841</v>
      </c>
      <c r="E122" s="11" t="s">
        <v>33</v>
      </c>
    </row>
    <row r="123">
      <c r="A123" s="30">
        <v>0.3840277777777778</v>
      </c>
      <c r="B123" s="61" t="s">
        <v>838</v>
      </c>
      <c r="C123" s="45" t="s">
        <v>181</v>
      </c>
      <c r="D123" s="61" t="s">
        <v>837</v>
      </c>
      <c r="E123" s="11" t="s">
        <v>29</v>
      </c>
    </row>
    <row r="124">
      <c r="A124" s="30">
        <v>0.3840277777777778</v>
      </c>
      <c r="B124" s="61" t="s">
        <v>840</v>
      </c>
      <c r="C124" s="45" t="s">
        <v>281</v>
      </c>
      <c r="D124" s="61" t="s">
        <v>839</v>
      </c>
      <c r="E124" s="11" t="s">
        <v>33</v>
      </c>
    </row>
    <row r="125">
      <c r="A125" s="30">
        <v>0.39444444444444443</v>
      </c>
      <c r="B125" s="61" t="s">
        <v>838</v>
      </c>
      <c r="C125" s="45" t="s">
        <v>162</v>
      </c>
      <c r="D125" s="61" t="s">
        <v>839</v>
      </c>
      <c r="E125" s="11" t="s">
        <v>29</v>
      </c>
    </row>
    <row r="126">
      <c r="A126" s="30">
        <v>0.39444444444444443</v>
      </c>
      <c r="B126" s="61" t="s">
        <v>840</v>
      </c>
      <c r="C126" s="45" t="s">
        <v>41</v>
      </c>
      <c r="D126" s="61" t="s">
        <v>841</v>
      </c>
      <c r="E126" s="11" t="s">
        <v>33</v>
      </c>
    </row>
    <row r="127">
      <c r="A127" s="30">
        <v>0.4041666666666667</v>
      </c>
      <c r="B127" s="61" t="s">
        <v>839</v>
      </c>
      <c r="C127" s="45" t="s">
        <v>155</v>
      </c>
      <c r="D127" s="61" t="s">
        <v>841</v>
      </c>
      <c r="E127" s="11" t="s">
        <v>29</v>
      </c>
    </row>
    <row r="128">
      <c r="A128" s="30">
        <v>0.4041666666666667</v>
      </c>
      <c r="B128" s="61" t="s">
        <v>837</v>
      </c>
      <c r="C128" s="45" t="s">
        <v>450</v>
      </c>
      <c r="D128" s="61" t="s">
        <v>840</v>
      </c>
      <c r="E128" s="11" t="s">
        <v>33</v>
      </c>
    </row>
    <row r="129">
      <c r="A129" s="30">
        <v>0.41458333333333336</v>
      </c>
      <c r="B129" s="61" t="s">
        <v>838</v>
      </c>
      <c r="C129" s="45" t="s">
        <v>281</v>
      </c>
      <c r="D129" s="61" t="s">
        <v>841</v>
      </c>
      <c r="E129" s="11" t="s">
        <v>29</v>
      </c>
      <c r="G129" s="50"/>
      <c r="I129" s="50"/>
    </row>
    <row r="130">
      <c r="A130" s="30">
        <v>0.41458333333333336</v>
      </c>
      <c r="B130" s="61" t="s">
        <v>839</v>
      </c>
      <c r="C130" s="45" t="s">
        <v>20</v>
      </c>
      <c r="D130" s="61" t="s">
        <v>837</v>
      </c>
      <c r="E130" s="11" t="s">
        <v>33</v>
      </c>
    </row>
    <row r="131">
      <c r="A131" s="30">
        <v>0.425</v>
      </c>
      <c r="B131" s="61" t="s">
        <v>838</v>
      </c>
      <c r="C131" s="45" t="s">
        <v>218</v>
      </c>
      <c r="D131" s="61" t="s">
        <v>840</v>
      </c>
      <c r="E131" s="11" t="s">
        <v>29</v>
      </c>
    </row>
    <row r="132">
      <c r="A132" s="30">
        <v>0.425</v>
      </c>
      <c r="B132" s="61" t="s">
        <v>841</v>
      </c>
      <c r="C132" s="45" t="s">
        <v>161</v>
      </c>
      <c r="D132" s="61" t="s">
        <v>837</v>
      </c>
      <c r="E132" s="11" t="s">
        <v>33</v>
      </c>
    </row>
    <row r="133">
      <c r="A133" s="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842</v>
      </c>
      <c r="C135" s="57" t="s">
        <v>843</v>
      </c>
      <c r="D135" s="61" t="s">
        <v>844</v>
      </c>
      <c r="E135" s="11" t="s">
        <v>9</v>
      </c>
    </row>
    <row r="136">
      <c r="A136" s="48">
        <v>0.4375</v>
      </c>
      <c r="B136" s="61" t="s">
        <v>845</v>
      </c>
      <c r="C136" s="57" t="s">
        <v>525</v>
      </c>
      <c r="D136" s="61" t="s">
        <v>846</v>
      </c>
      <c r="E136" s="11" t="s">
        <v>13</v>
      </c>
    </row>
    <row r="137">
      <c r="A137" s="48">
        <v>0.44722222222222224</v>
      </c>
      <c r="B137" s="61" t="s">
        <v>845</v>
      </c>
      <c r="C137" s="57" t="s">
        <v>610</v>
      </c>
      <c r="D137" s="61" t="s">
        <v>844</v>
      </c>
      <c r="E137" s="11" t="s">
        <v>9</v>
      </c>
      <c r="H137" s="50"/>
    </row>
    <row r="138">
      <c r="A138" s="48">
        <v>0.44722222222222224</v>
      </c>
      <c r="B138" s="61" t="s">
        <v>847</v>
      </c>
      <c r="C138" s="57" t="s">
        <v>163</v>
      </c>
      <c r="D138" s="61" t="s">
        <v>846</v>
      </c>
      <c r="E138" s="11" t="s">
        <v>13</v>
      </c>
    </row>
    <row r="139">
      <c r="A139" s="48">
        <v>0.4576388888888889</v>
      </c>
      <c r="B139" s="61" t="s">
        <v>847</v>
      </c>
      <c r="C139" s="57" t="s">
        <v>173</v>
      </c>
      <c r="D139" s="61" t="s">
        <v>845</v>
      </c>
      <c r="E139" s="11" t="s">
        <v>9</v>
      </c>
    </row>
    <row r="140">
      <c r="A140" s="48">
        <v>0.4576388888888889</v>
      </c>
      <c r="B140" s="61" t="s">
        <v>846</v>
      </c>
      <c r="C140" s="57" t="s">
        <v>173</v>
      </c>
      <c r="D140" s="61" t="s">
        <v>842</v>
      </c>
      <c r="E140" s="11" t="s">
        <v>13</v>
      </c>
    </row>
    <row r="141">
      <c r="A141" s="48">
        <v>0.46805555555555556</v>
      </c>
      <c r="B141" s="61" t="s">
        <v>847</v>
      </c>
      <c r="C141" s="57" t="s">
        <v>324</v>
      </c>
      <c r="D141" s="61" t="s">
        <v>844</v>
      </c>
      <c r="E141" s="11" t="s">
        <v>9</v>
      </c>
    </row>
    <row r="142">
      <c r="A142" s="48">
        <v>0.46805555555555556</v>
      </c>
      <c r="B142" s="61" t="s">
        <v>842</v>
      </c>
      <c r="C142" s="57" t="s">
        <v>162</v>
      </c>
      <c r="D142" s="61" t="s">
        <v>845</v>
      </c>
      <c r="E142" s="11" t="s">
        <v>13</v>
      </c>
    </row>
    <row r="143">
      <c r="A143" s="48">
        <v>0.4777777777777778</v>
      </c>
      <c r="B143" s="61" t="s">
        <v>846</v>
      </c>
      <c r="C143" s="57" t="s">
        <v>279</v>
      </c>
      <c r="D143" s="61" t="s">
        <v>844</v>
      </c>
      <c r="E143" s="11" t="s">
        <v>9</v>
      </c>
    </row>
    <row r="144">
      <c r="A144" s="48">
        <v>0.4777777777777778</v>
      </c>
      <c r="B144" s="61" t="s">
        <v>842</v>
      </c>
      <c r="C144" s="57" t="s">
        <v>187</v>
      </c>
      <c r="D144" s="61" t="s">
        <v>847</v>
      </c>
      <c r="E144" s="11" t="s">
        <v>13</v>
      </c>
    </row>
    <row r="145">
      <c r="A145" s="48">
        <v>0.48819444444444443</v>
      </c>
      <c r="B145" s="61" t="s">
        <v>844</v>
      </c>
      <c r="C145" s="57" t="s">
        <v>848</v>
      </c>
      <c r="D145" s="61" t="s">
        <v>842</v>
      </c>
      <c r="E145" s="11" t="s">
        <v>9</v>
      </c>
    </row>
    <row r="146">
      <c r="A146" s="48">
        <v>0.48819444444444443</v>
      </c>
      <c r="B146" s="61" t="s">
        <v>846</v>
      </c>
      <c r="C146" s="57" t="s">
        <v>216</v>
      </c>
      <c r="D146" s="61" t="s">
        <v>845</v>
      </c>
      <c r="E146" s="11" t="s">
        <v>13</v>
      </c>
    </row>
    <row r="147">
      <c r="A147" s="48">
        <v>0.4986111111111111</v>
      </c>
      <c r="B147" s="61" t="s">
        <v>844</v>
      </c>
      <c r="C147" s="45" t="s">
        <v>271</v>
      </c>
      <c r="D147" s="61" t="s">
        <v>845</v>
      </c>
      <c r="E147" s="11" t="s">
        <v>9</v>
      </c>
    </row>
    <row r="148">
      <c r="A148" s="48">
        <v>0.4986111111111111</v>
      </c>
      <c r="B148" s="61" t="s">
        <v>846</v>
      </c>
      <c r="C148" s="45" t="s">
        <v>376</v>
      </c>
      <c r="D148" s="61" t="s">
        <v>847</v>
      </c>
      <c r="E148" s="11" t="s">
        <v>13</v>
      </c>
    </row>
    <row r="149">
      <c r="A149" s="48">
        <v>0.5083333333333333</v>
      </c>
      <c r="B149" s="61" t="s">
        <v>845</v>
      </c>
      <c r="C149" s="45" t="s">
        <v>219</v>
      </c>
      <c r="D149" s="61" t="s">
        <v>847</v>
      </c>
      <c r="E149" s="11" t="s">
        <v>9</v>
      </c>
    </row>
    <row r="150">
      <c r="A150" s="48">
        <v>0.5083333333333333</v>
      </c>
      <c r="B150" s="61" t="s">
        <v>842</v>
      </c>
      <c r="C150" s="45" t="s">
        <v>524</v>
      </c>
      <c r="D150" s="61" t="s">
        <v>846</v>
      </c>
      <c r="E150" s="11" t="s">
        <v>13</v>
      </c>
    </row>
    <row r="151">
      <c r="A151" s="48">
        <v>0.51875</v>
      </c>
      <c r="B151" s="61" t="s">
        <v>844</v>
      </c>
      <c r="C151" s="45" t="s">
        <v>194</v>
      </c>
      <c r="D151" s="61" t="s">
        <v>847</v>
      </c>
      <c r="E151" s="11" t="s">
        <v>9</v>
      </c>
    </row>
    <row r="152">
      <c r="A152" s="48">
        <v>0.51875</v>
      </c>
      <c r="B152" s="61" t="s">
        <v>845</v>
      </c>
      <c r="C152" s="45" t="s">
        <v>225</v>
      </c>
      <c r="D152" s="61" t="s">
        <v>842</v>
      </c>
      <c r="E152" s="11" t="s">
        <v>13</v>
      </c>
    </row>
    <row r="153">
      <c r="A153" s="48">
        <v>0.5291666666666667</v>
      </c>
      <c r="B153" s="61" t="s">
        <v>844</v>
      </c>
      <c r="C153" s="45" t="s">
        <v>538</v>
      </c>
      <c r="D153" s="61" t="s">
        <v>846</v>
      </c>
      <c r="E153" s="11" t="s">
        <v>9</v>
      </c>
    </row>
    <row r="154">
      <c r="A154" s="48">
        <v>0.5291666666666667</v>
      </c>
      <c r="B154" s="61" t="s">
        <v>847</v>
      </c>
      <c r="C154" s="45" t="s">
        <v>849</v>
      </c>
      <c r="D154" s="61" t="s">
        <v>842</v>
      </c>
      <c r="E154" s="11" t="s">
        <v>13</v>
      </c>
    </row>
    <row r="155">
      <c r="A155" s="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850</v>
      </c>
      <c r="C157" s="57" t="s">
        <v>158</v>
      </c>
      <c r="D157" s="61" t="s">
        <v>851</v>
      </c>
      <c r="E157" s="11" t="s">
        <v>29</v>
      </c>
    </row>
    <row r="158">
      <c r="A158" s="48">
        <v>0.4375</v>
      </c>
      <c r="B158" s="61" t="s">
        <v>852</v>
      </c>
      <c r="C158" s="57" t="s">
        <v>545</v>
      </c>
      <c r="D158" s="61" t="s">
        <v>853</v>
      </c>
      <c r="E158" s="11" t="s">
        <v>33</v>
      </c>
    </row>
    <row r="159">
      <c r="A159" s="48">
        <v>0.44722222222222224</v>
      </c>
      <c r="B159" s="61" t="s">
        <v>852</v>
      </c>
      <c r="C159" s="57" t="s">
        <v>229</v>
      </c>
      <c r="D159" s="61" t="s">
        <v>851</v>
      </c>
      <c r="E159" s="11" t="s">
        <v>29</v>
      </c>
    </row>
    <row r="160">
      <c r="A160" s="48">
        <v>0.44722222222222224</v>
      </c>
      <c r="B160" s="61" t="s">
        <v>854</v>
      </c>
      <c r="C160" s="57" t="s">
        <v>352</v>
      </c>
      <c r="D160" s="61" t="s">
        <v>853</v>
      </c>
      <c r="E160" s="11" t="s">
        <v>33</v>
      </c>
    </row>
    <row r="161">
      <c r="A161" s="48">
        <v>0.4576388888888889</v>
      </c>
      <c r="B161" s="61" t="s">
        <v>854</v>
      </c>
      <c r="C161" s="57" t="s">
        <v>158</v>
      </c>
      <c r="D161" s="61" t="s">
        <v>852</v>
      </c>
      <c r="E161" s="11" t="s">
        <v>29</v>
      </c>
    </row>
    <row r="162">
      <c r="A162" s="48">
        <v>0.4576388888888889</v>
      </c>
      <c r="B162" s="61" t="s">
        <v>853</v>
      </c>
      <c r="C162" s="57" t="s">
        <v>855</v>
      </c>
      <c r="D162" s="61" t="s">
        <v>850</v>
      </c>
      <c r="E162" s="11" t="s">
        <v>33</v>
      </c>
    </row>
    <row r="163">
      <c r="A163" s="48">
        <v>0.46805555555555556</v>
      </c>
      <c r="B163" s="61" t="s">
        <v>854</v>
      </c>
      <c r="C163" s="57" t="s">
        <v>166</v>
      </c>
      <c r="D163" s="61" t="s">
        <v>851</v>
      </c>
      <c r="E163" s="11" t="s">
        <v>29</v>
      </c>
    </row>
    <row r="164">
      <c r="A164" s="48">
        <v>0.46805555555555556</v>
      </c>
      <c r="B164" s="61" t="s">
        <v>850</v>
      </c>
      <c r="C164" s="57" t="s">
        <v>313</v>
      </c>
      <c r="D164" s="61" t="s">
        <v>852</v>
      </c>
      <c r="E164" s="11" t="s">
        <v>33</v>
      </c>
    </row>
    <row r="165">
      <c r="A165" s="48">
        <v>0.4777777777777778</v>
      </c>
      <c r="B165" s="61" t="s">
        <v>853</v>
      </c>
      <c r="C165" s="57" t="s">
        <v>162</v>
      </c>
      <c r="D165" s="61" t="s">
        <v>851</v>
      </c>
      <c r="E165" s="11" t="s">
        <v>29</v>
      </c>
    </row>
    <row r="166">
      <c r="A166" s="48">
        <v>0.4777777777777778</v>
      </c>
      <c r="B166" s="61" t="s">
        <v>850</v>
      </c>
      <c r="C166" s="57" t="s">
        <v>24</v>
      </c>
      <c r="D166" s="61" t="s">
        <v>854</v>
      </c>
      <c r="E166" s="11" t="s">
        <v>33</v>
      </c>
    </row>
    <row r="167">
      <c r="A167" s="48">
        <v>0.48819444444444443</v>
      </c>
      <c r="B167" s="61" t="s">
        <v>851</v>
      </c>
      <c r="C167" s="57" t="s">
        <v>195</v>
      </c>
      <c r="D167" s="61" t="s">
        <v>850</v>
      </c>
      <c r="E167" s="11" t="s">
        <v>29</v>
      </c>
    </row>
    <row r="168">
      <c r="A168" s="48">
        <v>0.48819444444444443</v>
      </c>
      <c r="B168" s="61" t="s">
        <v>853</v>
      </c>
      <c r="C168" s="57" t="s">
        <v>194</v>
      </c>
      <c r="D168" s="61" t="s">
        <v>852</v>
      </c>
      <c r="E168" s="11" t="s">
        <v>33</v>
      </c>
    </row>
    <row r="169">
      <c r="A169" s="48">
        <v>0.4986111111111111</v>
      </c>
      <c r="B169" s="61" t="s">
        <v>851</v>
      </c>
      <c r="C169" s="45" t="s">
        <v>177</v>
      </c>
      <c r="D169" s="61" t="s">
        <v>852</v>
      </c>
      <c r="E169" s="11" t="s">
        <v>29</v>
      </c>
    </row>
    <row r="170">
      <c r="A170" s="48">
        <v>0.4986111111111111</v>
      </c>
      <c r="B170" s="61" t="s">
        <v>853</v>
      </c>
      <c r="C170" s="45" t="s">
        <v>393</v>
      </c>
      <c r="D170" s="61" t="s">
        <v>854</v>
      </c>
      <c r="E170" s="11" t="s">
        <v>33</v>
      </c>
    </row>
    <row r="171">
      <c r="A171" s="48">
        <v>0.5083333333333333</v>
      </c>
      <c r="B171" s="61" t="s">
        <v>852</v>
      </c>
      <c r="C171" s="45" t="s">
        <v>181</v>
      </c>
      <c r="D171" s="61" t="s">
        <v>854</v>
      </c>
      <c r="E171" s="11" t="s">
        <v>29</v>
      </c>
    </row>
    <row r="172">
      <c r="A172" s="48">
        <v>0.5083333333333333</v>
      </c>
      <c r="B172" s="61" t="s">
        <v>850</v>
      </c>
      <c r="C172" s="45" t="s">
        <v>477</v>
      </c>
      <c r="D172" s="61" t="s">
        <v>853</v>
      </c>
      <c r="E172" s="11" t="s">
        <v>33</v>
      </c>
    </row>
    <row r="173">
      <c r="A173" s="48">
        <v>0.51875</v>
      </c>
      <c r="B173" s="61" t="s">
        <v>851</v>
      </c>
      <c r="C173" s="45" t="s">
        <v>20</v>
      </c>
      <c r="D173" s="61" t="s">
        <v>854</v>
      </c>
      <c r="E173" s="11" t="s">
        <v>29</v>
      </c>
    </row>
    <row r="174">
      <c r="A174" s="48">
        <v>0.51875</v>
      </c>
      <c r="B174" s="61" t="s">
        <v>852</v>
      </c>
      <c r="C174" s="45" t="s">
        <v>198</v>
      </c>
      <c r="D174" s="61" t="s">
        <v>850</v>
      </c>
      <c r="E174" s="11" t="s">
        <v>33</v>
      </c>
    </row>
    <row r="175">
      <c r="A175" s="48">
        <v>0.5291666666666667</v>
      </c>
      <c r="B175" s="61" t="s">
        <v>851</v>
      </c>
      <c r="C175" s="45" t="s">
        <v>856</v>
      </c>
      <c r="D175" s="61" t="s">
        <v>853</v>
      </c>
      <c r="E175" s="11" t="s">
        <v>29</v>
      </c>
    </row>
    <row r="176">
      <c r="A176" s="48">
        <v>0.5291666666666667</v>
      </c>
      <c r="B176" s="61" t="s">
        <v>854</v>
      </c>
      <c r="C176" s="45" t="s">
        <v>164</v>
      </c>
      <c r="D176" s="61" t="s">
        <v>850</v>
      </c>
      <c r="E176" s="11" t="s">
        <v>33</v>
      </c>
    </row>
    <row r="177">
      <c r="A177" s="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857</v>
      </c>
      <c r="C179" s="45" t="s">
        <v>574</v>
      </c>
      <c r="D179" s="61" t="s">
        <v>641</v>
      </c>
      <c r="E179" s="11" t="s">
        <v>9</v>
      </c>
    </row>
    <row r="180">
      <c r="A180" s="48">
        <v>0.5416666666666666</v>
      </c>
      <c r="B180" s="61" t="s">
        <v>858</v>
      </c>
      <c r="C180" s="45" t="s">
        <v>182</v>
      </c>
      <c r="D180" s="61" t="s">
        <v>859</v>
      </c>
      <c r="E180" s="11" t="s">
        <v>13</v>
      </c>
    </row>
    <row r="181">
      <c r="A181" s="48">
        <v>0.5513888888888889</v>
      </c>
      <c r="B181" s="61" t="s">
        <v>858</v>
      </c>
      <c r="C181" s="45" t="s">
        <v>289</v>
      </c>
      <c r="D181" s="61" t="s">
        <v>641</v>
      </c>
      <c r="E181" s="11" t="s">
        <v>9</v>
      </c>
    </row>
    <row r="182">
      <c r="A182" s="48">
        <v>0.5513888888888889</v>
      </c>
      <c r="B182" s="61" t="s">
        <v>860</v>
      </c>
      <c r="C182" s="45" t="s">
        <v>23</v>
      </c>
      <c r="D182" s="61" t="s">
        <v>859</v>
      </c>
      <c r="E182" s="11" t="s">
        <v>13</v>
      </c>
    </row>
    <row r="183">
      <c r="A183" s="48">
        <v>0.5618055555555556</v>
      </c>
      <c r="B183" s="61" t="s">
        <v>860</v>
      </c>
      <c r="C183" s="45" t="s">
        <v>185</v>
      </c>
      <c r="D183" s="61" t="s">
        <v>858</v>
      </c>
      <c r="E183" s="11" t="s">
        <v>9</v>
      </c>
    </row>
    <row r="184">
      <c r="A184" s="48">
        <v>0.5618055555555556</v>
      </c>
      <c r="B184" s="61" t="s">
        <v>859</v>
      </c>
      <c r="C184" s="45" t="s">
        <v>278</v>
      </c>
      <c r="D184" s="61" t="s">
        <v>857</v>
      </c>
      <c r="E184" s="11" t="s">
        <v>13</v>
      </c>
    </row>
    <row r="185">
      <c r="A185" s="48">
        <v>0.5722222222222222</v>
      </c>
      <c r="B185" s="61" t="s">
        <v>860</v>
      </c>
      <c r="C185" s="45" t="s">
        <v>250</v>
      </c>
      <c r="D185" s="61" t="s">
        <v>641</v>
      </c>
      <c r="E185" s="11" t="s">
        <v>9</v>
      </c>
    </row>
    <row r="186">
      <c r="A186" s="48">
        <v>0.5722222222222222</v>
      </c>
      <c r="B186" s="61" t="s">
        <v>857</v>
      </c>
      <c r="C186" s="45" t="s">
        <v>19</v>
      </c>
      <c r="D186" s="61" t="s">
        <v>858</v>
      </c>
      <c r="E186" s="11" t="s">
        <v>13</v>
      </c>
      <c r="I186" s="50" t="s">
        <v>861</v>
      </c>
    </row>
    <row r="187">
      <c r="A187" s="48">
        <v>0.5819444444444445</v>
      </c>
      <c r="B187" s="61" t="s">
        <v>859</v>
      </c>
      <c r="C187" s="45" t="s">
        <v>14</v>
      </c>
      <c r="D187" s="61" t="s">
        <v>641</v>
      </c>
      <c r="E187" s="11" t="s">
        <v>9</v>
      </c>
    </row>
    <row r="188">
      <c r="A188" s="48">
        <v>0.5819444444444445</v>
      </c>
      <c r="B188" s="61" t="s">
        <v>857</v>
      </c>
      <c r="C188" s="45" t="s">
        <v>862</v>
      </c>
      <c r="D188" s="61" t="s">
        <v>860</v>
      </c>
      <c r="E188" s="11" t="s">
        <v>13</v>
      </c>
    </row>
    <row r="189">
      <c r="A189" s="48">
        <v>0.5923611111111111</v>
      </c>
      <c r="B189" s="61" t="s">
        <v>641</v>
      </c>
      <c r="C189" s="45" t="s">
        <v>41</v>
      </c>
      <c r="D189" s="61" t="s">
        <v>857</v>
      </c>
      <c r="E189" s="11" t="s">
        <v>9</v>
      </c>
    </row>
    <row r="190">
      <c r="A190" s="48">
        <v>0.5923611111111111</v>
      </c>
      <c r="B190" s="61" t="s">
        <v>859</v>
      </c>
      <c r="C190" s="45" t="s">
        <v>357</v>
      </c>
      <c r="D190" s="61" t="s">
        <v>858</v>
      </c>
      <c r="E190" s="11" t="s">
        <v>13</v>
      </c>
    </row>
    <row r="191">
      <c r="A191" s="48">
        <v>0.6027777777777777</v>
      </c>
      <c r="B191" s="61" t="s">
        <v>641</v>
      </c>
      <c r="C191" s="45" t="s">
        <v>534</v>
      </c>
      <c r="D191" s="61" t="s">
        <v>858</v>
      </c>
      <c r="E191" s="11" t="s">
        <v>9</v>
      </c>
    </row>
    <row r="192">
      <c r="A192" s="48">
        <v>0.6027777777777777</v>
      </c>
      <c r="B192" s="61" t="s">
        <v>859</v>
      </c>
      <c r="C192" s="45" t="s">
        <v>41</v>
      </c>
      <c r="D192" s="61" t="s">
        <v>860</v>
      </c>
      <c r="E192" s="11" t="s">
        <v>13</v>
      </c>
    </row>
    <row r="193">
      <c r="A193" s="48">
        <v>0.6125</v>
      </c>
      <c r="B193" s="61" t="s">
        <v>858</v>
      </c>
      <c r="C193" s="45" t="s">
        <v>196</v>
      </c>
      <c r="D193" s="61" t="s">
        <v>860</v>
      </c>
      <c r="E193" s="11" t="s">
        <v>9</v>
      </c>
    </row>
    <row r="194">
      <c r="A194" s="48">
        <v>0.6125</v>
      </c>
      <c r="B194" s="61" t="s">
        <v>857</v>
      </c>
      <c r="C194" s="45" t="s">
        <v>24</v>
      </c>
      <c r="D194" s="61" t="s">
        <v>859</v>
      </c>
      <c r="E194" s="11" t="s">
        <v>13</v>
      </c>
    </row>
    <row r="195">
      <c r="A195" s="48">
        <v>0.6229166666666667</v>
      </c>
      <c r="B195" s="61" t="s">
        <v>641</v>
      </c>
      <c r="C195" s="45" t="s">
        <v>536</v>
      </c>
      <c r="D195" s="61" t="s">
        <v>860</v>
      </c>
      <c r="E195" s="11" t="s">
        <v>9</v>
      </c>
    </row>
    <row r="196">
      <c r="A196" s="48">
        <v>0.6229166666666667</v>
      </c>
      <c r="B196" s="61" t="s">
        <v>858</v>
      </c>
      <c r="C196" s="45" t="s">
        <v>863</v>
      </c>
      <c r="D196" s="61" t="s">
        <v>857</v>
      </c>
      <c r="E196" s="11" t="s">
        <v>13</v>
      </c>
    </row>
    <row r="197">
      <c r="A197" s="48">
        <v>0.6333333333333333</v>
      </c>
      <c r="B197" s="61" t="s">
        <v>641</v>
      </c>
      <c r="C197" s="45" t="s">
        <v>525</v>
      </c>
      <c r="D197" s="61" t="s">
        <v>859</v>
      </c>
      <c r="E197" s="11" t="s">
        <v>9</v>
      </c>
    </row>
    <row r="198">
      <c r="A198" s="48">
        <v>0.6333333333333333</v>
      </c>
      <c r="B198" s="61" t="s">
        <v>860</v>
      </c>
      <c r="C198" s="45" t="s">
        <v>554</v>
      </c>
      <c r="D198" s="61" t="s">
        <v>857</v>
      </c>
      <c r="E198" s="11" t="s">
        <v>13</v>
      </c>
    </row>
    <row r="199">
      <c r="A199" s="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864</v>
      </c>
      <c r="C201" s="57" t="s">
        <v>344</v>
      </c>
      <c r="D201" s="61" t="s">
        <v>865</v>
      </c>
      <c r="E201" s="11" t="s">
        <v>29</v>
      </c>
    </row>
    <row r="202">
      <c r="A202" s="48">
        <v>0.5416666666666666</v>
      </c>
      <c r="B202" s="61" t="s">
        <v>866</v>
      </c>
      <c r="C202" s="57" t="s">
        <v>271</v>
      </c>
      <c r="D202" s="61" t="s">
        <v>867</v>
      </c>
      <c r="E202" s="11" t="s">
        <v>33</v>
      </c>
    </row>
    <row r="203">
      <c r="A203" s="48">
        <v>0.5513888888888889</v>
      </c>
      <c r="B203" s="61" t="s">
        <v>866</v>
      </c>
      <c r="C203" s="57" t="s">
        <v>155</v>
      </c>
      <c r="D203" s="61" t="s">
        <v>865</v>
      </c>
      <c r="E203" s="11" t="s">
        <v>29</v>
      </c>
    </row>
    <row r="204">
      <c r="A204" s="48">
        <v>0.5513888888888889</v>
      </c>
      <c r="B204" s="61" t="s">
        <v>868</v>
      </c>
      <c r="C204" s="57" t="s">
        <v>248</v>
      </c>
      <c r="D204" s="61" t="s">
        <v>867</v>
      </c>
      <c r="E204" s="11" t="s">
        <v>33</v>
      </c>
      <c r="G204" s="50"/>
    </row>
    <row r="205">
      <c r="A205" s="48">
        <v>0.5618055555555556</v>
      </c>
      <c r="B205" s="61" t="s">
        <v>868</v>
      </c>
      <c r="C205" s="57" t="s">
        <v>181</v>
      </c>
      <c r="D205" s="61" t="s">
        <v>866</v>
      </c>
      <c r="E205" s="11" t="s">
        <v>29</v>
      </c>
    </row>
    <row r="206">
      <c r="A206" s="48">
        <v>0.5618055555555556</v>
      </c>
      <c r="B206" s="61" t="s">
        <v>867</v>
      </c>
      <c r="C206" s="57" t="s">
        <v>158</v>
      </c>
      <c r="D206" s="61" t="s">
        <v>864</v>
      </c>
      <c r="E206" s="11" t="s">
        <v>33</v>
      </c>
    </row>
    <row r="207">
      <c r="A207" s="48">
        <v>0.5722222222222222</v>
      </c>
      <c r="B207" s="61" t="s">
        <v>868</v>
      </c>
      <c r="C207" s="57" t="s">
        <v>163</v>
      </c>
      <c r="D207" s="61" t="s">
        <v>865</v>
      </c>
      <c r="E207" s="11" t="s">
        <v>29</v>
      </c>
    </row>
    <row r="208">
      <c r="A208" s="48">
        <v>0.5722222222222222</v>
      </c>
      <c r="B208" s="61" t="s">
        <v>864</v>
      </c>
      <c r="C208" s="57" t="s">
        <v>43</v>
      </c>
      <c r="D208" s="61" t="s">
        <v>866</v>
      </c>
      <c r="E208" s="11" t="s">
        <v>33</v>
      </c>
    </row>
    <row r="209">
      <c r="A209" s="48">
        <v>0.5819444444444445</v>
      </c>
      <c r="B209" s="61" t="s">
        <v>867</v>
      </c>
      <c r="C209" s="57" t="s">
        <v>195</v>
      </c>
      <c r="D209" s="61" t="s">
        <v>865</v>
      </c>
      <c r="E209" s="11" t="s">
        <v>29</v>
      </c>
    </row>
    <row r="210">
      <c r="A210" s="48">
        <v>0.5819444444444445</v>
      </c>
      <c r="B210" s="61" t="s">
        <v>864</v>
      </c>
      <c r="C210" s="57" t="s">
        <v>161</v>
      </c>
      <c r="D210" s="61" t="s">
        <v>868</v>
      </c>
      <c r="E210" s="11" t="s">
        <v>33</v>
      </c>
    </row>
    <row r="211">
      <c r="A211" s="48">
        <v>0.5923611111111111</v>
      </c>
      <c r="B211" s="61" t="s">
        <v>865</v>
      </c>
      <c r="C211" s="57" t="s">
        <v>281</v>
      </c>
      <c r="D211" s="61" t="s">
        <v>864</v>
      </c>
      <c r="E211" s="11" t="s">
        <v>29</v>
      </c>
    </row>
    <row r="212">
      <c r="A212" s="48">
        <v>0.5923611111111111</v>
      </c>
      <c r="B212" s="61" t="s">
        <v>867</v>
      </c>
      <c r="C212" s="57" t="s">
        <v>158</v>
      </c>
      <c r="D212" s="61" t="s">
        <v>866</v>
      </c>
      <c r="E212" s="11" t="s">
        <v>33</v>
      </c>
    </row>
    <row r="213">
      <c r="A213" s="48">
        <v>0.6027777777777777</v>
      </c>
      <c r="B213" s="61" t="s">
        <v>865</v>
      </c>
      <c r="C213" s="45" t="s">
        <v>162</v>
      </c>
      <c r="D213" s="61" t="s">
        <v>866</v>
      </c>
      <c r="E213" s="11" t="s">
        <v>29</v>
      </c>
    </row>
    <row r="214">
      <c r="A214" s="48">
        <v>0.6027777777777777</v>
      </c>
      <c r="B214" s="61" t="s">
        <v>867</v>
      </c>
      <c r="C214" s="45" t="s">
        <v>357</v>
      </c>
      <c r="D214" s="61" t="s">
        <v>868</v>
      </c>
      <c r="E214" s="11" t="s">
        <v>33</v>
      </c>
    </row>
    <row r="215">
      <c r="A215" s="48">
        <v>0.6125</v>
      </c>
      <c r="B215" s="61" t="s">
        <v>866</v>
      </c>
      <c r="C215" s="45" t="s">
        <v>209</v>
      </c>
      <c r="D215" s="61" t="s">
        <v>868</v>
      </c>
      <c r="E215" s="11" t="s">
        <v>29</v>
      </c>
    </row>
    <row r="216">
      <c r="A216" s="48">
        <v>0.6125</v>
      </c>
      <c r="B216" s="61" t="s">
        <v>864</v>
      </c>
      <c r="C216" s="45" t="s">
        <v>218</v>
      </c>
      <c r="D216" s="61" t="s">
        <v>867</v>
      </c>
      <c r="E216" s="11" t="s">
        <v>33</v>
      </c>
    </row>
    <row r="217">
      <c r="A217" s="48">
        <v>0.6229166666666667</v>
      </c>
      <c r="B217" s="61" t="s">
        <v>865</v>
      </c>
      <c r="C217" s="45" t="s">
        <v>155</v>
      </c>
      <c r="D217" s="61" t="s">
        <v>868</v>
      </c>
      <c r="E217" s="11" t="s">
        <v>29</v>
      </c>
    </row>
    <row r="218">
      <c r="A218" s="48">
        <v>0.6229166666666667</v>
      </c>
      <c r="B218" s="61" t="s">
        <v>866</v>
      </c>
      <c r="C218" s="45" t="s">
        <v>218</v>
      </c>
      <c r="D218" s="61" t="s">
        <v>864</v>
      </c>
      <c r="E218" s="11" t="s">
        <v>33</v>
      </c>
    </row>
    <row r="219">
      <c r="A219" s="48">
        <v>0.6333333333333333</v>
      </c>
      <c r="B219" s="61" t="s">
        <v>865</v>
      </c>
      <c r="C219" s="45" t="s">
        <v>162</v>
      </c>
      <c r="D219" s="61" t="s">
        <v>867</v>
      </c>
      <c r="E219" s="11" t="s">
        <v>29</v>
      </c>
    </row>
    <row r="220">
      <c r="A220" s="48">
        <v>0.6333333333333333</v>
      </c>
      <c r="B220" s="61" t="s">
        <v>868</v>
      </c>
      <c r="C220" s="45" t="s">
        <v>181</v>
      </c>
      <c r="D220" s="61" t="s">
        <v>864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869</v>
      </c>
      <c r="C223" s="57" t="s">
        <v>205</v>
      </c>
      <c r="D223" s="62" t="s">
        <v>870</v>
      </c>
      <c r="E223" s="11" t="s">
        <v>9</v>
      </c>
    </row>
    <row r="224">
      <c r="A224" s="48">
        <v>0.6458333333333334</v>
      </c>
      <c r="B224" s="62" t="s">
        <v>768</v>
      </c>
      <c r="C224" s="57" t="s">
        <v>250</v>
      </c>
      <c r="D224" s="62" t="s">
        <v>871</v>
      </c>
      <c r="E224" s="11" t="s">
        <v>13</v>
      </c>
    </row>
    <row r="225">
      <c r="A225" s="48">
        <v>0.6555555555555556</v>
      </c>
      <c r="B225" s="62" t="s">
        <v>768</v>
      </c>
      <c r="C225" s="57" t="s">
        <v>219</v>
      </c>
      <c r="D225" s="62" t="s">
        <v>870</v>
      </c>
      <c r="E225" s="11" t="s">
        <v>9</v>
      </c>
    </row>
    <row r="226">
      <c r="A226" s="48">
        <v>0.6555555555555556</v>
      </c>
      <c r="B226" s="62" t="s">
        <v>872</v>
      </c>
      <c r="C226" s="57" t="s">
        <v>181</v>
      </c>
      <c r="D226" s="62" t="s">
        <v>871</v>
      </c>
      <c r="E226" s="11" t="s">
        <v>13</v>
      </c>
    </row>
    <row r="227">
      <c r="A227" s="48">
        <v>0.6659722222222222</v>
      </c>
      <c r="B227" s="62" t="s">
        <v>872</v>
      </c>
      <c r="C227" s="57" t="s">
        <v>158</v>
      </c>
      <c r="D227" s="62" t="s">
        <v>768</v>
      </c>
      <c r="E227" s="11" t="s">
        <v>9</v>
      </c>
    </row>
    <row r="228">
      <c r="A228" s="48">
        <v>0.6659722222222222</v>
      </c>
      <c r="B228" s="62" t="s">
        <v>871</v>
      </c>
      <c r="C228" s="57" t="s">
        <v>16</v>
      </c>
      <c r="D228" s="62" t="s">
        <v>869</v>
      </c>
      <c r="E228" s="11" t="s">
        <v>13</v>
      </c>
    </row>
    <row r="229">
      <c r="A229" s="48">
        <v>0.6763888888888889</v>
      </c>
      <c r="B229" s="62" t="s">
        <v>872</v>
      </c>
      <c r="C229" s="57" t="s">
        <v>203</v>
      </c>
      <c r="D229" s="62" t="s">
        <v>870</v>
      </c>
      <c r="E229" s="11" t="s">
        <v>9</v>
      </c>
    </row>
    <row r="230">
      <c r="A230" s="48">
        <v>0.6763888888888889</v>
      </c>
      <c r="B230" s="62" t="s">
        <v>869</v>
      </c>
      <c r="C230" s="57" t="s">
        <v>220</v>
      </c>
      <c r="D230" s="62" t="s">
        <v>768</v>
      </c>
      <c r="E230" s="11" t="s">
        <v>13</v>
      </c>
    </row>
    <row r="231">
      <c r="A231" s="48">
        <v>0.6861111111111111</v>
      </c>
      <c r="B231" s="62" t="s">
        <v>871</v>
      </c>
      <c r="C231" s="57" t="s">
        <v>161</v>
      </c>
      <c r="D231" s="62" t="s">
        <v>870</v>
      </c>
      <c r="E231" s="11" t="s">
        <v>9</v>
      </c>
    </row>
    <row r="232">
      <c r="A232" s="48">
        <v>0.6861111111111111</v>
      </c>
      <c r="B232" s="62" t="s">
        <v>869</v>
      </c>
      <c r="C232" s="57" t="s">
        <v>344</v>
      </c>
      <c r="D232" s="62" t="s">
        <v>872</v>
      </c>
      <c r="E232" s="11" t="s">
        <v>13</v>
      </c>
    </row>
    <row r="233">
      <c r="A233" s="48">
        <v>0.6965277777777777</v>
      </c>
      <c r="B233" s="62" t="s">
        <v>870</v>
      </c>
      <c r="C233" s="57" t="s">
        <v>14</v>
      </c>
      <c r="D233" s="62" t="s">
        <v>869</v>
      </c>
      <c r="E233" s="11" t="s">
        <v>9</v>
      </c>
    </row>
    <row r="234">
      <c r="A234" s="48">
        <v>0.6965277777777777</v>
      </c>
      <c r="B234" s="62" t="s">
        <v>871</v>
      </c>
      <c r="C234" s="57" t="s">
        <v>16</v>
      </c>
      <c r="D234" s="62" t="s">
        <v>768</v>
      </c>
      <c r="E234" s="11" t="s">
        <v>13</v>
      </c>
    </row>
    <row r="235">
      <c r="A235" s="48">
        <v>0.7069444444444445</v>
      </c>
      <c r="B235" s="62" t="s">
        <v>870</v>
      </c>
      <c r="C235" s="45" t="s">
        <v>41</v>
      </c>
      <c r="D235" s="62" t="s">
        <v>768</v>
      </c>
      <c r="E235" s="11" t="s">
        <v>9</v>
      </c>
    </row>
    <row r="236">
      <c r="A236" s="48">
        <v>0.7069444444444445</v>
      </c>
      <c r="B236" s="62" t="s">
        <v>871</v>
      </c>
      <c r="C236" s="45" t="s">
        <v>24</v>
      </c>
      <c r="D236" s="62" t="s">
        <v>872</v>
      </c>
      <c r="E236" s="11" t="s">
        <v>13</v>
      </c>
    </row>
    <row r="237">
      <c r="A237" s="48">
        <v>0.7166666666666667</v>
      </c>
      <c r="B237" s="62" t="s">
        <v>768</v>
      </c>
      <c r="C237" s="45" t="s">
        <v>11</v>
      </c>
      <c r="D237" s="62" t="s">
        <v>872</v>
      </c>
      <c r="E237" s="11" t="s">
        <v>9</v>
      </c>
    </row>
    <row r="238">
      <c r="A238" s="48">
        <v>0.7166666666666667</v>
      </c>
      <c r="B238" s="62" t="s">
        <v>869</v>
      </c>
      <c r="C238" s="45" t="s">
        <v>696</v>
      </c>
      <c r="D238" s="62" t="s">
        <v>871</v>
      </c>
      <c r="E238" s="11" t="s">
        <v>13</v>
      </c>
    </row>
    <row r="239">
      <c r="A239" s="48">
        <v>0.7270833333333333</v>
      </c>
      <c r="B239" s="62" t="s">
        <v>870</v>
      </c>
      <c r="C239" s="45" t="s">
        <v>173</v>
      </c>
      <c r="D239" s="62" t="s">
        <v>872</v>
      </c>
      <c r="E239" s="11" t="s">
        <v>9</v>
      </c>
    </row>
    <row r="240">
      <c r="A240" s="48">
        <v>0.7270833333333333</v>
      </c>
      <c r="B240" s="62" t="s">
        <v>768</v>
      </c>
      <c r="C240" s="45" t="s">
        <v>220</v>
      </c>
      <c r="D240" s="62" t="s">
        <v>869</v>
      </c>
      <c r="E240" s="11" t="s">
        <v>13</v>
      </c>
    </row>
    <row r="241">
      <c r="A241" s="48">
        <v>0.7375</v>
      </c>
      <c r="B241" s="62" t="s">
        <v>870</v>
      </c>
      <c r="C241" s="45" t="s">
        <v>233</v>
      </c>
      <c r="D241" s="62" t="s">
        <v>871</v>
      </c>
      <c r="E241" s="11" t="s">
        <v>9</v>
      </c>
    </row>
    <row r="242">
      <c r="A242" s="48">
        <v>0.7375</v>
      </c>
      <c r="B242" s="62" t="s">
        <v>872</v>
      </c>
      <c r="C242" s="45" t="s">
        <v>193</v>
      </c>
      <c r="D242" s="62" t="s">
        <v>869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873</v>
      </c>
      <c r="C245" s="45" t="s">
        <v>874</v>
      </c>
      <c r="D245" s="62" t="s">
        <v>875</v>
      </c>
      <c r="E245" s="11" t="s">
        <v>29</v>
      </c>
    </row>
    <row r="246">
      <c r="A246" s="48">
        <v>0.6458333333333334</v>
      </c>
      <c r="B246" s="62" t="s">
        <v>876</v>
      </c>
      <c r="C246" s="45" t="s">
        <v>302</v>
      </c>
      <c r="D246" s="62" t="s">
        <v>877</v>
      </c>
      <c r="E246" s="11" t="s">
        <v>33</v>
      </c>
    </row>
    <row r="247">
      <c r="A247" s="48">
        <v>0.6555555555555556</v>
      </c>
      <c r="B247" s="62" t="s">
        <v>876</v>
      </c>
      <c r="C247" s="45" t="s">
        <v>16</v>
      </c>
      <c r="D247" s="62" t="s">
        <v>875</v>
      </c>
      <c r="E247" s="11" t="s">
        <v>29</v>
      </c>
    </row>
    <row r="248">
      <c r="A248" s="48">
        <v>0.6555555555555556</v>
      </c>
      <c r="B248" s="62" t="s">
        <v>878</v>
      </c>
      <c r="C248" s="45" t="s">
        <v>20</v>
      </c>
      <c r="D248" s="62" t="s">
        <v>877</v>
      </c>
      <c r="E248" s="11" t="s">
        <v>33</v>
      </c>
    </row>
    <row r="249">
      <c r="A249" s="48">
        <v>0.6659722222222222</v>
      </c>
      <c r="B249" s="62" t="s">
        <v>878</v>
      </c>
      <c r="C249" s="45" t="s">
        <v>344</v>
      </c>
      <c r="D249" s="62" t="s">
        <v>876</v>
      </c>
      <c r="E249" s="11" t="s">
        <v>29</v>
      </c>
    </row>
    <row r="250">
      <c r="A250" s="48">
        <v>0.6659722222222222</v>
      </c>
      <c r="B250" s="62" t="s">
        <v>877</v>
      </c>
      <c r="C250" s="45" t="s">
        <v>198</v>
      </c>
      <c r="D250" s="62" t="s">
        <v>873</v>
      </c>
      <c r="E250" s="11" t="s">
        <v>33</v>
      </c>
    </row>
    <row r="251">
      <c r="A251" s="48">
        <v>0.6763888888888889</v>
      </c>
      <c r="B251" s="62" t="s">
        <v>878</v>
      </c>
      <c r="C251" s="45" t="s">
        <v>19</v>
      </c>
      <c r="D251" s="62" t="s">
        <v>875</v>
      </c>
      <c r="E251" s="11" t="s">
        <v>29</v>
      </c>
    </row>
    <row r="252">
      <c r="A252" s="48">
        <v>0.6763888888888889</v>
      </c>
      <c r="B252" s="62" t="s">
        <v>873</v>
      </c>
      <c r="C252" s="45" t="s">
        <v>19</v>
      </c>
      <c r="D252" s="62" t="s">
        <v>876</v>
      </c>
      <c r="E252" s="11" t="s">
        <v>33</v>
      </c>
    </row>
    <row r="253">
      <c r="A253" s="48">
        <v>0.6861111111111111</v>
      </c>
      <c r="B253" s="62" t="s">
        <v>877</v>
      </c>
      <c r="C253" s="45" t="s">
        <v>195</v>
      </c>
      <c r="D253" s="62" t="s">
        <v>875</v>
      </c>
      <c r="E253" s="11" t="s">
        <v>29</v>
      </c>
    </row>
    <row r="254">
      <c r="A254" s="48">
        <v>0.6861111111111111</v>
      </c>
      <c r="B254" s="62" t="s">
        <v>873</v>
      </c>
      <c r="C254" s="45" t="s">
        <v>176</v>
      </c>
      <c r="D254" s="62" t="s">
        <v>878</v>
      </c>
      <c r="E254" s="11" t="s">
        <v>33</v>
      </c>
    </row>
    <row r="255">
      <c r="A255" s="48">
        <v>0.6965277777777777</v>
      </c>
      <c r="B255" s="62" t="s">
        <v>875</v>
      </c>
      <c r="C255" s="45" t="s">
        <v>879</v>
      </c>
      <c r="D255" s="62" t="s">
        <v>873</v>
      </c>
      <c r="E255" s="11" t="s">
        <v>29</v>
      </c>
    </row>
    <row r="256">
      <c r="A256" s="48">
        <v>0.6965277777777777</v>
      </c>
      <c r="B256" s="62" t="s">
        <v>877</v>
      </c>
      <c r="C256" s="45" t="s">
        <v>203</v>
      </c>
      <c r="D256" s="62" t="s">
        <v>876</v>
      </c>
      <c r="E256" s="11" t="s">
        <v>33</v>
      </c>
    </row>
    <row r="257">
      <c r="A257" s="48">
        <v>0.7069444444444445</v>
      </c>
      <c r="B257" s="62" t="s">
        <v>875</v>
      </c>
      <c r="C257" s="45" t="s">
        <v>229</v>
      </c>
      <c r="D257" s="62" t="s">
        <v>876</v>
      </c>
      <c r="E257" s="11" t="s">
        <v>29</v>
      </c>
    </row>
    <row r="258">
      <c r="A258" s="48">
        <v>0.7069444444444445</v>
      </c>
      <c r="B258" s="62" t="s">
        <v>877</v>
      </c>
      <c r="C258" s="45" t="s">
        <v>487</v>
      </c>
      <c r="D258" s="62" t="s">
        <v>878</v>
      </c>
      <c r="E258" s="11" t="s">
        <v>33</v>
      </c>
    </row>
    <row r="259">
      <c r="A259" s="48">
        <v>0.7166666666666667</v>
      </c>
      <c r="B259" s="62" t="s">
        <v>876</v>
      </c>
      <c r="C259" s="45" t="s">
        <v>271</v>
      </c>
      <c r="D259" s="62" t="s">
        <v>878</v>
      </c>
      <c r="E259" s="11" t="s">
        <v>29</v>
      </c>
    </row>
    <row r="260">
      <c r="A260" s="48">
        <v>0.7166666666666667</v>
      </c>
      <c r="B260" s="62" t="s">
        <v>873</v>
      </c>
      <c r="C260" s="45" t="s">
        <v>366</v>
      </c>
      <c r="D260" s="62" t="s">
        <v>877</v>
      </c>
      <c r="E260" s="11" t="s">
        <v>33</v>
      </c>
    </row>
    <row r="261">
      <c r="A261" s="48">
        <v>0.7270833333333333</v>
      </c>
      <c r="B261" s="62" t="s">
        <v>875</v>
      </c>
      <c r="C261" s="45" t="s">
        <v>185</v>
      </c>
      <c r="D261" s="62" t="s">
        <v>878</v>
      </c>
      <c r="E261" s="11" t="s">
        <v>29</v>
      </c>
    </row>
    <row r="262">
      <c r="A262" s="48">
        <v>0.7270833333333333</v>
      </c>
      <c r="B262" s="62" t="s">
        <v>876</v>
      </c>
      <c r="C262" s="45" t="s">
        <v>291</v>
      </c>
      <c r="D262" s="62" t="s">
        <v>873</v>
      </c>
      <c r="E262" s="11" t="s">
        <v>33</v>
      </c>
    </row>
    <row r="263">
      <c r="A263" s="48">
        <v>0.7375</v>
      </c>
      <c r="B263" s="62" t="s">
        <v>875</v>
      </c>
      <c r="C263" s="45" t="s">
        <v>344</v>
      </c>
      <c r="D263" s="62" t="s">
        <v>877</v>
      </c>
      <c r="E263" s="11" t="s">
        <v>29</v>
      </c>
    </row>
    <row r="264">
      <c r="A264" s="48">
        <v>0.7375</v>
      </c>
      <c r="B264" s="62" t="s">
        <v>878</v>
      </c>
      <c r="C264" s="45" t="s">
        <v>219</v>
      </c>
      <c r="D264" s="62" t="s">
        <v>873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307</v>
      </c>
      <c r="C267" s="45" t="s">
        <v>880</v>
      </c>
      <c r="D267" s="62" t="s">
        <v>778</v>
      </c>
      <c r="E267" s="11" t="s">
        <v>9</v>
      </c>
    </row>
    <row r="268">
      <c r="A268" s="48">
        <v>0.75</v>
      </c>
      <c r="B268" s="62" t="s">
        <v>670</v>
      </c>
      <c r="C268" s="45" t="s">
        <v>380</v>
      </c>
      <c r="D268" s="62" t="s">
        <v>671</v>
      </c>
      <c r="E268" s="11" t="s">
        <v>13</v>
      </c>
    </row>
    <row r="269">
      <c r="A269" s="48">
        <v>0.7597222222222222</v>
      </c>
      <c r="B269" s="62" t="s">
        <v>670</v>
      </c>
      <c r="C269" s="45" t="s">
        <v>237</v>
      </c>
      <c r="D269" s="62" t="s">
        <v>778</v>
      </c>
      <c r="E269" s="11" t="s">
        <v>9</v>
      </c>
    </row>
    <row r="270">
      <c r="A270" s="48">
        <v>0.7597222222222222</v>
      </c>
      <c r="B270" s="62" t="s">
        <v>881</v>
      </c>
      <c r="C270" s="45" t="s">
        <v>203</v>
      </c>
      <c r="D270" s="62" t="s">
        <v>671</v>
      </c>
      <c r="E270" s="11" t="s">
        <v>13</v>
      </c>
    </row>
    <row r="271">
      <c r="A271" s="48">
        <v>0.7701388888888889</v>
      </c>
      <c r="B271" s="62" t="s">
        <v>881</v>
      </c>
      <c r="C271" s="45" t="s">
        <v>394</v>
      </c>
      <c r="D271" s="62" t="s">
        <v>670</v>
      </c>
      <c r="E271" s="11" t="s">
        <v>9</v>
      </c>
    </row>
    <row r="272">
      <c r="A272" s="48">
        <v>0.7701388888888889</v>
      </c>
      <c r="B272" s="62" t="s">
        <v>671</v>
      </c>
      <c r="C272" s="45" t="s">
        <v>44</v>
      </c>
      <c r="D272" s="62" t="s">
        <v>307</v>
      </c>
      <c r="E272" s="11" t="s">
        <v>13</v>
      </c>
    </row>
    <row r="273">
      <c r="A273" s="48">
        <v>0.7805555555555556</v>
      </c>
      <c r="B273" s="62" t="s">
        <v>881</v>
      </c>
      <c r="C273" s="45" t="s">
        <v>882</v>
      </c>
      <c r="D273" s="62" t="s">
        <v>778</v>
      </c>
      <c r="E273" s="11" t="s">
        <v>9</v>
      </c>
    </row>
    <row r="274">
      <c r="A274" s="48">
        <v>0.7805555555555556</v>
      </c>
      <c r="B274" s="62" t="s">
        <v>307</v>
      </c>
      <c r="C274" s="45" t="s">
        <v>357</v>
      </c>
      <c r="D274" s="62" t="s">
        <v>670</v>
      </c>
      <c r="E274" s="11" t="s">
        <v>13</v>
      </c>
    </row>
    <row r="275">
      <c r="A275" s="48">
        <v>0.7902777777777777</v>
      </c>
      <c r="B275" s="62" t="s">
        <v>671</v>
      </c>
      <c r="C275" s="45" t="s">
        <v>573</v>
      </c>
      <c r="D275" s="62" t="s">
        <v>778</v>
      </c>
      <c r="E275" s="11" t="s">
        <v>9</v>
      </c>
    </row>
    <row r="276">
      <c r="A276" s="48">
        <v>0.7902777777777777</v>
      </c>
      <c r="B276" s="62" t="s">
        <v>307</v>
      </c>
      <c r="C276" s="45" t="s">
        <v>573</v>
      </c>
      <c r="D276" s="62" t="s">
        <v>881</v>
      </c>
      <c r="E276" s="11" t="s">
        <v>13</v>
      </c>
    </row>
    <row r="277">
      <c r="A277" s="48">
        <v>0.8006944444444445</v>
      </c>
      <c r="B277" s="62" t="s">
        <v>778</v>
      </c>
      <c r="C277" s="45" t="s">
        <v>439</v>
      </c>
      <c r="D277" s="62" t="s">
        <v>307</v>
      </c>
      <c r="E277" s="11" t="s">
        <v>9</v>
      </c>
    </row>
    <row r="278">
      <c r="A278" s="48">
        <v>0.8006944444444445</v>
      </c>
      <c r="B278" s="62" t="s">
        <v>671</v>
      </c>
      <c r="C278" s="45" t="s">
        <v>248</v>
      </c>
      <c r="D278" s="62" t="s">
        <v>670</v>
      </c>
      <c r="E278" s="11" t="s">
        <v>13</v>
      </c>
    </row>
    <row r="279">
      <c r="A279" s="48">
        <v>0.8111111111111111</v>
      </c>
      <c r="B279" s="62" t="s">
        <v>778</v>
      </c>
      <c r="C279" s="45" t="s">
        <v>381</v>
      </c>
      <c r="D279" s="62" t="s">
        <v>670</v>
      </c>
      <c r="E279" s="11" t="s">
        <v>9</v>
      </c>
    </row>
    <row r="280">
      <c r="A280" s="48">
        <v>0.8111111111111111</v>
      </c>
      <c r="B280" s="62" t="s">
        <v>671</v>
      </c>
      <c r="C280" s="45" t="s">
        <v>16</v>
      </c>
      <c r="D280" s="62" t="s">
        <v>881</v>
      </c>
      <c r="E280" s="11" t="s">
        <v>13</v>
      </c>
    </row>
    <row r="281">
      <c r="A281" s="48">
        <v>0.8208333333333333</v>
      </c>
      <c r="B281" s="62" t="s">
        <v>670</v>
      </c>
      <c r="C281" s="45" t="s">
        <v>271</v>
      </c>
      <c r="D281" s="62" t="s">
        <v>881</v>
      </c>
      <c r="E281" s="11" t="s">
        <v>9</v>
      </c>
    </row>
    <row r="282">
      <c r="A282" s="48">
        <v>0.8208333333333333</v>
      </c>
      <c r="B282" s="62" t="s">
        <v>307</v>
      </c>
      <c r="C282" s="45" t="s">
        <v>7</v>
      </c>
      <c r="D282" s="62" t="s">
        <v>671</v>
      </c>
      <c r="E282" s="11" t="s">
        <v>13</v>
      </c>
    </row>
    <row r="283">
      <c r="A283" s="48">
        <v>0.83125</v>
      </c>
      <c r="B283" s="62" t="s">
        <v>778</v>
      </c>
      <c r="C283" s="45" t="s">
        <v>184</v>
      </c>
      <c r="D283" s="62" t="s">
        <v>881</v>
      </c>
      <c r="E283" s="11" t="s">
        <v>9</v>
      </c>
    </row>
    <row r="284">
      <c r="A284" s="48">
        <v>0.83125</v>
      </c>
      <c r="B284" s="62" t="s">
        <v>670</v>
      </c>
      <c r="C284" s="45" t="s">
        <v>7</v>
      </c>
      <c r="D284" s="62" t="s">
        <v>307</v>
      </c>
      <c r="E284" s="11" t="s">
        <v>13</v>
      </c>
    </row>
    <row r="285">
      <c r="A285" s="48">
        <v>0.8416666666666667</v>
      </c>
      <c r="B285" s="62" t="s">
        <v>778</v>
      </c>
      <c r="C285" s="45" t="s">
        <v>18</v>
      </c>
      <c r="D285" s="62" t="s">
        <v>671</v>
      </c>
      <c r="E285" s="11" t="s">
        <v>9</v>
      </c>
    </row>
    <row r="286">
      <c r="A286" s="48">
        <v>0.8416666666666667</v>
      </c>
      <c r="B286" s="62" t="s">
        <v>881</v>
      </c>
      <c r="C286" s="45" t="s">
        <v>16</v>
      </c>
      <c r="D286" s="62" t="s">
        <v>307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50"/>
    </row>
    <row r="289">
      <c r="A289" s="48">
        <v>0.75</v>
      </c>
      <c r="B289" s="62" t="s">
        <v>883</v>
      </c>
      <c r="C289" s="45" t="s">
        <v>162</v>
      </c>
      <c r="D289" s="62" t="s">
        <v>884</v>
      </c>
      <c r="E289" s="11" t="s">
        <v>29</v>
      </c>
    </row>
    <row r="290">
      <c r="A290" s="48">
        <v>0.75</v>
      </c>
      <c r="B290" s="62" t="s">
        <v>885</v>
      </c>
      <c r="C290" s="45" t="s">
        <v>227</v>
      </c>
      <c r="D290" s="62" t="s">
        <v>886</v>
      </c>
      <c r="E290" s="11" t="s">
        <v>33</v>
      </c>
    </row>
    <row r="291">
      <c r="A291" s="48">
        <v>0.7597222222222222</v>
      </c>
      <c r="B291" s="62" t="s">
        <v>885</v>
      </c>
      <c r="C291" s="45" t="s">
        <v>17</v>
      </c>
      <c r="D291" s="62" t="s">
        <v>884</v>
      </c>
      <c r="E291" s="11" t="s">
        <v>29</v>
      </c>
    </row>
    <row r="292">
      <c r="A292" s="48">
        <v>0.7597222222222222</v>
      </c>
      <c r="B292" s="62" t="s">
        <v>887</v>
      </c>
      <c r="C292" s="45" t="s">
        <v>395</v>
      </c>
      <c r="D292" s="62" t="s">
        <v>886</v>
      </c>
      <c r="E292" s="11" t="s">
        <v>33</v>
      </c>
    </row>
    <row r="293">
      <c r="A293" s="48">
        <v>0.7701388888888889</v>
      </c>
      <c r="B293" s="62" t="s">
        <v>887</v>
      </c>
      <c r="C293" s="45" t="s">
        <v>888</v>
      </c>
      <c r="D293" s="62" t="s">
        <v>885</v>
      </c>
      <c r="E293" s="11" t="s">
        <v>29</v>
      </c>
    </row>
    <row r="294">
      <c r="A294" s="48">
        <v>0.7701388888888889</v>
      </c>
      <c r="B294" s="62" t="s">
        <v>886</v>
      </c>
      <c r="C294" s="45" t="s">
        <v>20</v>
      </c>
      <c r="D294" s="62" t="s">
        <v>883</v>
      </c>
      <c r="E294" s="11" t="s">
        <v>33</v>
      </c>
    </row>
    <row r="295">
      <c r="A295" s="48">
        <v>0.7805555555555556</v>
      </c>
      <c r="B295" s="62" t="s">
        <v>887</v>
      </c>
      <c r="C295" s="45" t="s">
        <v>271</v>
      </c>
      <c r="D295" s="62" t="s">
        <v>884</v>
      </c>
      <c r="E295" s="11" t="s">
        <v>29</v>
      </c>
    </row>
    <row r="296">
      <c r="A296" s="48">
        <v>0.7805555555555556</v>
      </c>
      <c r="B296" s="62" t="s">
        <v>883</v>
      </c>
      <c r="C296" s="45" t="s">
        <v>185</v>
      </c>
      <c r="D296" s="62" t="s">
        <v>885</v>
      </c>
      <c r="E296" s="11" t="s">
        <v>33</v>
      </c>
    </row>
    <row r="297">
      <c r="A297" s="48">
        <v>0.7902777777777777</v>
      </c>
      <c r="B297" s="62" t="s">
        <v>886</v>
      </c>
      <c r="C297" s="45" t="s">
        <v>19</v>
      </c>
      <c r="D297" s="62" t="s">
        <v>884</v>
      </c>
      <c r="E297" s="11" t="s">
        <v>29</v>
      </c>
    </row>
    <row r="298">
      <c r="A298" s="48">
        <v>0.7902777777777777</v>
      </c>
      <c r="B298" s="62" t="s">
        <v>883</v>
      </c>
      <c r="C298" s="45" t="s">
        <v>278</v>
      </c>
      <c r="D298" s="62" t="s">
        <v>887</v>
      </c>
      <c r="E298" s="11" t="s">
        <v>33</v>
      </c>
    </row>
    <row r="299">
      <c r="A299" s="48">
        <v>0.8006944444444445</v>
      </c>
      <c r="B299" s="62" t="s">
        <v>884</v>
      </c>
      <c r="C299" s="45" t="s">
        <v>23</v>
      </c>
      <c r="D299" s="62" t="s">
        <v>883</v>
      </c>
      <c r="E299" s="11" t="s">
        <v>29</v>
      </c>
    </row>
    <row r="300">
      <c r="A300" s="48">
        <v>0.8006944444444445</v>
      </c>
      <c r="B300" s="62" t="s">
        <v>886</v>
      </c>
      <c r="C300" s="45" t="s">
        <v>19</v>
      </c>
      <c r="D300" s="62" t="s">
        <v>885</v>
      </c>
      <c r="E300" s="11" t="s">
        <v>33</v>
      </c>
    </row>
    <row r="301">
      <c r="A301" s="48">
        <v>0.8111111111111111</v>
      </c>
      <c r="B301" s="62" t="s">
        <v>884</v>
      </c>
      <c r="C301" s="45" t="s">
        <v>18</v>
      </c>
      <c r="D301" s="62" t="s">
        <v>885</v>
      </c>
      <c r="E301" s="11" t="s">
        <v>29</v>
      </c>
    </row>
    <row r="302">
      <c r="A302" s="48">
        <v>0.8111111111111111</v>
      </c>
      <c r="B302" s="62" t="s">
        <v>886</v>
      </c>
      <c r="C302" s="45" t="s">
        <v>187</v>
      </c>
      <c r="D302" s="62" t="s">
        <v>887</v>
      </c>
      <c r="E302" s="11" t="s">
        <v>33</v>
      </c>
    </row>
    <row r="303">
      <c r="A303" s="48">
        <v>0.8208333333333333</v>
      </c>
      <c r="B303" s="62" t="s">
        <v>885</v>
      </c>
      <c r="C303" s="45" t="s">
        <v>227</v>
      </c>
      <c r="D303" s="62" t="s">
        <v>887</v>
      </c>
      <c r="E303" s="11" t="s">
        <v>29</v>
      </c>
    </row>
    <row r="304">
      <c r="A304" s="48">
        <v>0.8208333333333333</v>
      </c>
      <c r="B304" s="62" t="s">
        <v>883</v>
      </c>
      <c r="C304" s="45" t="s">
        <v>218</v>
      </c>
      <c r="D304" s="62" t="s">
        <v>886</v>
      </c>
      <c r="E304" s="11" t="s">
        <v>33</v>
      </c>
    </row>
    <row r="305">
      <c r="A305" s="48">
        <v>0.83125</v>
      </c>
      <c r="B305" s="62" t="s">
        <v>884</v>
      </c>
      <c r="C305" s="45" t="s">
        <v>208</v>
      </c>
      <c r="D305" s="62" t="s">
        <v>887</v>
      </c>
      <c r="E305" s="11" t="s">
        <v>29</v>
      </c>
    </row>
    <row r="306">
      <c r="A306" s="48">
        <v>0.83125</v>
      </c>
      <c r="B306" s="62" t="s">
        <v>885</v>
      </c>
      <c r="C306" s="45" t="s">
        <v>545</v>
      </c>
      <c r="D306" s="62" t="s">
        <v>883</v>
      </c>
      <c r="E306" s="11" t="s">
        <v>33</v>
      </c>
    </row>
    <row r="307">
      <c r="A307" s="48">
        <v>0.8416666666666667</v>
      </c>
      <c r="B307" s="62" t="s">
        <v>884</v>
      </c>
      <c r="C307" s="45" t="s">
        <v>354</v>
      </c>
      <c r="D307" s="62" t="s">
        <v>886</v>
      </c>
      <c r="E307" s="11" t="s">
        <v>29</v>
      </c>
    </row>
    <row r="308">
      <c r="A308" s="48">
        <v>0.8416666666666667</v>
      </c>
      <c r="B308" s="62" t="s">
        <v>887</v>
      </c>
      <c r="C308" s="45" t="s">
        <v>525</v>
      </c>
      <c r="D308" s="62" t="s">
        <v>883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261</v>
      </c>
      <c r="C311" s="57" t="s">
        <v>408</v>
      </c>
      <c r="D311" s="62" t="s">
        <v>889</v>
      </c>
      <c r="E311" s="11" t="s">
        <v>9</v>
      </c>
    </row>
    <row r="312">
      <c r="A312" s="48">
        <v>0.8541666666666666</v>
      </c>
      <c r="B312" s="62" t="s">
        <v>794</v>
      </c>
      <c r="C312" s="57" t="s">
        <v>196</v>
      </c>
      <c r="D312" s="62" t="s">
        <v>890</v>
      </c>
      <c r="E312" s="11" t="s">
        <v>13</v>
      </c>
    </row>
    <row r="313">
      <c r="A313" s="48">
        <v>0.8638888888888889</v>
      </c>
      <c r="B313" s="62" t="s">
        <v>794</v>
      </c>
      <c r="C313" s="57" t="s">
        <v>157</v>
      </c>
      <c r="D313" s="62" t="s">
        <v>889</v>
      </c>
      <c r="E313" s="11" t="s">
        <v>9</v>
      </c>
    </row>
    <row r="314">
      <c r="A314" s="48">
        <v>0.8638888888888889</v>
      </c>
      <c r="B314" s="62" t="s">
        <v>891</v>
      </c>
      <c r="C314" s="57" t="s">
        <v>229</v>
      </c>
      <c r="D314" s="62" t="s">
        <v>890</v>
      </c>
      <c r="E314" s="11" t="s">
        <v>13</v>
      </c>
    </row>
    <row r="315">
      <c r="A315" s="48">
        <v>0.8743055555555556</v>
      </c>
      <c r="B315" s="62" t="s">
        <v>891</v>
      </c>
      <c r="C315" s="57" t="s">
        <v>173</v>
      </c>
      <c r="D315" s="62" t="s">
        <v>794</v>
      </c>
      <c r="E315" s="11" t="s">
        <v>9</v>
      </c>
    </row>
    <row r="316">
      <c r="A316" s="48">
        <v>0.8743055555555556</v>
      </c>
      <c r="B316" s="62" t="s">
        <v>890</v>
      </c>
      <c r="C316" s="57" t="s">
        <v>289</v>
      </c>
      <c r="D316" s="62" t="s">
        <v>261</v>
      </c>
      <c r="E316" s="11" t="s">
        <v>13</v>
      </c>
    </row>
    <row r="317">
      <c r="A317" s="48">
        <v>0.8847222222222222</v>
      </c>
      <c r="B317" s="62" t="s">
        <v>891</v>
      </c>
      <c r="C317" s="57" t="s">
        <v>245</v>
      </c>
      <c r="D317" s="62" t="s">
        <v>889</v>
      </c>
      <c r="E317" s="11" t="s">
        <v>9</v>
      </c>
    </row>
    <row r="318">
      <c r="A318" s="48">
        <v>0.8847222222222222</v>
      </c>
      <c r="B318" s="62" t="s">
        <v>261</v>
      </c>
      <c r="C318" s="57" t="s">
        <v>177</v>
      </c>
      <c r="D318" s="62" t="s">
        <v>794</v>
      </c>
      <c r="E318" s="11" t="s">
        <v>13</v>
      </c>
    </row>
    <row r="319">
      <c r="A319" s="48">
        <v>0.8944444444444445</v>
      </c>
      <c r="B319" s="62" t="s">
        <v>890</v>
      </c>
      <c r="C319" s="57" t="s">
        <v>184</v>
      </c>
      <c r="D319" s="62" t="s">
        <v>889</v>
      </c>
      <c r="E319" s="11" t="s">
        <v>9</v>
      </c>
    </row>
    <row r="320">
      <c r="A320" s="48">
        <v>0.8944444444444445</v>
      </c>
      <c r="B320" s="62" t="s">
        <v>261</v>
      </c>
      <c r="C320" s="57" t="s">
        <v>165</v>
      </c>
      <c r="D320" s="62" t="s">
        <v>891</v>
      </c>
      <c r="E320" s="11" t="s">
        <v>13</v>
      </c>
    </row>
    <row r="321">
      <c r="A321" s="48">
        <v>0.9048611111111111</v>
      </c>
      <c r="B321" s="62" t="s">
        <v>889</v>
      </c>
      <c r="C321" s="57" t="s">
        <v>159</v>
      </c>
      <c r="D321" s="62" t="s">
        <v>261</v>
      </c>
      <c r="E321" s="11" t="s">
        <v>9</v>
      </c>
    </row>
    <row r="322">
      <c r="A322" s="48">
        <v>0.9048611111111111</v>
      </c>
      <c r="B322" s="62" t="s">
        <v>890</v>
      </c>
      <c r="C322" s="57" t="s">
        <v>292</v>
      </c>
      <c r="D322" s="62" t="s">
        <v>794</v>
      </c>
      <c r="E322" s="11" t="s">
        <v>13</v>
      </c>
    </row>
    <row r="323">
      <c r="A323" s="48">
        <v>0.9152777777777777</v>
      </c>
      <c r="B323" s="62" t="s">
        <v>889</v>
      </c>
      <c r="C323" s="45" t="s">
        <v>751</v>
      </c>
      <c r="D323" s="62" t="s">
        <v>794</v>
      </c>
      <c r="E323" s="11" t="s">
        <v>9</v>
      </c>
    </row>
    <row r="324">
      <c r="A324" s="48">
        <v>0.9152777777777777</v>
      </c>
      <c r="B324" s="62" t="s">
        <v>890</v>
      </c>
      <c r="C324" s="45" t="s">
        <v>289</v>
      </c>
      <c r="D324" s="62" t="s">
        <v>891</v>
      </c>
      <c r="E324" s="11" t="s">
        <v>13</v>
      </c>
    </row>
    <row r="325">
      <c r="A325" s="48">
        <v>0.925</v>
      </c>
      <c r="B325" s="62" t="s">
        <v>794</v>
      </c>
      <c r="C325" s="45" t="s">
        <v>19</v>
      </c>
      <c r="D325" s="62" t="s">
        <v>891</v>
      </c>
      <c r="E325" s="11" t="s">
        <v>9</v>
      </c>
    </row>
    <row r="326">
      <c r="A326" s="48">
        <v>0.925</v>
      </c>
      <c r="B326" s="62" t="s">
        <v>261</v>
      </c>
      <c r="C326" s="45" t="s">
        <v>193</v>
      </c>
      <c r="D326" s="62" t="s">
        <v>890</v>
      </c>
      <c r="E326" s="11" t="s">
        <v>13</v>
      </c>
    </row>
    <row r="327">
      <c r="A327" s="48">
        <v>0.9354166666666667</v>
      </c>
      <c r="B327" s="62" t="s">
        <v>889</v>
      </c>
      <c r="C327" s="45" t="s">
        <v>41</v>
      </c>
      <c r="D327" s="62" t="s">
        <v>891</v>
      </c>
      <c r="E327" s="11" t="s">
        <v>9</v>
      </c>
    </row>
    <row r="328">
      <c r="A328" s="48">
        <v>0.9354166666666667</v>
      </c>
      <c r="B328" s="62" t="s">
        <v>794</v>
      </c>
      <c r="C328" s="45" t="s">
        <v>292</v>
      </c>
      <c r="D328" s="62" t="s">
        <v>261</v>
      </c>
      <c r="E328" s="11" t="s">
        <v>13</v>
      </c>
    </row>
    <row r="329">
      <c r="A329" s="48">
        <v>0.9458333333333333</v>
      </c>
      <c r="B329" s="62" t="s">
        <v>889</v>
      </c>
      <c r="C329" s="45" t="s">
        <v>316</v>
      </c>
      <c r="D329" s="62" t="s">
        <v>890</v>
      </c>
      <c r="E329" s="11" t="s">
        <v>9</v>
      </c>
    </row>
    <row r="330">
      <c r="A330" s="48">
        <v>0.9458333333333333</v>
      </c>
      <c r="B330" s="62" t="s">
        <v>891</v>
      </c>
      <c r="C330" s="45" t="s">
        <v>354</v>
      </c>
      <c r="D330" s="62" t="s">
        <v>261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892</v>
      </c>
      <c r="C333" s="45" t="s">
        <v>185</v>
      </c>
      <c r="D333" s="62" t="s">
        <v>893</v>
      </c>
      <c r="E333" s="11" t="s">
        <v>29</v>
      </c>
    </row>
    <row r="334">
      <c r="A334" s="48">
        <v>0.8541666666666666</v>
      </c>
      <c r="B334" s="62" t="s">
        <v>453</v>
      </c>
      <c r="C334" s="45" t="s">
        <v>225</v>
      </c>
      <c r="D334" s="62" t="s">
        <v>894</v>
      </c>
      <c r="E334" s="11" t="s">
        <v>33</v>
      </c>
    </row>
    <row r="335">
      <c r="A335" s="48">
        <v>0.8638888888888889</v>
      </c>
      <c r="B335" s="62" t="s">
        <v>453</v>
      </c>
      <c r="C335" s="45" t="s">
        <v>289</v>
      </c>
      <c r="D335" s="62" t="s">
        <v>893</v>
      </c>
      <c r="E335" s="11" t="s">
        <v>29</v>
      </c>
    </row>
    <row r="336">
      <c r="A336" s="48">
        <v>0.8638888888888889</v>
      </c>
      <c r="B336" s="62" t="s">
        <v>895</v>
      </c>
      <c r="C336" s="45" t="s">
        <v>17</v>
      </c>
      <c r="D336" s="62" t="s">
        <v>894</v>
      </c>
      <c r="E336" s="11" t="s">
        <v>33</v>
      </c>
    </row>
    <row r="337">
      <c r="A337" s="48">
        <v>0.8743055555555556</v>
      </c>
      <c r="B337" s="62" t="s">
        <v>895</v>
      </c>
      <c r="C337" s="45" t="s">
        <v>334</v>
      </c>
      <c r="D337" s="62" t="s">
        <v>453</v>
      </c>
      <c r="E337" s="11" t="s">
        <v>29</v>
      </c>
    </row>
    <row r="338">
      <c r="A338" s="48">
        <v>0.8743055555555556</v>
      </c>
      <c r="B338" s="62" t="s">
        <v>894</v>
      </c>
      <c r="C338" s="45" t="s">
        <v>545</v>
      </c>
      <c r="D338" s="62" t="s">
        <v>892</v>
      </c>
      <c r="E338" s="11" t="s">
        <v>33</v>
      </c>
    </row>
    <row r="339">
      <c r="A339" s="48">
        <v>0.8847222222222222</v>
      </c>
      <c r="B339" s="62" t="s">
        <v>895</v>
      </c>
      <c r="C339" s="45" t="s">
        <v>248</v>
      </c>
      <c r="D339" s="62" t="s">
        <v>893</v>
      </c>
      <c r="E339" s="11" t="s">
        <v>29</v>
      </c>
    </row>
    <row r="340">
      <c r="A340" s="48">
        <v>0.8847222222222222</v>
      </c>
      <c r="B340" s="62" t="s">
        <v>892</v>
      </c>
      <c r="C340" s="45" t="s">
        <v>239</v>
      </c>
      <c r="D340" s="62" t="s">
        <v>453</v>
      </c>
      <c r="E340" s="11" t="s">
        <v>33</v>
      </c>
    </row>
    <row r="341">
      <c r="A341" s="48">
        <v>0.8944444444444445</v>
      </c>
      <c r="B341" s="62" t="s">
        <v>894</v>
      </c>
      <c r="C341" s="45" t="s">
        <v>549</v>
      </c>
      <c r="D341" s="62" t="s">
        <v>893</v>
      </c>
      <c r="E341" s="11" t="s">
        <v>29</v>
      </c>
    </row>
    <row r="342">
      <c r="A342" s="48">
        <v>0.8944444444444445</v>
      </c>
      <c r="B342" s="62" t="s">
        <v>892</v>
      </c>
      <c r="C342" s="45" t="s">
        <v>281</v>
      </c>
      <c r="D342" s="62" t="s">
        <v>895</v>
      </c>
      <c r="E342" s="11" t="s">
        <v>33</v>
      </c>
    </row>
    <row r="343">
      <c r="A343" s="48">
        <v>0.9048611111111111</v>
      </c>
      <c r="B343" s="62" t="s">
        <v>893</v>
      </c>
      <c r="C343" s="45" t="s">
        <v>449</v>
      </c>
      <c r="D343" s="62" t="s">
        <v>892</v>
      </c>
      <c r="E343" s="11" t="s">
        <v>29</v>
      </c>
    </row>
    <row r="344">
      <c r="A344" s="48">
        <v>0.9048611111111111</v>
      </c>
      <c r="B344" s="62" t="s">
        <v>894</v>
      </c>
      <c r="C344" s="45" t="s">
        <v>17</v>
      </c>
      <c r="D344" s="62" t="s">
        <v>453</v>
      </c>
      <c r="E344" s="11" t="s">
        <v>33</v>
      </c>
    </row>
    <row r="345">
      <c r="A345" s="48">
        <v>0.9152777777777777</v>
      </c>
      <c r="B345" s="62" t="s">
        <v>893</v>
      </c>
      <c r="C345" s="45" t="s">
        <v>24</v>
      </c>
      <c r="D345" s="62" t="s">
        <v>453</v>
      </c>
      <c r="E345" s="11" t="s">
        <v>29</v>
      </c>
    </row>
    <row r="346">
      <c r="A346" s="48">
        <v>0.9152777777777777</v>
      </c>
      <c r="B346" s="62" t="s">
        <v>894</v>
      </c>
      <c r="C346" s="45" t="s">
        <v>36</v>
      </c>
      <c r="D346" s="62" t="s">
        <v>895</v>
      </c>
      <c r="E346" s="11" t="s">
        <v>33</v>
      </c>
    </row>
    <row r="347">
      <c r="A347" s="48">
        <v>0.925</v>
      </c>
      <c r="B347" s="62" t="s">
        <v>453</v>
      </c>
      <c r="C347" s="45" t="s">
        <v>18</v>
      </c>
      <c r="D347" s="62" t="s">
        <v>895</v>
      </c>
      <c r="E347" s="11" t="s">
        <v>29</v>
      </c>
    </row>
    <row r="348">
      <c r="A348" s="48">
        <v>0.925</v>
      </c>
      <c r="B348" s="62" t="s">
        <v>892</v>
      </c>
      <c r="C348" s="45" t="s">
        <v>16</v>
      </c>
      <c r="D348" s="62" t="s">
        <v>894</v>
      </c>
      <c r="E348" s="11" t="s">
        <v>33</v>
      </c>
    </row>
    <row r="349">
      <c r="A349" s="48">
        <v>0.9354166666666667</v>
      </c>
      <c r="B349" s="62" t="s">
        <v>893</v>
      </c>
      <c r="C349" s="45" t="s">
        <v>44</v>
      </c>
      <c r="D349" s="62" t="s">
        <v>895</v>
      </c>
      <c r="E349" s="11" t="s">
        <v>29</v>
      </c>
    </row>
    <row r="350">
      <c r="A350" s="48">
        <v>0.9354166666666667</v>
      </c>
      <c r="B350" s="62" t="s">
        <v>453</v>
      </c>
      <c r="C350" s="45" t="s">
        <v>185</v>
      </c>
      <c r="D350" s="62" t="s">
        <v>892</v>
      </c>
      <c r="E350" s="11" t="s">
        <v>33</v>
      </c>
    </row>
    <row r="351">
      <c r="A351" s="48">
        <v>0.9458333333333333</v>
      </c>
      <c r="B351" s="62" t="s">
        <v>893</v>
      </c>
      <c r="C351" s="45" t="s">
        <v>209</v>
      </c>
      <c r="D351" s="62" t="s">
        <v>894</v>
      </c>
      <c r="E351" s="11" t="s">
        <v>29</v>
      </c>
    </row>
    <row r="352">
      <c r="A352" s="48">
        <v>0.9458333333333333</v>
      </c>
      <c r="B352" s="62" t="s">
        <v>895</v>
      </c>
      <c r="C352" s="45" t="s">
        <v>250</v>
      </c>
      <c r="D352" s="62" t="s">
        <v>892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896</v>
      </c>
      <c r="C355" s="45" t="s">
        <v>17</v>
      </c>
      <c r="D355" s="62" t="s">
        <v>699</v>
      </c>
      <c r="E355" s="11" t="s">
        <v>9</v>
      </c>
    </row>
    <row r="356">
      <c r="A356" s="48">
        <v>0.9583333333333334</v>
      </c>
      <c r="B356" s="62" t="s">
        <v>192</v>
      </c>
      <c r="C356" s="45" t="s">
        <v>23</v>
      </c>
      <c r="D356" s="62" t="s">
        <v>897</v>
      </c>
      <c r="E356" s="11" t="s">
        <v>13</v>
      </c>
    </row>
    <row r="357">
      <c r="A357" s="48">
        <v>0.9680555555555556</v>
      </c>
      <c r="B357" s="62" t="s">
        <v>192</v>
      </c>
      <c r="C357" s="45" t="s">
        <v>171</v>
      </c>
      <c r="D357" s="62" t="s">
        <v>699</v>
      </c>
      <c r="E357" s="11" t="s">
        <v>9</v>
      </c>
    </row>
    <row r="358">
      <c r="A358" s="48">
        <v>0.9680555555555556</v>
      </c>
      <c r="B358" s="62" t="s">
        <v>814</v>
      </c>
      <c r="C358" s="45" t="s">
        <v>898</v>
      </c>
      <c r="D358" s="62" t="s">
        <v>897</v>
      </c>
      <c r="E358" s="11" t="s">
        <v>13</v>
      </c>
    </row>
    <row r="359">
      <c r="A359" s="48">
        <v>0.9784722222222222</v>
      </c>
      <c r="B359" s="62" t="s">
        <v>814</v>
      </c>
      <c r="C359" s="45" t="s">
        <v>41</v>
      </c>
      <c r="D359" s="62" t="s">
        <v>192</v>
      </c>
      <c r="E359" s="11" t="s">
        <v>9</v>
      </c>
    </row>
    <row r="360">
      <c r="A360" s="48">
        <v>0.9784722222222222</v>
      </c>
      <c r="B360" s="62" t="s">
        <v>897</v>
      </c>
      <c r="C360" s="45" t="s">
        <v>22</v>
      </c>
      <c r="D360" s="62" t="s">
        <v>896</v>
      </c>
      <c r="E360" s="11" t="s">
        <v>13</v>
      </c>
    </row>
    <row r="361">
      <c r="A361" s="48">
        <v>0.9888888888888889</v>
      </c>
      <c r="B361" s="62" t="s">
        <v>814</v>
      </c>
      <c r="C361" s="45" t="s">
        <v>194</v>
      </c>
      <c r="D361" s="62" t="s">
        <v>699</v>
      </c>
      <c r="E361" s="11" t="s">
        <v>9</v>
      </c>
    </row>
    <row r="362">
      <c r="A362" s="48">
        <v>0.9888888888888889</v>
      </c>
      <c r="B362" s="62" t="s">
        <v>896</v>
      </c>
      <c r="C362" s="45" t="s">
        <v>218</v>
      </c>
      <c r="D362" s="62" t="s">
        <v>192</v>
      </c>
      <c r="E362" s="11" t="s">
        <v>13</v>
      </c>
    </row>
    <row r="363">
      <c r="A363" s="48">
        <v>0.9986111111111111</v>
      </c>
      <c r="B363" s="62" t="s">
        <v>897</v>
      </c>
      <c r="C363" s="45" t="s">
        <v>196</v>
      </c>
      <c r="D363" s="62" t="s">
        <v>699</v>
      </c>
      <c r="E363" s="11" t="s">
        <v>9</v>
      </c>
    </row>
    <row r="364">
      <c r="A364" s="48">
        <v>0.9986111111111111</v>
      </c>
      <c r="B364" s="62" t="s">
        <v>896</v>
      </c>
      <c r="C364" s="45" t="s">
        <v>17</v>
      </c>
      <c r="D364" s="62" t="s">
        <v>814</v>
      </c>
      <c r="E364" s="11" t="s">
        <v>13</v>
      </c>
    </row>
    <row r="365">
      <c r="A365" s="48">
        <v>0.009027777777777777</v>
      </c>
      <c r="B365" s="62" t="s">
        <v>699</v>
      </c>
      <c r="C365" s="45" t="s">
        <v>18</v>
      </c>
      <c r="D365" s="62" t="s">
        <v>896</v>
      </c>
      <c r="E365" s="11" t="s">
        <v>9</v>
      </c>
    </row>
    <row r="366">
      <c r="A366" s="48">
        <v>0.009027777777777777</v>
      </c>
      <c r="B366" s="62" t="s">
        <v>897</v>
      </c>
      <c r="C366" s="45" t="s">
        <v>37</v>
      </c>
      <c r="D366" s="62" t="s">
        <v>192</v>
      </c>
      <c r="E366" s="11" t="s">
        <v>13</v>
      </c>
    </row>
    <row r="367">
      <c r="A367" s="48">
        <v>0.019444444444444445</v>
      </c>
      <c r="B367" s="62" t="s">
        <v>699</v>
      </c>
      <c r="C367" s="45" t="s">
        <v>181</v>
      </c>
      <c r="D367" s="62" t="s">
        <v>192</v>
      </c>
      <c r="E367" s="11" t="s">
        <v>9</v>
      </c>
    </row>
    <row r="368">
      <c r="A368" s="48">
        <v>0.019444444444444445</v>
      </c>
      <c r="B368" s="62" t="s">
        <v>897</v>
      </c>
      <c r="C368" s="45" t="s">
        <v>164</v>
      </c>
      <c r="D368" s="62" t="s">
        <v>814</v>
      </c>
      <c r="E368" s="11" t="s">
        <v>13</v>
      </c>
    </row>
    <row r="369">
      <c r="A369" s="48">
        <v>0.029166666666666667</v>
      </c>
      <c r="B369" s="62" t="s">
        <v>192</v>
      </c>
      <c r="C369" s="45" t="s">
        <v>166</v>
      </c>
      <c r="D369" s="62" t="s">
        <v>814</v>
      </c>
      <c r="E369" s="11" t="s">
        <v>9</v>
      </c>
    </row>
    <row r="370">
      <c r="A370" s="48">
        <v>0.029166666666666667</v>
      </c>
      <c r="B370" s="62" t="s">
        <v>896</v>
      </c>
      <c r="C370" s="45" t="s">
        <v>442</v>
      </c>
      <c r="D370" s="62" t="s">
        <v>897</v>
      </c>
      <c r="E370" s="11" t="s">
        <v>13</v>
      </c>
    </row>
    <row r="371">
      <c r="A371" s="48">
        <v>0.03958333333333333</v>
      </c>
      <c r="B371" s="62" t="s">
        <v>699</v>
      </c>
      <c r="C371" s="45" t="s">
        <v>23</v>
      </c>
      <c r="D371" s="62" t="s">
        <v>814</v>
      </c>
      <c r="E371" s="11" t="s">
        <v>9</v>
      </c>
    </row>
    <row r="372">
      <c r="A372" s="48">
        <v>0.03958333333333333</v>
      </c>
      <c r="B372" s="62" t="s">
        <v>192</v>
      </c>
      <c r="C372" s="45" t="s">
        <v>7</v>
      </c>
      <c r="D372" s="62" t="s">
        <v>896</v>
      </c>
      <c r="E372" s="11" t="s">
        <v>13</v>
      </c>
    </row>
    <row r="373">
      <c r="A373" s="48">
        <v>0.05</v>
      </c>
      <c r="B373" s="62" t="s">
        <v>699</v>
      </c>
      <c r="C373" s="45" t="s">
        <v>17</v>
      </c>
      <c r="D373" s="62" t="s">
        <v>897</v>
      </c>
      <c r="E373" s="11" t="s">
        <v>9</v>
      </c>
    </row>
    <row r="374">
      <c r="A374" s="48">
        <v>0.05</v>
      </c>
      <c r="B374" s="62" t="s">
        <v>814</v>
      </c>
      <c r="C374" s="45" t="s">
        <v>20</v>
      </c>
      <c r="D374" s="62" t="s">
        <v>896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899</v>
      </c>
      <c r="C377" s="45" t="s">
        <v>302</v>
      </c>
      <c r="D377" s="62" t="s">
        <v>807</v>
      </c>
      <c r="E377" s="11" t="s">
        <v>29</v>
      </c>
    </row>
    <row r="378">
      <c r="A378" s="48">
        <v>0.9583333333333334</v>
      </c>
      <c r="B378" s="62" t="s">
        <v>900</v>
      </c>
      <c r="C378" s="45" t="s">
        <v>161</v>
      </c>
      <c r="D378" s="62" t="s">
        <v>901</v>
      </c>
      <c r="E378" s="11" t="s">
        <v>33</v>
      </c>
    </row>
    <row r="379">
      <c r="A379" s="48">
        <v>0.9680555555555556</v>
      </c>
      <c r="B379" s="62" t="s">
        <v>900</v>
      </c>
      <c r="C379" s="45" t="s">
        <v>185</v>
      </c>
      <c r="D379" s="62" t="s">
        <v>807</v>
      </c>
      <c r="E379" s="11" t="s">
        <v>29</v>
      </c>
    </row>
    <row r="380">
      <c r="A380" s="48">
        <v>0.9680555555555556</v>
      </c>
      <c r="B380" s="62" t="s">
        <v>902</v>
      </c>
      <c r="C380" s="45" t="s">
        <v>525</v>
      </c>
      <c r="D380" s="62" t="s">
        <v>901</v>
      </c>
      <c r="E380" s="11" t="s">
        <v>33</v>
      </c>
    </row>
    <row r="381">
      <c r="A381" s="48">
        <v>0.9784722222222222</v>
      </c>
      <c r="B381" s="62" t="s">
        <v>902</v>
      </c>
      <c r="C381" s="45" t="s">
        <v>43</v>
      </c>
      <c r="D381" s="62" t="s">
        <v>900</v>
      </c>
      <c r="E381" s="11" t="s">
        <v>29</v>
      </c>
    </row>
    <row r="382">
      <c r="A382" s="48">
        <v>0.9784722222222222</v>
      </c>
      <c r="B382" s="62" t="s">
        <v>901</v>
      </c>
      <c r="C382" s="45" t="s">
        <v>7</v>
      </c>
      <c r="D382" s="62" t="s">
        <v>899</v>
      </c>
      <c r="E382" s="11" t="s">
        <v>33</v>
      </c>
    </row>
    <row r="383">
      <c r="A383" s="48">
        <v>0.9888888888888889</v>
      </c>
      <c r="B383" s="62" t="s">
        <v>902</v>
      </c>
      <c r="C383" s="45" t="s">
        <v>195</v>
      </c>
      <c r="D383" s="62" t="s">
        <v>807</v>
      </c>
      <c r="E383" s="11" t="s">
        <v>29</v>
      </c>
    </row>
    <row r="384">
      <c r="A384" s="48">
        <v>0.9888888888888889</v>
      </c>
      <c r="B384" s="62" t="s">
        <v>899</v>
      </c>
      <c r="C384" s="45" t="s">
        <v>16</v>
      </c>
      <c r="D384" s="62" t="s">
        <v>900</v>
      </c>
      <c r="E384" s="11" t="s">
        <v>33</v>
      </c>
    </row>
    <row r="385">
      <c r="A385" s="48">
        <v>0.9986111111111111</v>
      </c>
      <c r="B385" s="62" t="s">
        <v>901</v>
      </c>
      <c r="C385" s="45" t="s">
        <v>18</v>
      </c>
      <c r="D385" s="62" t="s">
        <v>807</v>
      </c>
      <c r="E385" s="11" t="s">
        <v>29</v>
      </c>
    </row>
    <row r="386">
      <c r="A386" s="48">
        <v>0.9986111111111111</v>
      </c>
      <c r="B386" s="62" t="s">
        <v>899</v>
      </c>
      <c r="C386" s="45" t="s">
        <v>225</v>
      </c>
      <c r="D386" s="62" t="s">
        <v>902</v>
      </c>
      <c r="E386" s="11" t="s">
        <v>33</v>
      </c>
    </row>
    <row r="387">
      <c r="A387" s="48">
        <v>0.009027777777777777</v>
      </c>
      <c r="B387" s="62" t="s">
        <v>807</v>
      </c>
      <c r="C387" s="45" t="s">
        <v>181</v>
      </c>
      <c r="D387" s="62" t="s">
        <v>899</v>
      </c>
      <c r="E387" s="11" t="s">
        <v>29</v>
      </c>
    </row>
    <row r="388">
      <c r="A388" s="48">
        <v>0.009027777777777777</v>
      </c>
      <c r="B388" s="62" t="s">
        <v>901</v>
      </c>
      <c r="C388" s="45" t="s">
        <v>155</v>
      </c>
      <c r="D388" s="62" t="s">
        <v>900</v>
      </c>
      <c r="E388" s="11" t="s">
        <v>33</v>
      </c>
    </row>
    <row r="389">
      <c r="A389" s="48">
        <v>0.019444444444444445</v>
      </c>
      <c r="B389" s="62" t="s">
        <v>807</v>
      </c>
      <c r="C389" s="45" t="s">
        <v>181</v>
      </c>
      <c r="D389" s="62" t="s">
        <v>900</v>
      </c>
      <c r="E389" s="11" t="s">
        <v>29</v>
      </c>
    </row>
    <row r="390">
      <c r="A390" s="48">
        <v>0.019444444444444445</v>
      </c>
      <c r="B390" s="62" t="s">
        <v>901</v>
      </c>
      <c r="C390" s="45" t="s">
        <v>271</v>
      </c>
      <c r="D390" s="62" t="s">
        <v>902</v>
      </c>
      <c r="E390" s="11" t="s">
        <v>33</v>
      </c>
    </row>
    <row r="391">
      <c r="A391" s="48">
        <v>0.029166666666666667</v>
      </c>
      <c r="B391" s="62" t="s">
        <v>900</v>
      </c>
      <c r="C391" s="45" t="s">
        <v>41</v>
      </c>
      <c r="D391" s="62" t="s">
        <v>902</v>
      </c>
      <c r="E391" s="11" t="s">
        <v>29</v>
      </c>
    </row>
    <row r="392">
      <c r="A392" s="48">
        <v>0.029166666666666667</v>
      </c>
      <c r="B392" s="62" t="s">
        <v>899</v>
      </c>
      <c r="C392" s="45" t="s">
        <v>570</v>
      </c>
      <c r="D392" s="62" t="s">
        <v>901</v>
      </c>
      <c r="E392" s="11" t="s">
        <v>33</v>
      </c>
    </row>
    <row r="393">
      <c r="A393" s="48">
        <v>0.03958333333333333</v>
      </c>
      <c r="B393" s="62" t="s">
        <v>807</v>
      </c>
      <c r="C393" s="45" t="s">
        <v>20</v>
      </c>
      <c r="D393" s="62" t="s">
        <v>902</v>
      </c>
      <c r="E393" s="11" t="s">
        <v>29</v>
      </c>
    </row>
    <row r="394">
      <c r="A394" s="48">
        <v>0.03958333333333333</v>
      </c>
      <c r="B394" s="62" t="s">
        <v>900</v>
      </c>
      <c r="C394" s="45" t="s">
        <v>184</v>
      </c>
      <c r="D394" s="62" t="s">
        <v>899</v>
      </c>
      <c r="E394" s="11" t="s">
        <v>33</v>
      </c>
    </row>
    <row r="395">
      <c r="A395" s="48">
        <v>0.05</v>
      </c>
      <c r="B395" s="62" t="s">
        <v>807</v>
      </c>
      <c r="C395" s="45" t="s">
        <v>173</v>
      </c>
      <c r="D395" s="62" t="s">
        <v>901</v>
      </c>
      <c r="E395" s="11" t="s">
        <v>29</v>
      </c>
    </row>
    <row r="396">
      <c r="A396" s="48">
        <v>0.05</v>
      </c>
      <c r="B396" s="62" t="s">
        <v>902</v>
      </c>
      <c r="C396" s="45" t="s">
        <v>393</v>
      </c>
      <c r="D396" s="62" t="s">
        <v>899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903</v>
      </c>
      <c r="C3" s="57" t="s">
        <v>534</v>
      </c>
      <c r="D3" s="62" t="s">
        <v>904</v>
      </c>
      <c r="E3" s="11" t="s">
        <v>9</v>
      </c>
    </row>
    <row r="4">
      <c r="A4" s="7">
        <v>0.0625</v>
      </c>
      <c r="B4" s="61" t="s">
        <v>905</v>
      </c>
      <c r="C4" s="57" t="s">
        <v>651</v>
      </c>
      <c r="D4" s="61" t="s">
        <v>481</v>
      </c>
      <c r="E4" s="11" t="s">
        <v>13</v>
      </c>
    </row>
    <row r="5">
      <c r="A5" s="7">
        <v>0.07222222222222222</v>
      </c>
      <c r="B5" s="62" t="s">
        <v>905</v>
      </c>
      <c r="C5" s="57" t="s">
        <v>155</v>
      </c>
      <c r="D5" s="61" t="s">
        <v>904</v>
      </c>
      <c r="E5" s="11" t="s">
        <v>9</v>
      </c>
    </row>
    <row r="6">
      <c r="A6" s="7">
        <v>0.07222222222222222</v>
      </c>
      <c r="B6" s="61" t="s">
        <v>906</v>
      </c>
      <c r="C6" s="57" t="s">
        <v>237</v>
      </c>
      <c r="D6" s="62" t="s">
        <v>481</v>
      </c>
      <c r="E6" s="11" t="s">
        <v>13</v>
      </c>
    </row>
    <row r="7">
      <c r="A7" s="7">
        <v>0.08263888888888889</v>
      </c>
      <c r="B7" s="62" t="s">
        <v>906</v>
      </c>
      <c r="C7" s="57" t="s">
        <v>42</v>
      </c>
      <c r="D7" s="61" t="s">
        <v>905</v>
      </c>
      <c r="E7" s="11" t="s">
        <v>9</v>
      </c>
    </row>
    <row r="8">
      <c r="A8" s="7">
        <v>0.08263888888888889</v>
      </c>
      <c r="B8" s="61" t="s">
        <v>481</v>
      </c>
      <c r="C8" s="57" t="s">
        <v>11</v>
      </c>
      <c r="D8" s="61" t="s">
        <v>903</v>
      </c>
      <c r="E8" s="11" t="s">
        <v>13</v>
      </c>
    </row>
    <row r="9">
      <c r="A9" s="7">
        <v>0.09305555555555556</v>
      </c>
      <c r="B9" s="62" t="s">
        <v>906</v>
      </c>
      <c r="C9" s="57" t="s">
        <v>181</v>
      </c>
      <c r="D9" s="62" t="s">
        <v>904</v>
      </c>
      <c r="E9" s="11" t="s">
        <v>9</v>
      </c>
    </row>
    <row r="10">
      <c r="A10" s="7">
        <v>0.09305555555555556</v>
      </c>
      <c r="B10" s="61" t="s">
        <v>903</v>
      </c>
      <c r="C10" s="57" t="s">
        <v>302</v>
      </c>
      <c r="D10" s="61" t="s">
        <v>905</v>
      </c>
      <c r="E10" s="11" t="s">
        <v>13</v>
      </c>
    </row>
    <row r="11">
      <c r="A11" s="7">
        <v>0.10277777777777777</v>
      </c>
      <c r="B11" s="62" t="s">
        <v>481</v>
      </c>
      <c r="C11" s="57" t="s">
        <v>257</v>
      </c>
      <c r="D11" s="61" t="s">
        <v>904</v>
      </c>
      <c r="E11" s="11" t="s">
        <v>9</v>
      </c>
    </row>
    <row r="12">
      <c r="A12" s="7">
        <v>0.10277777777777777</v>
      </c>
      <c r="B12" s="61" t="s">
        <v>903</v>
      </c>
      <c r="C12" s="57" t="s">
        <v>18</v>
      </c>
      <c r="D12" s="62" t="s">
        <v>906</v>
      </c>
      <c r="E12" s="11" t="s">
        <v>13</v>
      </c>
    </row>
    <row r="13">
      <c r="A13" s="7">
        <v>0.11319444444444444</v>
      </c>
      <c r="B13" s="62" t="s">
        <v>904</v>
      </c>
      <c r="C13" s="57" t="s">
        <v>219</v>
      </c>
      <c r="D13" s="61" t="s">
        <v>903</v>
      </c>
      <c r="E13" s="11" t="s">
        <v>9</v>
      </c>
    </row>
    <row r="14">
      <c r="A14" s="7">
        <v>0.11319444444444444</v>
      </c>
      <c r="B14" s="62" t="s">
        <v>481</v>
      </c>
      <c r="C14" s="57" t="s">
        <v>279</v>
      </c>
      <c r="D14" s="61" t="s">
        <v>905</v>
      </c>
      <c r="E14" s="11" t="s">
        <v>13</v>
      </c>
    </row>
    <row r="15">
      <c r="A15" s="7">
        <v>0.12361111111111112</v>
      </c>
      <c r="B15" s="61" t="s">
        <v>904</v>
      </c>
      <c r="C15" s="45" t="s">
        <v>181</v>
      </c>
      <c r="D15" s="62" t="s">
        <v>905</v>
      </c>
      <c r="E15" s="11" t="s">
        <v>9</v>
      </c>
    </row>
    <row r="16">
      <c r="A16" s="7">
        <v>0.12361111111111112</v>
      </c>
      <c r="B16" s="62" t="s">
        <v>481</v>
      </c>
      <c r="C16" s="45" t="s">
        <v>324</v>
      </c>
      <c r="D16" s="61" t="s">
        <v>906</v>
      </c>
      <c r="E16" s="11" t="s">
        <v>13</v>
      </c>
    </row>
    <row r="17">
      <c r="A17" s="7">
        <v>0.13333333333333333</v>
      </c>
      <c r="B17" s="61" t="s">
        <v>905</v>
      </c>
      <c r="C17" s="45" t="s">
        <v>574</v>
      </c>
      <c r="D17" s="62" t="s">
        <v>906</v>
      </c>
      <c r="E17" s="11" t="s">
        <v>9</v>
      </c>
    </row>
    <row r="18">
      <c r="A18" s="7">
        <v>0.13333333333333333</v>
      </c>
      <c r="B18" s="61" t="s">
        <v>903</v>
      </c>
      <c r="C18" s="45" t="s">
        <v>18</v>
      </c>
      <c r="D18" s="61" t="s">
        <v>481</v>
      </c>
      <c r="E18" s="11" t="s">
        <v>13</v>
      </c>
    </row>
    <row r="19">
      <c r="A19" s="7">
        <v>0.14375</v>
      </c>
      <c r="B19" s="62" t="s">
        <v>904</v>
      </c>
      <c r="C19" s="45" t="s">
        <v>219</v>
      </c>
      <c r="D19" s="62" t="s">
        <v>906</v>
      </c>
      <c r="E19" s="11" t="s">
        <v>9</v>
      </c>
    </row>
    <row r="20">
      <c r="A20" s="7">
        <v>0.14375</v>
      </c>
      <c r="B20" s="61" t="s">
        <v>905</v>
      </c>
      <c r="C20" s="45" t="s">
        <v>185</v>
      </c>
      <c r="D20" s="61" t="s">
        <v>903</v>
      </c>
      <c r="E20" s="11" t="s">
        <v>13</v>
      </c>
    </row>
    <row r="21">
      <c r="A21" s="7">
        <v>0.15416666666666667</v>
      </c>
      <c r="B21" s="61" t="s">
        <v>904</v>
      </c>
      <c r="C21" s="45" t="s">
        <v>7</v>
      </c>
      <c r="D21" s="62" t="s">
        <v>481</v>
      </c>
      <c r="E21" s="11" t="s">
        <v>9</v>
      </c>
    </row>
    <row r="22">
      <c r="A22" s="7">
        <v>0.15416666666666667</v>
      </c>
      <c r="B22" s="62" t="s">
        <v>906</v>
      </c>
      <c r="C22" s="45" t="s">
        <v>7</v>
      </c>
      <c r="D22" s="61" t="s">
        <v>903</v>
      </c>
      <c r="E22" s="11" t="s">
        <v>13</v>
      </c>
    </row>
    <row r="23">
      <c r="A23" s="1"/>
      <c r="B23" s="1" t="s">
        <v>25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817</v>
      </c>
      <c r="C25" s="57" t="s">
        <v>352</v>
      </c>
      <c r="D25" s="61" t="s">
        <v>484</v>
      </c>
      <c r="E25" s="11" t="s">
        <v>29</v>
      </c>
    </row>
    <row r="26">
      <c r="A26" s="7">
        <v>0.0625</v>
      </c>
      <c r="B26" s="61" t="s">
        <v>485</v>
      </c>
      <c r="C26" s="57" t="s">
        <v>23</v>
      </c>
      <c r="D26" s="61" t="s">
        <v>907</v>
      </c>
      <c r="E26" s="11" t="s">
        <v>33</v>
      </c>
    </row>
    <row r="27">
      <c r="A27" s="7">
        <v>0.07222222222222222</v>
      </c>
      <c r="B27" s="62" t="s">
        <v>485</v>
      </c>
      <c r="C27" s="57" t="s">
        <v>908</v>
      </c>
      <c r="D27" s="62" t="s">
        <v>484</v>
      </c>
      <c r="E27" s="11" t="s">
        <v>29</v>
      </c>
    </row>
    <row r="28">
      <c r="A28" s="7">
        <v>0.07222222222222222</v>
      </c>
      <c r="B28" s="61" t="s">
        <v>909</v>
      </c>
      <c r="C28" s="57" t="s">
        <v>162</v>
      </c>
      <c r="D28" s="61" t="s">
        <v>907</v>
      </c>
      <c r="E28" s="11" t="s">
        <v>33</v>
      </c>
    </row>
    <row r="29">
      <c r="A29" s="7">
        <v>0.08263888888888889</v>
      </c>
      <c r="B29" s="62" t="s">
        <v>909</v>
      </c>
      <c r="C29" s="57" t="s">
        <v>43</v>
      </c>
      <c r="D29" s="61" t="s">
        <v>485</v>
      </c>
      <c r="E29" s="11" t="s">
        <v>29</v>
      </c>
    </row>
    <row r="30">
      <c r="A30" s="7">
        <v>0.08263888888888889</v>
      </c>
      <c r="B30" s="61" t="s">
        <v>907</v>
      </c>
      <c r="C30" s="57" t="s">
        <v>158</v>
      </c>
      <c r="D30" s="61" t="s">
        <v>817</v>
      </c>
      <c r="E30" s="11" t="s">
        <v>33</v>
      </c>
    </row>
    <row r="31">
      <c r="A31" s="7">
        <v>0.09305555555555556</v>
      </c>
      <c r="B31" s="62" t="s">
        <v>909</v>
      </c>
      <c r="C31" s="57" t="s">
        <v>651</v>
      </c>
      <c r="D31" s="61" t="s">
        <v>484</v>
      </c>
      <c r="E31" s="11" t="s">
        <v>29</v>
      </c>
    </row>
    <row r="32">
      <c r="A32" s="7">
        <v>0.09305555555555556</v>
      </c>
      <c r="B32" s="61" t="s">
        <v>817</v>
      </c>
      <c r="C32" s="57" t="s">
        <v>534</v>
      </c>
      <c r="D32" s="62" t="s">
        <v>485</v>
      </c>
      <c r="E32" s="11" t="s">
        <v>33</v>
      </c>
    </row>
    <row r="33">
      <c r="A33" s="7">
        <v>0.10277777777777777</v>
      </c>
      <c r="B33" s="61" t="s">
        <v>907</v>
      </c>
      <c r="C33" s="57" t="s">
        <v>195</v>
      </c>
      <c r="D33" s="61" t="s">
        <v>484</v>
      </c>
      <c r="E33" s="11" t="s">
        <v>29</v>
      </c>
    </row>
    <row r="34">
      <c r="A34" s="7">
        <v>0.10277777777777777</v>
      </c>
      <c r="B34" s="61" t="s">
        <v>817</v>
      </c>
      <c r="C34" s="57" t="s">
        <v>910</v>
      </c>
      <c r="D34" s="61" t="s">
        <v>909</v>
      </c>
      <c r="E34" s="11" t="s">
        <v>33</v>
      </c>
    </row>
    <row r="35">
      <c r="A35" s="7">
        <v>0.11319444444444444</v>
      </c>
      <c r="B35" s="61" t="s">
        <v>484</v>
      </c>
      <c r="C35" s="57" t="s">
        <v>14</v>
      </c>
      <c r="D35" s="61" t="s">
        <v>817</v>
      </c>
      <c r="E35" s="11" t="s">
        <v>29</v>
      </c>
    </row>
    <row r="36">
      <c r="A36" s="7">
        <v>0.11319444444444444</v>
      </c>
      <c r="B36" s="61" t="s">
        <v>907</v>
      </c>
      <c r="C36" s="57" t="s">
        <v>18</v>
      </c>
      <c r="D36" s="61" t="s">
        <v>485</v>
      </c>
      <c r="E36" s="11" t="s">
        <v>33</v>
      </c>
    </row>
    <row r="37">
      <c r="A37" s="7">
        <v>0.12361111111111112</v>
      </c>
      <c r="B37" s="62" t="s">
        <v>484</v>
      </c>
      <c r="C37" s="57" t="s">
        <v>888</v>
      </c>
      <c r="D37" s="62" t="s">
        <v>485</v>
      </c>
      <c r="E37" s="11" t="s">
        <v>29</v>
      </c>
    </row>
    <row r="38">
      <c r="A38" s="7">
        <v>0.12361111111111112</v>
      </c>
      <c r="B38" s="61" t="s">
        <v>907</v>
      </c>
      <c r="C38" s="57" t="s">
        <v>16</v>
      </c>
      <c r="D38" s="61" t="s">
        <v>909</v>
      </c>
      <c r="E38" s="11" t="s">
        <v>33</v>
      </c>
    </row>
    <row r="39">
      <c r="A39" s="7">
        <v>0.13333333333333333</v>
      </c>
      <c r="B39" s="61" t="s">
        <v>485</v>
      </c>
      <c r="C39" s="57" t="s">
        <v>279</v>
      </c>
      <c r="D39" s="62" t="s">
        <v>909</v>
      </c>
      <c r="E39" s="11" t="s">
        <v>29</v>
      </c>
    </row>
    <row r="40">
      <c r="A40" s="7">
        <v>0.13333333333333333</v>
      </c>
      <c r="B40" s="61" t="s">
        <v>817</v>
      </c>
      <c r="C40" s="57" t="s">
        <v>534</v>
      </c>
      <c r="D40" s="61" t="s">
        <v>907</v>
      </c>
      <c r="E40" s="11" t="s">
        <v>33</v>
      </c>
    </row>
    <row r="41">
      <c r="A41" s="7">
        <v>0.14375</v>
      </c>
      <c r="B41" s="61" t="s">
        <v>484</v>
      </c>
      <c r="C41" s="57" t="s">
        <v>344</v>
      </c>
      <c r="D41" s="62" t="s">
        <v>909</v>
      </c>
      <c r="E41" s="11" t="s">
        <v>29</v>
      </c>
    </row>
    <row r="42">
      <c r="A42" s="7">
        <v>0.14375</v>
      </c>
      <c r="B42" s="62" t="s">
        <v>485</v>
      </c>
      <c r="C42" s="57" t="s">
        <v>208</v>
      </c>
      <c r="D42" s="61" t="s">
        <v>817</v>
      </c>
      <c r="E42" s="11" t="s">
        <v>33</v>
      </c>
    </row>
    <row r="43">
      <c r="A43" s="7">
        <v>0.15416666666666667</v>
      </c>
      <c r="B43" s="61" t="s">
        <v>484</v>
      </c>
      <c r="C43" s="57" t="s">
        <v>210</v>
      </c>
      <c r="D43" s="61" t="s">
        <v>907</v>
      </c>
      <c r="E43" s="11" t="s">
        <v>29</v>
      </c>
    </row>
    <row r="44">
      <c r="A44" s="7">
        <v>0.15416666666666667</v>
      </c>
      <c r="B44" s="61" t="s">
        <v>909</v>
      </c>
      <c r="C44" s="57" t="s">
        <v>911</v>
      </c>
      <c r="D44" s="61" t="s">
        <v>817</v>
      </c>
      <c r="E44" s="11" t="s">
        <v>33</v>
      </c>
    </row>
    <row r="45">
      <c r="A45" s="1"/>
      <c r="B45" s="1" t="s">
        <v>45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1" t="s">
        <v>912</v>
      </c>
      <c r="C47" s="45" t="s">
        <v>220</v>
      </c>
      <c r="D47" s="61" t="s">
        <v>605</v>
      </c>
      <c r="E47" s="11" t="s">
        <v>9</v>
      </c>
    </row>
    <row r="48">
      <c r="A48" s="7">
        <v>0.16666666666666666</v>
      </c>
      <c r="B48" s="61" t="s">
        <v>913</v>
      </c>
      <c r="C48" s="45" t="s">
        <v>248</v>
      </c>
      <c r="D48" s="61" t="s">
        <v>716</v>
      </c>
      <c r="E48" s="11" t="s">
        <v>13</v>
      </c>
    </row>
    <row r="49">
      <c r="A49" s="7">
        <v>0.1763888888888889</v>
      </c>
      <c r="B49" s="61" t="s">
        <v>913</v>
      </c>
      <c r="C49" s="45" t="s">
        <v>251</v>
      </c>
      <c r="D49" s="61" t="s">
        <v>605</v>
      </c>
      <c r="E49" s="11" t="s">
        <v>9</v>
      </c>
    </row>
    <row r="50">
      <c r="A50" s="7">
        <v>0.1763888888888889</v>
      </c>
      <c r="B50" s="61" t="s">
        <v>714</v>
      </c>
      <c r="C50" s="45" t="s">
        <v>362</v>
      </c>
      <c r="D50" s="61" t="s">
        <v>716</v>
      </c>
      <c r="E50" s="11" t="s">
        <v>13</v>
      </c>
    </row>
    <row r="51">
      <c r="A51" s="7">
        <v>0.18680555555555556</v>
      </c>
      <c r="B51" s="61" t="s">
        <v>714</v>
      </c>
      <c r="C51" s="45" t="s">
        <v>164</v>
      </c>
      <c r="D51" s="61" t="s">
        <v>913</v>
      </c>
      <c r="E51" s="11" t="s">
        <v>9</v>
      </c>
    </row>
    <row r="52">
      <c r="A52" s="7">
        <v>0.18680555555555556</v>
      </c>
      <c r="B52" s="61" t="s">
        <v>716</v>
      </c>
      <c r="C52" s="45" t="s">
        <v>193</v>
      </c>
      <c r="D52" s="61" t="s">
        <v>912</v>
      </c>
      <c r="E52" s="11" t="s">
        <v>13</v>
      </c>
    </row>
    <row r="53">
      <c r="A53" s="7">
        <v>0.19722222222222222</v>
      </c>
      <c r="B53" s="61" t="s">
        <v>714</v>
      </c>
      <c r="C53" s="45" t="s">
        <v>163</v>
      </c>
      <c r="D53" s="61" t="s">
        <v>605</v>
      </c>
      <c r="E53" s="11" t="s">
        <v>9</v>
      </c>
    </row>
    <row r="54">
      <c r="A54" s="7">
        <v>0.19722222222222222</v>
      </c>
      <c r="B54" s="61" t="s">
        <v>912</v>
      </c>
      <c r="C54" s="45" t="s">
        <v>194</v>
      </c>
      <c r="D54" s="61" t="s">
        <v>913</v>
      </c>
      <c r="E54" s="11" t="s">
        <v>13</v>
      </c>
    </row>
    <row r="55">
      <c r="A55" s="7">
        <v>0.20694444444444443</v>
      </c>
      <c r="B55" s="61" t="s">
        <v>716</v>
      </c>
      <c r="C55" s="45" t="s">
        <v>194</v>
      </c>
      <c r="D55" s="61" t="s">
        <v>605</v>
      </c>
      <c r="E55" s="11" t="s">
        <v>9</v>
      </c>
    </row>
    <row r="56">
      <c r="A56" s="7">
        <v>0.20694444444444443</v>
      </c>
      <c r="B56" s="61" t="s">
        <v>912</v>
      </c>
      <c r="C56" s="45" t="s">
        <v>44</v>
      </c>
      <c r="D56" s="61" t="s">
        <v>714</v>
      </c>
      <c r="E56" s="11" t="s">
        <v>13</v>
      </c>
    </row>
    <row r="57">
      <c r="A57" s="7">
        <v>0.21736111111111112</v>
      </c>
      <c r="B57" s="61" t="s">
        <v>605</v>
      </c>
      <c r="C57" s="45" t="s">
        <v>155</v>
      </c>
      <c r="D57" s="61" t="s">
        <v>912</v>
      </c>
      <c r="E57" s="11" t="s">
        <v>9</v>
      </c>
    </row>
    <row r="58">
      <c r="A58" s="7">
        <v>0.21736111111111112</v>
      </c>
      <c r="B58" s="61" t="s">
        <v>716</v>
      </c>
      <c r="C58" s="45" t="s">
        <v>19</v>
      </c>
      <c r="D58" s="61" t="s">
        <v>913</v>
      </c>
      <c r="E58" s="11" t="s">
        <v>13</v>
      </c>
    </row>
    <row r="59">
      <c r="A59" s="7">
        <v>0.22777777777777777</v>
      </c>
      <c r="B59" s="61" t="s">
        <v>605</v>
      </c>
      <c r="C59" s="45" t="s">
        <v>181</v>
      </c>
      <c r="D59" s="61" t="s">
        <v>913</v>
      </c>
      <c r="E59" s="11" t="s">
        <v>9</v>
      </c>
    </row>
    <row r="60">
      <c r="A60" s="7">
        <v>0.22777777777777777</v>
      </c>
      <c r="B60" s="61" t="s">
        <v>716</v>
      </c>
      <c r="C60" s="45" t="s">
        <v>324</v>
      </c>
      <c r="D60" s="61" t="s">
        <v>714</v>
      </c>
      <c r="E60" s="11" t="s">
        <v>13</v>
      </c>
    </row>
    <row r="61">
      <c r="A61" s="7">
        <v>0.2375</v>
      </c>
      <c r="B61" s="61" t="s">
        <v>913</v>
      </c>
      <c r="C61" s="45" t="s">
        <v>158</v>
      </c>
      <c r="D61" s="61" t="s">
        <v>714</v>
      </c>
      <c r="E61" s="11" t="s">
        <v>9</v>
      </c>
    </row>
    <row r="62">
      <c r="A62" s="7">
        <v>0.2375</v>
      </c>
      <c r="B62" s="61" t="s">
        <v>912</v>
      </c>
      <c r="C62" s="45" t="s">
        <v>362</v>
      </c>
      <c r="D62" s="61" t="s">
        <v>716</v>
      </c>
      <c r="E62" s="11" t="s">
        <v>13</v>
      </c>
    </row>
    <row r="63">
      <c r="A63" s="7">
        <v>0.24791666666666667</v>
      </c>
      <c r="B63" s="61" t="s">
        <v>605</v>
      </c>
      <c r="C63" s="45" t="s">
        <v>23</v>
      </c>
      <c r="D63" s="61" t="s">
        <v>714</v>
      </c>
      <c r="E63" s="11" t="s">
        <v>9</v>
      </c>
    </row>
    <row r="64">
      <c r="A64" s="7">
        <v>0.24791666666666667</v>
      </c>
      <c r="B64" s="61" t="s">
        <v>913</v>
      </c>
      <c r="C64" s="45" t="s">
        <v>357</v>
      </c>
      <c r="D64" s="61" t="s">
        <v>912</v>
      </c>
      <c r="E64" s="11" t="s">
        <v>13</v>
      </c>
    </row>
    <row r="65">
      <c r="A65" s="7">
        <v>0.25833333333333336</v>
      </c>
      <c r="B65" s="61" t="s">
        <v>605</v>
      </c>
      <c r="C65" s="45" t="s">
        <v>155</v>
      </c>
      <c r="D65" s="61" t="s">
        <v>716</v>
      </c>
      <c r="E65" s="11" t="s">
        <v>9</v>
      </c>
    </row>
    <row r="66">
      <c r="A66" s="7">
        <v>0.25833333333333336</v>
      </c>
      <c r="B66" s="61" t="s">
        <v>714</v>
      </c>
      <c r="C66" s="45" t="s">
        <v>31</v>
      </c>
      <c r="D66" s="61" t="s">
        <v>912</v>
      </c>
      <c r="E66" s="11" t="s">
        <v>13</v>
      </c>
    </row>
    <row r="67">
      <c r="A67" s="1"/>
      <c r="B67" s="1" t="s">
        <v>45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1" t="s">
        <v>472</v>
      </c>
      <c r="C69" s="57" t="s">
        <v>166</v>
      </c>
      <c r="D69" s="61" t="s">
        <v>721</v>
      </c>
      <c r="E69" s="11" t="s">
        <v>29</v>
      </c>
    </row>
    <row r="70">
      <c r="A70" s="7">
        <v>0.16666666666666666</v>
      </c>
      <c r="B70" s="61" t="s">
        <v>612</v>
      </c>
      <c r="C70" s="57" t="s">
        <v>24</v>
      </c>
      <c r="D70" s="61" t="s">
        <v>914</v>
      </c>
      <c r="E70" s="11" t="s">
        <v>33</v>
      </c>
    </row>
    <row r="71">
      <c r="A71" s="7">
        <v>0.1763888888888889</v>
      </c>
      <c r="B71" s="61" t="s">
        <v>612</v>
      </c>
      <c r="C71" s="57" t="s">
        <v>37</v>
      </c>
      <c r="D71" s="61" t="s">
        <v>721</v>
      </c>
      <c r="E71" s="11" t="s">
        <v>29</v>
      </c>
    </row>
    <row r="72">
      <c r="A72" s="7">
        <v>0.1763888888888889</v>
      </c>
      <c r="B72" s="61" t="s">
        <v>723</v>
      </c>
      <c r="C72" s="57" t="s">
        <v>164</v>
      </c>
      <c r="D72" s="61" t="s">
        <v>914</v>
      </c>
      <c r="E72" s="11" t="s">
        <v>33</v>
      </c>
    </row>
    <row r="73">
      <c r="A73" s="7">
        <v>0.18680555555555556</v>
      </c>
      <c r="B73" s="61" t="s">
        <v>723</v>
      </c>
      <c r="C73" s="57" t="s">
        <v>14</v>
      </c>
      <c r="D73" s="61" t="s">
        <v>612</v>
      </c>
      <c r="E73" s="11" t="s">
        <v>29</v>
      </c>
    </row>
    <row r="74">
      <c r="A74" s="7">
        <v>0.18680555555555556</v>
      </c>
      <c r="B74" s="61" t="s">
        <v>914</v>
      </c>
      <c r="C74" s="57" t="s">
        <v>230</v>
      </c>
      <c r="D74" s="61" t="s">
        <v>472</v>
      </c>
      <c r="E74" s="11" t="s">
        <v>33</v>
      </c>
    </row>
    <row r="75">
      <c r="A75" s="7">
        <v>0.19722222222222222</v>
      </c>
      <c r="B75" s="61" t="s">
        <v>723</v>
      </c>
      <c r="C75" s="57" t="s">
        <v>165</v>
      </c>
      <c r="D75" s="61" t="s">
        <v>721</v>
      </c>
      <c r="E75" s="11" t="s">
        <v>29</v>
      </c>
    </row>
    <row r="76">
      <c r="A76" s="7">
        <v>0.19722222222222222</v>
      </c>
      <c r="B76" s="61" t="s">
        <v>472</v>
      </c>
      <c r="C76" s="57" t="s">
        <v>915</v>
      </c>
      <c r="D76" s="61" t="s">
        <v>612</v>
      </c>
      <c r="E76" s="11" t="s">
        <v>33</v>
      </c>
    </row>
    <row r="77">
      <c r="A77" s="7">
        <v>0.20694444444444443</v>
      </c>
      <c r="B77" s="61" t="s">
        <v>914</v>
      </c>
      <c r="C77" s="57" t="s">
        <v>338</v>
      </c>
      <c r="D77" s="61" t="s">
        <v>721</v>
      </c>
      <c r="E77" s="69" t="str">
        <f>HYPERLINK("https://youtu.be/C7ueCGojBi8?t=3524","channel 3")</f>
        <v>channel 3</v>
      </c>
    </row>
    <row r="78">
      <c r="A78" s="7">
        <v>0.20694444444444443</v>
      </c>
      <c r="B78" s="61" t="s">
        <v>472</v>
      </c>
      <c r="C78" s="57" t="s">
        <v>916</v>
      </c>
      <c r="D78" s="61" t="s">
        <v>723</v>
      </c>
      <c r="E78" s="11" t="s">
        <v>33</v>
      </c>
    </row>
    <row r="79">
      <c r="A79" s="7">
        <v>0.21736111111111112</v>
      </c>
      <c r="B79" s="61" t="s">
        <v>721</v>
      </c>
      <c r="C79" s="57" t="s">
        <v>19</v>
      </c>
      <c r="D79" s="61" t="s">
        <v>472</v>
      </c>
      <c r="E79" s="11" t="s">
        <v>29</v>
      </c>
    </row>
    <row r="80">
      <c r="A80" s="7">
        <v>0.21736111111111112</v>
      </c>
      <c r="B80" s="61" t="s">
        <v>914</v>
      </c>
      <c r="C80" s="57" t="s">
        <v>163</v>
      </c>
      <c r="D80" s="61" t="s">
        <v>612</v>
      </c>
      <c r="E80" s="11" t="s">
        <v>33</v>
      </c>
    </row>
    <row r="81">
      <c r="A81" s="7">
        <v>0.22777777777777777</v>
      </c>
      <c r="B81" s="61" t="s">
        <v>721</v>
      </c>
      <c r="C81" s="57" t="s">
        <v>155</v>
      </c>
      <c r="D81" s="61" t="s">
        <v>612</v>
      </c>
      <c r="E81" s="11" t="s">
        <v>29</v>
      </c>
    </row>
    <row r="82">
      <c r="A82" s="7">
        <v>0.22777777777777777</v>
      </c>
      <c r="B82" s="61" t="s">
        <v>914</v>
      </c>
      <c r="C82" s="57" t="s">
        <v>182</v>
      </c>
      <c r="D82" s="61" t="s">
        <v>723</v>
      </c>
      <c r="E82" s="11" t="s">
        <v>33</v>
      </c>
    </row>
    <row r="83">
      <c r="A83" s="7">
        <v>0.2375</v>
      </c>
      <c r="B83" s="61" t="s">
        <v>612</v>
      </c>
      <c r="C83" s="57" t="s">
        <v>229</v>
      </c>
      <c r="D83" s="61" t="s">
        <v>723</v>
      </c>
      <c r="E83" s="11" t="s">
        <v>29</v>
      </c>
    </row>
    <row r="84">
      <c r="A84" s="7">
        <v>0.2375</v>
      </c>
      <c r="B84" s="61" t="s">
        <v>472</v>
      </c>
      <c r="C84" s="57" t="s">
        <v>180</v>
      </c>
      <c r="D84" s="61" t="s">
        <v>914</v>
      </c>
      <c r="E84" s="11" t="s">
        <v>33</v>
      </c>
    </row>
    <row r="85">
      <c r="A85" s="7">
        <v>0.24791666666666667</v>
      </c>
      <c r="B85" s="61" t="s">
        <v>721</v>
      </c>
      <c r="C85" s="57" t="s">
        <v>354</v>
      </c>
      <c r="D85" s="61" t="s">
        <v>723</v>
      </c>
      <c r="E85" s="11" t="s">
        <v>29</v>
      </c>
    </row>
    <row r="86">
      <c r="A86" s="7">
        <v>0.24791666666666667</v>
      </c>
      <c r="B86" s="61" t="s">
        <v>612</v>
      </c>
      <c r="C86" s="57" t="s">
        <v>911</v>
      </c>
      <c r="D86" s="61" t="s">
        <v>472</v>
      </c>
      <c r="E86" s="11" t="s">
        <v>33</v>
      </c>
    </row>
    <row r="87">
      <c r="A87" s="7">
        <v>0.25833333333333336</v>
      </c>
      <c r="B87" s="61" t="s">
        <v>721</v>
      </c>
      <c r="C87" s="57" t="s">
        <v>16</v>
      </c>
      <c r="D87" s="61" t="s">
        <v>914</v>
      </c>
      <c r="E87" s="11" t="s">
        <v>29</v>
      </c>
    </row>
    <row r="88">
      <c r="A88" s="7">
        <v>0.25833333333333336</v>
      </c>
      <c r="B88" s="61" t="s">
        <v>723</v>
      </c>
      <c r="C88" s="57" t="s">
        <v>917</v>
      </c>
      <c r="D88" s="61" t="s">
        <v>472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918</v>
      </c>
      <c r="C91" s="45" t="s">
        <v>185</v>
      </c>
      <c r="D91" s="61" t="s">
        <v>919</v>
      </c>
      <c r="E91" s="11" t="s">
        <v>9</v>
      </c>
    </row>
    <row r="92">
      <c r="A92" s="48">
        <v>0.3333333333333333</v>
      </c>
      <c r="B92" s="61" t="s">
        <v>920</v>
      </c>
      <c r="C92" s="45" t="s">
        <v>20</v>
      </c>
      <c r="D92" s="61" t="s">
        <v>921</v>
      </c>
      <c r="E92" s="11" t="s">
        <v>13</v>
      </c>
    </row>
    <row r="93">
      <c r="A93" s="48">
        <v>0.34305555555555556</v>
      </c>
      <c r="B93" s="61" t="s">
        <v>920</v>
      </c>
      <c r="C93" s="45" t="s">
        <v>23</v>
      </c>
      <c r="D93" s="61" t="s">
        <v>919</v>
      </c>
      <c r="E93" s="11" t="s">
        <v>9</v>
      </c>
    </row>
    <row r="94">
      <c r="A94" s="48">
        <v>0.34305555555555556</v>
      </c>
      <c r="B94" s="61" t="s">
        <v>922</v>
      </c>
      <c r="C94" s="45" t="s">
        <v>20</v>
      </c>
      <c r="D94" s="61" t="s">
        <v>921</v>
      </c>
      <c r="E94" s="11" t="s">
        <v>13</v>
      </c>
    </row>
    <row r="95">
      <c r="A95" s="48">
        <v>0.35347222222222224</v>
      </c>
      <c r="B95" s="61" t="s">
        <v>922</v>
      </c>
      <c r="C95" s="45" t="s">
        <v>344</v>
      </c>
      <c r="D95" s="61" t="s">
        <v>920</v>
      </c>
      <c r="E95" s="11" t="s">
        <v>9</v>
      </c>
    </row>
    <row r="96">
      <c r="A96" s="48">
        <v>0.35347222222222224</v>
      </c>
      <c r="B96" s="61" t="s">
        <v>921</v>
      </c>
      <c r="C96" s="45" t="s">
        <v>181</v>
      </c>
      <c r="D96" s="61" t="s">
        <v>918</v>
      </c>
      <c r="E96" s="11" t="s">
        <v>13</v>
      </c>
    </row>
    <row r="97">
      <c r="A97" s="48">
        <v>0.3638888888888889</v>
      </c>
      <c r="B97" s="61" t="s">
        <v>922</v>
      </c>
      <c r="C97" s="45" t="s">
        <v>186</v>
      </c>
      <c r="D97" s="61" t="s">
        <v>919</v>
      </c>
      <c r="E97" s="11" t="s">
        <v>9</v>
      </c>
    </row>
    <row r="98">
      <c r="A98" s="48">
        <v>0.3638888888888889</v>
      </c>
      <c r="B98" s="61" t="s">
        <v>918</v>
      </c>
      <c r="C98" s="45" t="s">
        <v>302</v>
      </c>
      <c r="D98" s="61" t="s">
        <v>920</v>
      </c>
      <c r="E98" s="11" t="s">
        <v>13</v>
      </c>
    </row>
    <row r="99">
      <c r="A99" s="48">
        <v>0.3736111111111111</v>
      </c>
      <c r="B99" s="61" t="s">
        <v>921</v>
      </c>
      <c r="C99" s="45" t="s">
        <v>248</v>
      </c>
      <c r="D99" s="61" t="s">
        <v>919</v>
      </c>
      <c r="E99" s="11" t="s">
        <v>9</v>
      </c>
    </row>
    <row r="100">
      <c r="A100" s="48">
        <v>0.3736111111111111</v>
      </c>
      <c r="B100" s="61" t="s">
        <v>918</v>
      </c>
      <c r="C100" s="45" t="s">
        <v>189</v>
      </c>
      <c r="D100" s="61" t="s">
        <v>922</v>
      </c>
      <c r="E100" s="11" t="s">
        <v>13</v>
      </c>
    </row>
    <row r="101">
      <c r="A101" s="48">
        <v>0.3840277777777778</v>
      </c>
      <c r="B101" s="61" t="s">
        <v>919</v>
      </c>
      <c r="C101" s="45" t="s">
        <v>185</v>
      </c>
      <c r="D101" s="61" t="s">
        <v>918</v>
      </c>
      <c r="E101" s="11" t="s">
        <v>9</v>
      </c>
    </row>
    <row r="102">
      <c r="A102" s="48">
        <v>0.3840277777777778</v>
      </c>
      <c r="B102" s="61" t="s">
        <v>921</v>
      </c>
      <c r="C102" s="45" t="s">
        <v>17</v>
      </c>
      <c r="D102" s="61" t="s">
        <v>920</v>
      </c>
      <c r="E102" s="11" t="s">
        <v>13</v>
      </c>
    </row>
    <row r="103">
      <c r="A103" s="48">
        <v>0.39444444444444443</v>
      </c>
      <c r="B103" s="61" t="s">
        <v>919</v>
      </c>
      <c r="C103" s="45" t="s">
        <v>524</v>
      </c>
      <c r="D103" s="61" t="s">
        <v>920</v>
      </c>
      <c r="E103" s="11" t="s">
        <v>9</v>
      </c>
    </row>
    <row r="104">
      <c r="A104" s="48">
        <v>0.39444444444444443</v>
      </c>
      <c r="B104" s="61" t="s">
        <v>921</v>
      </c>
      <c r="C104" s="45" t="s">
        <v>196</v>
      </c>
      <c r="D104" s="61" t="s">
        <v>922</v>
      </c>
      <c r="E104" s="11" t="s">
        <v>13</v>
      </c>
    </row>
    <row r="105">
      <c r="A105" s="48">
        <v>0.4041666666666667</v>
      </c>
      <c r="B105" s="61" t="s">
        <v>920</v>
      </c>
      <c r="C105" s="45" t="s">
        <v>20</v>
      </c>
      <c r="D105" s="61" t="s">
        <v>922</v>
      </c>
      <c r="E105" s="11" t="s">
        <v>9</v>
      </c>
    </row>
    <row r="106">
      <c r="A106" s="48">
        <v>0.4041666666666667</v>
      </c>
      <c r="B106" s="61" t="s">
        <v>918</v>
      </c>
      <c r="C106" s="45" t="s">
        <v>229</v>
      </c>
      <c r="D106" s="61" t="s">
        <v>921</v>
      </c>
      <c r="E106" s="11" t="s">
        <v>13</v>
      </c>
    </row>
    <row r="107">
      <c r="A107" s="48">
        <v>0.41458333333333336</v>
      </c>
      <c r="B107" s="61" t="s">
        <v>919</v>
      </c>
      <c r="C107" s="45" t="s">
        <v>421</v>
      </c>
      <c r="D107" s="61" t="s">
        <v>922</v>
      </c>
      <c r="E107" s="11" t="s">
        <v>9</v>
      </c>
    </row>
    <row r="108">
      <c r="A108" s="48">
        <v>0.41458333333333336</v>
      </c>
      <c r="B108" s="61" t="s">
        <v>920</v>
      </c>
      <c r="C108" s="45" t="s">
        <v>158</v>
      </c>
      <c r="D108" s="61" t="s">
        <v>918</v>
      </c>
      <c r="E108" s="11" t="s">
        <v>13</v>
      </c>
    </row>
    <row r="109">
      <c r="A109" s="48">
        <v>0.425</v>
      </c>
      <c r="B109" s="61" t="s">
        <v>919</v>
      </c>
      <c r="C109" s="45" t="s">
        <v>219</v>
      </c>
      <c r="D109" s="61" t="s">
        <v>921</v>
      </c>
      <c r="E109" s="11" t="s">
        <v>9</v>
      </c>
    </row>
    <row r="110">
      <c r="A110" s="48">
        <v>0.425</v>
      </c>
      <c r="B110" s="61" t="s">
        <v>922</v>
      </c>
      <c r="C110" s="45" t="s">
        <v>334</v>
      </c>
      <c r="D110" s="61" t="s">
        <v>918</v>
      </c>
      <c r="E110" s="11" t="s">
        <v>13</v>
      </c>
      <c r="J110" s="50" t="s">
        <v>861</v>
      </c>
    </row>
    <row r="111">
      <c r="A111" s="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61" t="s">
        <v>923</v>
      </c>
      <c r="C113" s="57" t="s">
        <v>545</v>
      </c>
      <c r="D113" s="61" t="s">
        <v>838</v>
      </c>
      <c r="E113" s="11" t="s">
        <v>29</v>
      </c>
    </row>
    <row r="114">
      <c r="A114" s="30">
        <v>0.3333333333333333</v>
      </c>
      <c r="B114" s="61" t="s">
        <v>924</v>
      </c>
      <c r="C114" s="57" t="s">
        <v>20</v>
      </c>
      <c r="D114" s="61" t="s">
        <v>735</v>
      </c>
      <c r="E114" s="11" t="s">
        <v>33</v>
      </c>
    </row>
    <row r="115">
      <c r="A115" s="30">
        <v>0.34305555555555556</v>
      </c>
      <c r="B115" s="61" t="s">
        <v>924</v>
      </c>
      <c r="C115" s="57" t="s">
        <v>16</v>
      </c>
      <c r="D115" s="61" t="s">
        <v>838</v>
      </c>
      <c r="E115" s="11" t="s">
        <v>29</v>
      </c>
    </row>
    <row r="116">
      <c r="A116" s="30">
        <v>0.34305555555555556</v>
      </c>
      <c r="B116" s="61" t="s">
        <v>925</v>
      </c>
      <c r="C116" s="57" t="s">
        <v>18</v>
      </c>
      <c r="D116" s="61" t="s">
        <v>735</v>
      </c>
      <c r="E116" s="11" t="s">
        <v>33</v>
      </c>
    </row>
    <row r="117">
      <c r="A117" s="30">
        <v>0.35347222222222224</v>
      </c>
      <c r="B117" s="61" t="s">
        <v>925</v>
      </c>
      <c r="C117" s="57" t="s">
        <v>218</v>
      </c>
      <c r="D117" s="61" t="s">
        <v>924</v>
      </c>
      <c r="E117" s="11" t="s">
        <v>29</v>
      </c>
    </row>
    <row r="118">
      <c r="A118" s="30">
        <v>0.35347222222222224</v>
      </c>
      <c r="B118" s="61" t="s">
        <v>735</v>
      </c>
      <c r="C118" s="57" t="s">
        <v>163</v>
      </c>
      <c r="D118" s="61" t="s">
        <v>923</v>
      </c>
      <c r="E118" s="11" t="s">
        <v>33</v>
      </c>
    </row>
    <row r="119">
      <c r="A119" s="30">
        <v>0.3638888888888889</v>
      </c>
      <c r="B119" s="61" t="s">
        <v>925</v>
      </c>
      <c r="C119" s="57" t="s">
        <v>183</v>
      </c>
      <c r="D119" s="61" t="s">
        <v>838</v>
      </c>
      <c r="E119" s="11" t="s">
        <v>29</v>
      </c>
    </row>
    <row r="120">
      <c r="A120" s="30">
        <v>0.3638888888888889</v>
      </c>
      <c r="B120" s="61" t="s">
        <v>923</v>
      </c>
      <c r="C120" s="57" t="s">
        <v>155</v>
      </c>
      <c r="D120" s="61" t="s">
        <v>924</v>
      </c>
      <c r="E120" s="11" t="s">
        <v>33</v>
      </c>
    </row>
    <row r="121">
      <c r="A121" s="30">
        <v>0.3736111111111111</v>
      </c>
      <c r="B121" s="61" t="s">
        <v>735</v>
      </c>
      <c r="C121" s="57" t="s">
        <v>158</v>
      </c>
      <c r="D121" s="61" t="s">
        <v>838</v>
      </c>
      <c r="E121" s="11" t="s">
        <v>29</v>
      </c>
    </row>
    <row r="122">
      <c r="A122" s="30">
        <v>0.3736111111111111</v>
      </c>
      <c r="B122" s="61" t="s">
        <v>923</v>
      </c>
      <c r="C122" s="57" t="s">
        <v>464</v>
      </c>
      <c r="D122" s="61" t="s">
        <v>925</v>
      </c>
      <c r="E122" s="11" t="s">
        <v>33</v>
      </c>
    </row>
    <row r="123">
      <c r="A123" s="30">
        <v>0.3840277777777778</v>
      </c>
      <c r="B123" s="61" t="s">
        <v>838</v>
      </c>
      <c r="C123" s="57" t="s">
        <v>177</v>
      </c>
      <c r="D123" s="61" t="s">
        <v>923</v>
      </c>
      <c r="E123" s="11" t="s">
        <v>29</v>
      </c>
    </row>
    <row r="124">
      <c r="A124" s="30">
        <v>0.3840277777777778</v>
      </c>
      <c r="B124" s="61" t="s">
        <v>735</v>
      </c>
      <c r="C124" s="57" t="s">
        <v>162</v>
      </c>
      <c r="D124" s="61" t="s">
        <v>924</v>
      </c>
      <c r="E124" s="11" t="s">
        <v>33</v>
      </c>
    </row>
    <row r="125">
      <c r="A125" s="30">
        <v>0.39444444444444443</v>
      </c>
      <c r="B125" s="61" t="s">
        <v>838</v>
      </c>
      <c r="C125" s="57" t="s">
        <v>181</v>
      </c>
      <c r="D125" s="61" t="s">
        <v>924</v>
      </c>
      <c r="E125" s="11" t="s">
        <v>29</v>
      </c>
    </row>
    <row r="126">
      <c r="A126" s="30">
        <v>0.39444444444444443</v>
      </c>
      <c r="B126" s="61" t="s">
        <v>735</v>
      </c>
      <c r="C126" s="57" t="s">
        <v>36</v>
      </c>
      <c r="D126" s="61" t="s">
        <v>925</v>
      </c>
      <c r="E126" s="11" t="s">
        <v>33</v>
      </c>
    </row>
    <row r="127">
      <c r="A127" s="30">
        <v>0.4041666666666667</v>
      </c>
      <c r="B127" s="61" t="s">
        <v>924</v>
      </c>
      <c r="C127" s="57" t="s">
        <v>209</v>
      </c>
      <c r="D127" s="61" t="s">
        <v>925</v>
      </c>
      <c r="E127" s="11" t="s">
        <v>29</v>
      </c>
    </row>
    <row r="128">
      <c r="A128" s="30">
        <v>0.4041666666666667</v>
      </c>
      <c r="B128" s="61" t="s">
        <v>923</v>
      </c>
      <c r="C128" s="57" t="s">
        <v>19</v>
      </c>
      <c r="D128" s="61" t="s">
        <v>735</v>
      </c>
      <c r="E128" s="11" t="s">
        <v>33</v>
      </c>
    </row>
    <row r="129">
      <c r="A129" s="30">
        <v>0.41458333333333336</v>
      </c>
      <c r="B129" s="61" t="s">
        <v>838</v>
      </c>
      <c r="C129" s="57" t="s">
        <v>219</v>
      </c>
      <c r="D129" s="61" t="s">
        <v>925</v>
      </c>
      <c r="E129" s="11" t="s">
        <v>29</v>
      </c>
    </row>
    <row r="130">
      <c r="A130" s="30">
        <v>0.41458333333333336</v>
      </c>
      <c r="B130" s="61" t="s">
        <v>924</v>
      </c>
      <c r="C130" s="57" t="s">
        <v>196</v>
      </c>
      <c r="D130" s="61" t="s">
        <v>923</v>
      </c>
      <c r="E130" s="11" t="s">
        <v>33</v>
      </c>
    </row>
    <row r="131">
      <c r="A131" s="30">
        <v>0.425</v>
      </c>
      <c r="B131" s="61" t="s">
        <v>838</v>
      </c>
      <c r="C131" s="57" t="s">
        <v>27</v>
      </c>
      <c r="D131" s="61" t="s">
        <v>735</v>
      </c>
      <c r="E131" s="11" t="s">
        <v>29</v>
      </c>
    </row>
    <row r="132">
      <c r="A132" s="30">
        <v>0.425</v>
      </c>
      <c r="B132" s="61" t="s">
        <v>925</v>
      </c>
      <c r="C132" s="57" t="s">
        <v>327</v>
      </c>
      <c r="D132" s="61" t="s">
        <v>923</v>
      </c>
      <c r="E132" s="11" t="s">
        <v>33</v>
      </c>
    </row>
    <row r="133">
      <c r="A133" s="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926</v>
      </c>
      <c r="C135" s="57" t="s">
        <v>545</v>
      </c>
      <c r="D135" s="61" t="s">
        <v>927</v>
      </c>
      <c r="E135" s="11" t="s">
        <v>9</v>
      </c>
    </row>
    <row r="136">
      <c r="A136" s="48">
        <v>0.4375</v>
      </c>
      <c r="B136" s="61" t="s">
        <v>928</v>
      </c>
      <c r="C136" s="57" t="s">
        <v>16</v>
      </c>
      <c r="D136" s="61" t="s">
        <v>929</v>
      </c>
      <c r="E136" s="11" t="s">
        <v>13</v>
      </c>
    </row>
    <row r="137">
      <c r="A137" s="48">
        <v>0.44722222222222224</v>
      </c>
      <c r="B137" s="61" t="s">
        <v>928</v>
      </c>
      <c r="C137" s="57" t="s">
        <v>930</v>
      </c>
      <c r="D137" s="61" t="s">
        <v>927</v>
      </c>
      <c r="E137" s="11" t="s">
        <v>9</v>
      </c>
    </row>
    <row r="138">
      <c r="A138" s="48">
        <v>0.44722222222222224</v>
      </c>
      <c r="B138" s="61" t="s">
        <v>931</v>
      </c>
      <c r="C138" s="57" t="s">
        <v>219</v>
      </c>
      <c r="D138" s="61" t="s">
        <v>929</v>
      </c>
      <c r="E138" s="11" t="s">
        <v>13</v>
      </c>
    </row>
    <row r="139">
      <c r="A139" s="48">
        <v>0.4576388888888889</v>
      </c>
      <c r="B139" s="61" t="s">
        <v>931</v>
      </c>
      <c r="C139" s="57" t="s">
        <v>161</v>
      </c>
      <c r="D139" s="61" t="s">
        <v>928</v>
      </c>
      <c r="E139" s="11" t="s">
        <v>9</v>
      </c>
    </row>
    <row r="140">
      <c r="A140" s="48">
        <v>0.4576388888888889</v>
      </c>
      <c r="B140" s="61" t="s">
        <v>929</v>
      </c>
      <c r="C140" s="57" t="s">
        <v>155</v>
      </c>
      <c r="D140" s="61" t="s">
        <v>926</v>
      </c>
      <c r="E140" s="11" t="s">
        <v>13</v>
      </c>
    </row>
    <row r="141">
      <c r="A141" s="48">
        <v>0.46805555555555556</v>
      </c>
      <c r="B141" s="61" t="s">
        <v>931</v>
      </c>
      <c r="C141" s="57" t="s">
        <v>464</v>
      </c>
      <c r="D141" s="61" t="s">
        <v>927</v>
      </c>
      <c r="E141" s="11" t="s">
        <v>9</v>
      </c>
    </row>
    <row r="142">
      <c r="A142" s="48">
        <v>0.46805555555555556</v>
      </c>
      <c r="B142" s="61" t="s">
        <v>926</v>
      </c>
      <c r="C142" s="57" t="s">
        <v>209</v>
      </c>
      <c r="D142" s="61" t="s">
        <v>928</v>
      </c>
      <c r="E142" s="11" t="s">
        <v>13</v>
      </c>
    </row>
    <row r="143">
      <c r="A143" s="48">
        <v>0.4777777777777778</v>
      </c>
      <c r="B143" s="61" t="s">
        <v>929</v>
      </c>
      <c r="C143" s="57" t="s">
        <v>41</v>
      </c>
      <c r="D143" s="61" t="s">
        <v>927</v>
      </c>
      <c r="E143" s="11" t="s">
        <v>9</v>
      </c>
    </row>
    <row r="144">
      <c r="A144" s="48">
        <v>0.4777777777777778</v>
      </c>
      <c r="B144" s="61" t="s">
        <v>926</v>
      </c>
      <c r="C144" s="57" t="s">
        <v>352</v>
      </c>
      <c r="D144" s="61" t="s">
        <v>931</v>
      </c>
      <c r="E144" s="11" t="s">
        <v>13</v>
      </c>
    </row>
    <row r="145">
      <c r="A145" s="48">
        <v>0.48819444444444443</v>
      </c>
      <c r="B145" s="61" t="s">
        <v>927</v>
      </c>
      <c r="C145" s="57" t="s">
        <v>193</v>
      </c>
      <c r="D145" s="61" t="s">
        <v>926</v>
      </c>
      <c r="E145" s="11" t="s">
        <v>9</v>
      </c>
    </row>
    <row r="146">
      <c r="A146" s="48">
        <v>0.48819444444444443</v>
      </c>
      <c r="B146" s="61" t="s">
        <v>929</v>
      </c>
      <c r="C146" s="57" t="s">
        <v>354</v>
      </c>
      <c r="D146" s="61" t="s">
        <v>928</v>
      </c>
      <c r="E146" s="11" t="s">
        <v>13</v>
      </c>
    </row>
    <row r="147">
      <c r="A147" s="48">
        <v>0.4986111111111111</v>
      </c>
      <c r="B147" s="61" t="s">
        <v>927</v>
      </c>
      <c r="C147" s="45" t="s">
        <v>932</v>
      </c>
      <c r="D147" s="61" t="s">
        <v>928</v>
      </c>
      <c r="E147" s="11" t="s">
        <v>9</v>
      </c>
    </row>
    <row r="148">
      <c r="A148" s="48">
        <v>0.4986111111111111</v>
      </c>
      <c r="B148" s="61" t="s">
        <v>929</v>
      </c>
      <c r="C148" s="45" t="s">
        <v>17</v>
      </c>
      <c r="D148" s="61" t="s">
        <v>931</v>
      </c>
      <c r="E148" s="11" t="s">
        <v>13</v>
      </c>
    </row>
    <row r="149">
      <c r="A149" s="48">
        <v>0.5083333333333333</v>
      </c>
      <c r="B149" s="61" t="s">
        <v>928</v>
      </c>
      <c r="C149" s="45" t="s">
        <v>556</v>
      </c>
      <c r="D149" s="61" t="s">
        <v>931</v>
      </c>
      <c r="E149" s="11" t="s">
        <v>9</v>
      </c>
    </row>
    <row r="150">
      <c r="A150" s="48">
        <v>0.5083333333333333</v>
      </c>
      <c r="B150" s="61" t="s">
        <v>926</v>
      </c>
      <c r="C150" s="45" t="s">
        <v>344</v>
      </c>
      <c r="D150" s="61" t="s">
        <v>929</v>
      </c>
      <c r="E150" s="11" t="s">
        <v>13</v>
      </c>
    </row>
    <row r="151">
      <c r="A151" s="48">
        <v>0.51875</v>
      </c>
      <c r="B151" s="61" t="s">
        <v>927</v>
      </c>
      <c r="C151" s="45" t="s">
        <v>165</v>
      </c>
      <c r="D151" s="61" t="s">
        <v>931</v>
      </c>
      <c r="E151" s="11" t="s">
        <v>9</v>
      </c>
    </row>
    <row r="152">
      <c r="A152" s="48">
        <v>0.51875</v>
      </c>
      <c r="B152" s="61" t="s">
        <v>928</v>
      </c>
      <c r="C152" s="45" t="s">
        <v>18</v>
      </c>
      <c r="D152" s="61" t="s">
        <v>926</v>
      </c>
      <c r="E152" s="11" t="s">
        <v>13</v>
      </c>
    </row>
    <row r="153">
      <c r="A153" s="48">
        <v>0.5291666666666667</v>
      </c>
      <c r="B153" s="61" t="s">
        <v>927</v>
      </c>
      <c r="C153" s="45" t="s">
        <v>36</v>
      </c>
      <c r="D153" s="61" t="s">
        <v>929</v>
      </c>
      <c r="E153" s="11" t="s">
        <v>9</v>
      </c>
    </row>
    <row r="154">
      <c r="A154" s="48">
        <v>0.5291666666666667</v>
      </c>
      <c r="B154" s="61" t="s">
        <v>931</v>
      </c>
      <c r="C154" s="45" t="s">
        <v>155</v>
      </c>
      <c r="D154" s="61" t="s">
        <v>926</v>
      </c>
      <c r="E154" s="11" t="s">
        <v>13</v>
      </c>
    </row>
    <row r="155">
      <c r="A155" s="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933</v>
      </c>
      <c r="C157" s="57" t="s">
        <v>251</v>
      </c>
      <c r="D157" s="61" t="s">
        <v>934</v>
      </c>
      <c r="E157" s="11" t="s">
        <v>29</v>
      </c>
    </row>
    <row r="158">
      <c r="A158" s="48">
        <v>0.4375</v>
      </c>
      <c r="B158" s="61" t="s">
        <v>935</v>
      </c>
      <c r="C158" s="57" t="s">
        <v>357</v>
      </c>
      <c r="D158" s="61" t="s">
        <v>854</v>
      </c>
      <c r="E158" s="11" t="s">
        <v>33</v>
      </c>
    </row>
    <row r="159">
      <c r="A159" s="48">
        <v>0.44722222222222224</v>
      </c>
      <c r="B159" s="61" t="s">
        <v>935</v>
      </c>
      <c r="C159" s="57" t="s">
        <v>210</v>
      </c>
      <c r="D159" s="61" t="s">
        <v>934</v>
      </c>
      <c r="E159" s="11" t="s">
        <v>29</v>
      </c>
    </row>
    <row r="160">
      <c r="A160" s="48">
        <v>0.44722222222222224</v>
      </c>
      <c r="B160" s="61" t="s">
        <v>850</v>
      </c>
      <c r="C160" s="54" t="s">
        <v>185</v>
      </c>
      <c r="D160" s="61" t="s">
        <v>854</v>
      </c>
      <c r="E160" s="11" t="s">
        <v>33</v>
      </c>
    </row>
    <row r="161">
      <c r="A161" s="48">
        <v>0.4576388888888889</v>
      </c>
      <c r="B161" s="61" t="s">
        <v>850</v>
      </c>
      <c r="C161" s="57" t="s">
        <v>193</v>
      </c>
      <c r="D161" s="61" t="s">
        <v>935</v>
      </c>
      <c r="E161" s="11" t="s">
        <v>29</v>
      </c>
    </row>
    <row r="162">
      <c r="A162" s="48">
        <v>0.4576388888888889</v>
      </c>
      <c r="B162" s="61" t="s">
        <v>854</v>
      </c>
      <c r="C162" s="57" t="s">
        <v>17</v>
      </c>
      <c r="D162" s="61" t="s">
        <v>933</v>
      </c>
      <c r="E162" s="11" t="s">
        <v>33</v>
      </c>
    </row>
    <row r="163">
      <c r="A163" s="48">
        <v>0.46805555555555556</v>
      </c>
      <c r="B163" s="61" t="s">
        <v>850</v>
      </c>
      <c r="C163" s="57" t="s">
        <v>165</v>
      </c>
      <c r="D163" s="61" t="s">
        <v>934</v>
      </c>
      <c r="E163" s="11" t="s">
        <v>29</v>
      </c>
    </row>
    <row r="164">
      <c r="A164" s="48">
        <v>0.46805555555555556</v>
      </c>
      <c r="B164" s="61" t="s">
        <v>933</v>
      </c>
      <c r="C164" s="57" t="s">
        <v>155</v>
      </c>
      <c r="D164" s="70" t="s">
        <v>935</v>
      </c>
      <c r="E164" s="11" t="s">
        <v>33</v>
      </c>
    </row>
    <row r="165">
      <c r="A165" s="48">
        <v>0.4777777777777778</v>
      </c>
      <c r="B165" s="61" t="s">
        <v>854</v>
      </c>
      <c r="C165" s="57" t="s">
        <v>620</v>
      </c>
      <c r="D165" s="61" t="s">
        <v>934</v>
      </c>
      <c r="E165" s="11" t="s">
        <v>29</v>
      </c>
    </row>
    <row r="166">
      <c r="A166" s="48">
        <v>0.4777777777777778</v>
      </c>
      <c r="B166" s="61" t="s">
        <v>933</v>
      </c>
      <c r="C166" s="57" t="s">
        <v>43</v>
      </c>
      <c r="D166" s="61" t="s">
        <v>850</v>
      </c>
      <c r="E166" s="11" t="s">
        <v>33</v>
      </c>
    </row>
    <row r="167">
      <c r="A167" s="48">
        <v>0.48819444444444443</v>
      </c>
      <c r="B167" s="61" t="s">
        <v>934</v>
      </c>
      <c r="C167" s="57" t="s">
        <v>327</v>
      </c>
      <c r="D167" s="61" t="s">
        <v>933</v>
      </c>
      <c r="E167" s="11" t="s">
        <v>29</v>
      </c>
    </row>
    <row r="168">
      <c r="A168" s="48">
        <v>0.48819444444444443</v>
      </c>
      <c r="B168" s="61" t="s">
        <v>854</v>
      </c>
      <c r="C168" s="57" t="s">
        <v>289</v>
      </c>
      <c r="D168" s="61" t="s">
        <v>935</v>
      </c>
      <c r="E168" s="11" t="s">
        <v>33</v>
      </c>
    </row>
    <row r="169">
      <c r="A169" s="48">
        <v>0.4986111111111111</v>
      </c>
      <c r="B169" s="61" t="s">
        <v>934</v>
      </c>
      <c r="C169" s="57" t="s">
        <v>155</v>
      </c>
      <c r="D169" s="61" t="s">
        <v>935</v>
      </c>
      <c r="E169" s="11" t="s">
        <v>29</v>
      </c>
    </row>
    <row r="170">
      <c r="A170" s="48">
        <v>0.4986111111111111</v>
      </c>
      <c r="B170" s="61" t="s">
        <v>854</v>
      </c>
      <c r="C170" s="57" t="s">
        <v>443</v>
      </c>
      <c r="D170" s="61" t="s">
        <v>850</v>
      </c>
      <c r="E170" s="11" t="s">
        <v>33</v>
      </c>
    </row>
    <row r="171">
      <c r="A171" s="48">
        <v>0.5083333333333333</v>
      </c>
      <c r="B171" s="61" t="s">
        <v>935</v>
      </c>
      <c r="C171" s="57" t="s">
        <v>292</v>
      </c>
      <c r="D171" s="61" t="s">
        <v>850</v>
      </c>
      <c r="E171" s="11" t="s">
        <v>29</v>
      </c>
    </row>
    <row r="172">
      <c r="A172" s="48">
        <v>0.5083333333333333</v>
      </c>
      <c r="B172" s="61" t="s">
        <v>933</v>
      </c>
      <c r="C172" s="57" t="s">
        <v>380</v>
      </c>
      <c r="D172" s="61" t="s">
        <v>854</v>
      </c>
      <c r="E172" s="11" t="s">
        <v>33</v>
      </c>
    </row>
    <row r="173">
      <c r="A173" s="48">
        <v>0.51875</v>
      </c>
      <c r="B173" s="61" t="s">
        <v>934</v>
      </c>
      <c r="C173" s="57" t="s">
        <v>162</v>
      </c>
      <c r="D173" s="61" t="s">
        <v>850</v>
      </c>
      <c r="E173" s="11" t="s">
        <v>29</v>
      </c>
    </row>
    <row r="174">
      <c r="A174" s="48">
        <v>0.51875</v>
      </c>
      <c r="B174" s="61" t="s">
        <v>935</v>
      </c>
      <c r="C174" s="57" t="s">
        <v>936</v>
      </c>
      <c r="D174" s="61" t="s">
        <v>933</v>
      </c>
      <c r="E174" s="11" t="s">
        <v>33</v>
      </c>
    </row>
    <row r="175">
      <c r="A175" s="48">
        <v>0.5291666666666667</v>
      </c>
      <c r="B175" s="61" t="s">
        <v>934</v>
      </c>
      <c r="C175" s="57" t="s">
        <v>19</v>
      </c>
      <c r="D175" s="61" t="s">
        <v>854</v>
      </c>
      <c r="E175" s="11" t="s">
        <v>29</v>
      </c>
    </row>
    <row r="176">
      <c r="A176" s="48">
        <v>0.5291666666666667</v>
      </c>
      <c r="B176" s="61" t="s">
        <v>850</v>
      </c>
      <c r="C176" s="57" t="s">
        <v>250</v>
      </c>
      <c r="D176" s="61" t="s">
        <v>933</v>
      </c>
      <c r="E176" s="11" t="s">
        <v>33</v>
      </c>
    </row>
    <row r="177">
      <c r="A177" s="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833</v>
      </c>
      <c r="C179" s="45" t="s">
        <v>292</v>
      </c>
      <c r="D179" s="61" t="s">
        <v>937</v>
      </c>
      <c r="E179" s="11" t="s">
        <v>9</v>
      </c>
    </row>
    <row r="180">
      <c r="A180" s="48">
        <v>0.5416666666666666</v>
      </c>
      <c r="B180" s="61" t="s">
        <v>938</v>
      </c>
      <c r="C180" s="45" t="s">
        <v>198</v>
      </c>
      <c r="D180" s="61" t="s">
        <v>939</v>
      </c>
      <c r="E180" s="11" t="s">
        <v>13</v>
      </c>
    </row>
    <row r="181">
      <c r="A181" s="48">
        <v>0.5513888888888889</v>
      </c>
      <c r="B181" s="61" t="s">
        <v>938</v>
      </c>
      <c r="C181" s="45" t="s">
        <v>940</v>
      </c>
      <c r="D181" s="61" t="s">
        <v>937</v>
      </c>
      <c r="E181" s="11" t="s">
        <v>9</v>
      </c>
    </row>
    <row r="182">
      <c r="A182" s="48">
        <v>0.5513888888888889</v>
      </c>
      <c r="B182" s="61" t="s">
        <v>752</v>
      </c>
      <c r="C182" s="45" t="s">
        <v>342</v>
      </c>
      <c r="D182" s="61" t="s">
        <v>939</v>
      </c>
      <c r="E182" s="11" t="s">
        <v>13</v>
      </c>
    </row>
    <row r="183">
      <c r="A183" s="48">
        <v>0.5618055555555556</v>
      </c>
      <c r="B183" s="61" t="s">
        <v>752</v>
      </c>
      <c r="C183" s="45" t="s">
        <v>267</v>
      </c>
      <c r="D183" s="61" t="s">
        <v>938</v>
      </c>
      <c r="E183" s="11" t="s">
        <v>9</v>
      </c>
    </row>
    <row r="184">
      <c r="A184" s="48">
        <v>0.5618055555555556</v>
      </c>
      <c r="B184" s="61" t="s">
        <v>939</v>
      </c>
      <c r="C184" s="45" t="s">
        <v>219</v>
      </c>
      <c r="D184" s="61" t="s">
        <v>833</v>
      </c>
      <c r="E184" s="11" t="s">
        <v>13</v>
      </c>
    </row>
    <row r="185">
      <c r="A185" s="48">
        <v>0.5722222222222222</v>
      </c>
      <c r="B185" s="61" t="s">
        <v>752</v>
      </c>
      <c r="C185" s="45" t="s">
        <v>334</v>
      </c>
      <c r="D185" s="61" t="s">
        <v>937</v>
      </c>
      <c r="E185" s="11" t="s">
        <v>9</v>
      </c>
    </row>
    <row r="186">
      <c r="A186" s="48">
        <v>0.5722222222222222</v>
      </c>
      <c r="B186" s="61" t="s">
        <v>833</v>
      </c>
      <c r="C186" s="45" t="s">
        <v>227</v>
      </c>
      <c r="D186" s="61" t="s">
        <v>938</v>
      </c>
      <c r="E186" s="11" t="s">
        <v>13</v>
      </c>
    </row>
    <row r="187">
      <c r="A187" s="48">
        <v>0.5819444444444445</v>
      </c>
      <c r="B187" s="61" t="s">
        <v>939</v>
      </c>
      <c r="C187" s="45" t="s">
        <v>164</v>
      </c>
      <c r="D187" s="61" t="s">
        <v>937</v>
      </c>
      <c r="E187" s="11" t="s">
        <v>9</v>
      </c>
    </row>
    <row r="188">
      <c r="A188" s="48">
        <v>0.5819444444444445</v>
      </c>
      <c r="B188" s="61" t="s">
        <v>833</v>
      </c>
      <c r="C188" s="45" t="s">
        <v>231</v>
      </c>
      <c r="D188" s="61" t="s">
        <v>752</v>
      </c>
      <c r="E188" s="11" t="s">
        <v>13</v>
      </c>
    </row>
    <row r="189">
      <c r="A189" s="48">
        <v>0.5923611111111111</v>
      </c>
      <c r="B189" s="61" t="s">
        <v>937</v>
      </c>
      <c r="C189" s="45" t="s">
        <v>43</v>
      </c>
      <c r="D189" s="61" t="s">
        <v>833</v>
      </c>
      <c r="E189" s="11" t="s">
        <v>9</v>
      </c>
    </row>
    <row r="190">
      <c r="A190" s="48">
        <v>0.5923611111111111</v>
      </c>
      <c r="B190" s="61" t="s">
        <v>939</v>
      </c>
      <c r="C190" s="45" t="s">
        <v>289</v>
      </c>
      <c r="D190" s="61" t="s">
        <v>938</v>
      </c>
      <c r="E190" s="11" t="s">
        <v>13</v>
      </c>
    </row>
    <row r="191">
      <c r="A191" s="48">
        <v>0.6027777777777777</v>
      </c>
      <c r="B191" s="61" t="s">
        <v>937</v>
      </c>
      <c r="C191" s="45" t="s">
        <v>38</v>
      </c>
      <c r="D191" s="61" t="s">
        <v>938</v>
      </c>
      <c r="E191" s="11" t="s">
        <v>9</v>
      </c>
    </row>
    <row r="192">
      <c r="A192" s="48">
        <v>0.6027777777777777</v>
      </c>
      <c r="B192" s="61" t="s">
        <v>939</v>
      </c>
      <c r="C192" s="45" t="s">
        <v>250</v>
      </c>
      <c r="D192" s="61" t="s">
        <v>752</v>
      </c>
      <c r="E192" s="11" t="s">
        <v>13</v>
      </c>
    </row>
    <row r="193">
      <c r="A193" s="48">
        <v>0.6125</v>
      </c>
      <c r="B193" s="61" t="s">
        <v>938</v>
      </c>
      <c r="C193" s="45" t="s">
        <v>44</v>
      </c>
      <c r="D193" s="61" t="s">
        <v>752</v>
      </c>
      <c r="E193" s="11" t="s">
        <v>9</v>
      </c>
    </row>
    <row r="194">
      <c r="A194" s="48">
        <v>0.6125</v>
      </c>
      <c r="B194" s="61" t="s">
        <v>833</v>
      </c>
      <c r="C194" s="45" t="s">
        <v>185</v>
      </c>
      <c r="D194" s="61" t="s">
        <v>939</v>
      </c>
      <c r="E194" s="11" t="s">
        <v>13</v>
      </c>
    </row>
    <row r="195">
      <c r="A195" s="48">
        <v>0.6229166666666667</v>
      </c>
      <c r="B195" s="61" t="s">
        <v>937</v>
      </c>
      <c r="C195" s="45" t="s">
        <v>640</v>
      </c>
      <c r="D195" s="61" t="s">
        <v>752</v>
      </c>
      <c r="E195" s="11" t="s">
        <v>9</v>
      </c>
    </row>
    <row r="196">
      <c r="A196" s="48">
        <v>0.6229166666666667</v>
      </c>
      <c r="B196" s="61" t="s">
        <v>938</v>
      </c>
      <c r="C196" s="45" t="s">
        <v>264</v>
      </c>
      <c r="D196" s="61" t="s">
        <v>833</v>
      </c>
      <c r="E196" s="11" t="s">
        <v>13</v>
      </c>
    </row>
    <row r="197">
      <c r="A197" s="48">
        <v>0.6333333333333333</v>
      </c>
      <c r="B197" s="61" t="s">
        <v>937</v>
      </c>
      <c r="C197" s="45" t="s">
        <v>325</v>
      </c>
      <c r="D197" s="61" t="s">
        <v>939</v>
      </c>
      <c r="E197" s="11" t="s">
        <v>9</v>
      </c>
    </row>
    <row r="198">
      <c r="A198" s="48">
        <v>0.6333333333333333</v>
      </c>
      <c r="B198" s="61" t="s">
        <v>752</v>
      </c>
      <c r="C198" s="45" t="s">
        <v>289</v>
      </c>
      <c r="D198" s="61" t="s">
        <v>833</v>
      </c>
      <c r="E198" s="11" t="s">
        <v>13</v>
      </c>
    </row>
    <row r="199">
      <c r="A199" s="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941</v>
      </c>
      <c r="C201" s="57" t="s">
        <v>248</v>
      </c>
      <c r="D201" s="61" t="s">
        <v>942</v>
      </c>
      <c r="E201" s="11" t="s">
        <v>29</v>
      </c>
    </row>
    <row r="202">
      <c r="A202" s="48">
        <v>0.5416666666666666</v>
      </c>
      <c r="B202" s="61" t="s">
        <v>866</v>
      </c>
      <c r="C202" s="57" t="s">
        <v>220</v>
      </c>
      <c r="D202" s="61" t="s">
        <v>943</v>
      </c>
      <c r="E202" s="11" t="s">
        <v>33</v>
      </c>
    </row>
    <row r="203">
      <c r="A203" s="48">
        <v>0.5513888888888889</v>
      </c>
      <c r="B203" s="61" t="s">
        <v>866</v>
      </c>
      <c r="C203" s="57" t="s">
        <v>7</v>
      </c>
      <c r="D203" s="61" t="s">
        <v>942</v>
      </c>
      <c r="E203" s="11" t="s">
        <v>29</v>
      </c>
    </row>
    <row r="204">
      <c r="A204" s="48">
        <v>0.5513888888888889</v>
      </c>
      <c r="B204" s="61" t="s">
        <v>944</v>
      </c>
      <c r="C204" s="57" t="s">
        <v>20</v>
      </c>
      <c r="D204" s="61" t="s">
        <v>943</v>
      </c>
      <c r="E204" s="11" t="s">
        <v>33</v>
      </c>
    </row>
    <row r="205">
      <c r="A205" s="48">
        <v>0.5618055555555556</v>
      </c>
      <c r="B205" s="61" t="s">
        <v>944</v>
      </c>
      <c r="C205" s="57" t="s">
        <v>24</v>
      </c>
      <c r="D205" s="61" t="s">
        <v>866</v>
      </c>
      <c r="E205" s="11" t="s">
        <v>29</v>
      </c>
    </row>
    <row r="206">
      <c r="A206" s="48">
        <v>0.5618055555555556</v>
      </c>
      <c r="B206" s="61" t="s">
        <v>943</v>
      </c>
      <c r="C206" s="57" t="s">
        <v>166</v>
      </c>
      <c r="D206" s="61" t="s">
        <v>941</v>
      </c>
      <c r="E206" s="11" t="s">
        <v>33</v>
      </c>
    </row>
    <row r="207">
      <c r="A207" s="48">
        <v>0.5722222222222222</v>
      </c>
      <c r="B207" s="61" t="s">
        <v>944</v>
      </c>
      <c r="C207" s="57" t="s">
        <v>290</v>
      </c>
      <c r="D207" s="61" t="s">
        <v>942</v>
      </c>
      <c r="E207" s="11" t="s">
        <v>29</v>
      </c>
    </row>
    <row r="208">
      <c r="A208" s="48">
        <v>0.5722222222222222</v>
      </c>
      <c r="B208" s="61" t="s">
        <v>941</v>
      </c>
      <c r="C208" s="57" t="s">
        <v>31</v>
      </c>
      <c r="D208" s="61" t="s">
        <v>866</v>
      </c>
      <c r="E208" s="11" t="s">
        <v>33</v>
      </c>
    </row>
    <row r="209">
      <c r="A209" s="48">
        <v>0.5819444444444445</v>
      </c>
      <c r="B209" s="61" t="s">
        <v>943</v>
      </c>
      <c r="C209" s="57" t="s">
        <v>945</v>
      </c>
      <c r="D209" s="61" t="s">
        <v>942</v>
      </c>
      <c r="E209" s="11" t="s">
        <v>29</v>
      </c>
    </row>
    <row r="210">
      <c r="A210" s="48">
        <v>0.5819444444444445</v>
      </c>
      <c r="B210" s="61" t="s">
        <v>941</v>
      </c>
      <c r="C210" s="57" t="s">
        <v>171</v>
      </c>
      <c r="D210" s="61" t="s">
        <v>944</v>
      </c>
      <c r="E210" s="11" t="s">
        <v>33</v>
      </c>
    </row>
    <row r="211">
      <c r="A211" s="48">
        <v>0.5923611111111111</v>
      </c>
      <c r="B211" s="61" t="s">
        <v>942</v>
      </c>
      <c r="C211" s="57" t="s">
        <v>44</v>
      </c>
      <c r="D211" s="61" t="s">
        <v>941</v>
      </c>
      <c r="E211" s="11" t="s">
        <v>29</v>
      </c>
    </row>
    <row r="212">
      <c r="A212" s="48">
        <v>0.5923611111111111</v>
      </c>
      <c r="B212" s="61" t="s">
        <v>943</v>
      </c>
      <c r="C212" s="57" t="s">
        <v>158</v>
      </c>
      <c r="D212" s="61" t="s">
        <v>866</v>
      </c>
      <c r="E212" s="11" t="s">
        <v>33</v>
      </c>
    </row>
    <row r="213">
      <c r="A213" s="48">
        <v>0.6027777777777777</v>
      </c>
      <c r="B213" s="61" t="s">
        <v>942</v>
      </c>
      <c r="C213" s="57" t="s">
        <v>194</v>
      </c>
      <c r="D213" s="61" t="s">
        <v>866</v>
      </c>
      <c r="E213" s="11" t="s">
        <v>29</v>
      </c>
    </row>
    <row r="214">
      <c r="A214" s="48">
        <v>0.6027777777777777</v>
      </c>
      <c r="B214" s="61" t="s">
        <v>943</v>
      </c>
      <c r="C214" s="57" t="s">
        <v>250</v>
      </c>
      <c r="D214" s="61" t="s">
        <v>944</v>
      </c>
      <c r="E214" s="11" t="s">
        <v>33</v>
      </c>
    </row>
    <row r="215">
      <c r="A215" s="48">
        <v>0.6125</v>
      </c>
      <c r="B215" s="61" t="s">
        <v>866</v>
      </c>
      <c r="C215" s="57" t="s">
        <v>155</v>
      </c>
      <c r="D215" s="61" t="s">
        <v>944</v>
      </c>
      <c r="E215" s="11" t="s">
        <v>29</v>
      </c>
    </row>
    <row r="216">
      <c r="A216" s="48">
        <v>0.6125</v>
      </c>
      <c r="B216" s="61" t="s">
        <v>941</v>
      </c>
      <c r="C216" s="57" t="s">
        <v>182</v>
      </c>
      <c r="D216" s="61" t="s">
        <v>943</v>
      </c>
      <c r="E216" s="11" t="s">
        <v>33</v>
      </c>
    </row>
    <row r="217">
      <c r="A217" s="48">
        <v>0.6229166666666667</v>
      </c>
      <c r="B217" s="61" t="s">
        <v>942</v>
      </c>
      <c r="C217" s="57" t="s">
        <v>279</v>
      </c>
      <c r="D217" s="61" t="s">
        <v>944</v>
      </c>
      <c r="E217" s="11" t="s">
        <v>29</v>
      </c>
    </row>
    <row r="218">
      <c r="A218" s="48">
        <v>0.6229166666666667</v>
      </c>
      <c r="B218" s="61" t="s">
        <v>866</v>
      </c>
      <c r="C218" s="57" t="s">
        <v>946</v>
      </c>
      <c r="D218" s="61" t="s">
        <v>941</v>
      </c>
      <c r="E218" s="11" t="s">
        <v>33</v>
      </c>
    </row>
    <row r="219">
      <c r="A219" s="48">
        <v>0.6333333333333333</v>
      </c>
      <c r="B219" s="61" t="s">
        <v>942</v>
      </c>
      <c r="C219" s="57" t="s">
        <v>303</v>
      </c>
      <c r="D219" s="61" t="s">
        <v>943</v>
      </c>
      <c r="E219" s="11" t="s">
        <v>29</v>
      </c>
    </row>
    <row r="220">
      <c r="A220" s="48">
        <v>0.6333333333333333</v>
      </c>
      <c r="B220" s="61" t="s">
        <v>944</v>
      </c>
      <c r="C220" s="57" t="s">
        <v>233</v>
      </c>
      <c r="D220" s="61" t="s">
        <v>941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947</v>
      </c>
      <c r="C223" s="57" t="s">
        <v>220</v>
      </c>
      <c r="D223" s="62" t="s">
        <v>767</v>
      </c>
      <c r="E223" s="11" t="s">
        <v>9</v>
      </c>
    </row>
    <row r="224">
      <c r="A224" s="48">
        <v>0.6458333333333334</v>
      </c>
      <c r="B224" s="62" t="s">
        <v>655</v>
      </c>
      <c r="C224" s="57" t="s">
        <v>219</v>
      </c>
      <c r="D224" s="62" t="s">
        <v>948</v>
      </c>
      <c r="E224" s="11" t="s">
        <v>13</v>
      </c>
    </row>
    <row r="225">
      <c r="A225" s="48">
        <v>0.6555555555555556</v>
      </c>
      <c r="B225" s="62" t="s">
        <v>655</v>
      </c>
      <c r="C225" s="57" t="s">
        <v>16</v>
      </c>
      <c r="D225" s="62" t="s">
        <v>767</v>
      </c>
      <c r="E225" s="11" t="s">
        <v>9</v>
      </c>
    </row>
    <row r="226">
      <c r="A226" s="48">
        <v>0.6555555555555556</v>
      </c>
      <c r="B226" s="62" t="s">
        <v>949</v>
      </c>
      <c r="C226" s="57" t="s">
        <v>17</v>
      </c>
      <c r="D226" s="62" t="s">
        <v>948</v>
      </c>
      <c r="E226" s="11" t="s">
        <v>13</v>
      </c>
    </row>
    <row r="227">
      <c r="A227" s="48">
        <v>0.6659722222222222</v>
      </c>
      <c r="B227" s="62" t="s">
        <v>949</v>
      </c>
      <c r="C227" s="57" t="s">
        <v>220</v>
      </c>
      <c r="D227" s="62" t="s">
        <v>655</v>
      </c>
      <c r="E227" s="11" t="s">
        <v>9</v>
      </c>
    </row>
    <row r="228">
      <c r="A228" s="48">
        <v>0.6659722222222222</v>
      </c>
      <c r="B228" s="62" t="s">
        <v>948</v>
      </c>
      <c r="C228" s="57" t="s">
        <v>7</v>
      </c>
      <c r="D228" s="62" t="s">
        <v>947</v>
      </c>
      <c r="E228" s="11" t="s">
        <v>13</v>
      </c>
    </row>
    <row r="229">
      <c r="A229" s="48">
        <v>0.6763888888888889</v>
      </c>
      <c r="B229" s="62" t="s">
        <v>949</v>
      </c>
      <c r="C229" s="57" t="s">
        <v>326</v>
      </c>
      <c r="D229" s="62" t="s">
        <v>767</v>
      </c>
      <c r="E229" s="11" t="s">
        <v>9</v>
      </c>
    </row>
    <row r="230">
      <c r="A230" s="48">
        <v>0.6763888888888889</v>
      </c>
      <c r="B230" s="62" t="s">
        <v>947</v>
      </c>
      <c r="C230" s="57" t="s">
        <v>507</v>
      </c>
      <c r="D230" s="62" t="s">
        <v>655</v>
      </c>
      <c r="E230" s="11" t="s">
        <v>13</v>
      </c>
    </row>
    <row r="231">
      <c r="A231" s="48">
        <v>0.6861111111111111</v>
      </c>
      <c r="B231" s="62" t="s">
        <v>948</v>
      </c>
      <c r="C231" s="57" t="s">
        <v>43</v>
      </c>
      <c r="D231" s="62" t="s">
        <v>767</v>
      </c>
      <c r="E231" s="11" t="s">
        <v>9</v>
      </c>
    </row>
    <row r="232">
      <c r="A232" s="48">
        <v>0.6861111111111111</v>
      </c>
      <c r="B232" s="62" t="s">
        <v>947</v>
      </c>
      <c r="C232" s="57" t="s">
        <v>158</v>
      </c>
      <c r="D232" s="62" t="s">
        <v>949</v>
      </c>
      <c r="E232" s="11" t="s">
        <v>13</v>
      </c>
    </row>
    <row r="233">
      <c r="A233" s="48">
        <v>0.6965277777777777</v>
      </c>
      <c r="B233" s="62" t="s">
        <v>767</v>
      </c>
      <c r="C233" s="57" t="s">
        <v>24</v>
      </c>
      <c r="D233" s="62" t="s">
        <v>947</v>
      </c>
      <c r="E233" s="11" t="s">
        <v>9</v>
      </c>
    </row>
    <row r="234">
      <c r="A234" s="48">
        <v>0.6965277777777777</v>
      </c>
      <c r="B234" s="62" t="s">
        <v>948</v>
      </c>
      <c r="C234" s="57" t="s">
        <v>418</v>
      </c>
      <c r="D234" s="62" t="s">
        <v>655</v>
      </c>
      <c r="E234" s="11" t="s">
        <v>13</v>
      </c>
    </row>
    <row r="235">
      <c r="A235" s="48">
        <v>0.7069444444444445</v>
      </c>
      <c r="B235" s="62" t="s">
        <v>767</v>
      </c>
      <c r="C235" s="45" t="s">
        <v>222</v>
      </c>
      <c r="D235" s="62" t="s">
        <v>655</v>
      </c>
      <c r="E235" s="11" t="s">
        <v>9</v>
      </c>
    </row>
    <row r="236">
      <c r="A236" s="48">
        <v>0.7069444444444445</v>
      </c>
      <c r="B236" s="62" t="s">
        <v>948</v>
      </c>
      <c r="C236" s="45" t="s">
        <v>289</v>
      </c>
      <c r="D236" s="62" t="s">
        <v>949</v>
      </c>
      <c r="E236" s="11" t="s">
        <v>13</v>
      </c>
    </row>
    <row r="237">
      <c r="A237" s="48">
        <v>0.7166666666666667</v>
      </c>
      <c r="B237" s="62" t="s">
        <v>655</v>
      </c>
      <c r="C237" s="45" t="s">
        <v>171</v>
      </c>
      <c r="D237" s="62" t="s">
        <v>949</v>
      </c>
      <c r="E237" s="11" t="s">
        <v>9</v>
      </c>
    </row>
    <row r="238">
      <c r="A238" s="48">
        <v>0.7166666666666667</v>
      </c>
      <c r="B238" s="62" t="s">
        <v>947</v>
      </c>
      <c r="C238" s="45" t="s">
        <v>354</v>
      </c>
      <c r="D238" s="62" t="s">
        <v>948</v>
      </c>
      <c r="E238" s="11" t="s">
        <v>13</v>
      </c>
    </row>
    <row r="239">
      <c r="A239" s="48">
        <v>0.7270833333333333</v>
      </c>
      <c r="B239" s="62" t="s">
        <v>767</v>
      </c>
      <c r="C239" s="45" t="s">
        <v>244</v>
      </c>
      <c r="D239" s="62" t="s">
        <v>949</v>
      </c>
      <c r="E239" s="11" t="s">
        <v>9</v>
      </c>
    </row>
    <row r="240">
      <c r="A240" s="48">
        <v>0.7270833333333333</v>
      </c>
      <c r="B240" s="62" t="s">
        <v>655</v>
      </c>
      <c r="C240" s="45" t="s">
        <v>185</v>
      </c>
      <c r="D240" s="62" t="s">
        <v>947</v>
      </c>
      <c r="E240" s="11" t="s">
        <v>13</v>
      </c>
    </row>
    <row r="241">
      <c r="A241" s="48">
        <v>0.7375</v>
      </c>
      <c r="B241" s="62" t="s">
        <v>767</v>
      </c>
      <c r="C241" s="45" t="s">
        <v>344</v>
      </c>
      <c r="D241" s="62" t="s">
        <v>948</v>
      </c>
      <c r="E241" s="11" t="s">
        <v>9</v>
      </c>
    </row>
    <row r="242">
      <c r="A242" s="48">
        <v>0.7375</v>
      </c>
      <c r="B242" s="62" t="s">
        <v>949</v>
      </c>
      <c r="C242" s="45" t="s">
        <v>14</v>
      </c>
      <c r="D242" s="62" t="s">
        <v>947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950</v>
      </c>
      <c r="C245" s="57" t="s">
        <v>856</v>
      </c>
      <c r="D245" s="62" t="s">
        <v>951</v>
      </c>
      <c r="E245" s="11" t="s">
        <v>29</v>
      </c>
    </row>
    <row r="246">
      <c r="A246" s="48">
        <v>0.6458333333333334</v>
      </c>
      <c r="B246" s="62" t="s">
        <v>952</v>
      </c>
      <c r="C246" s="57" t="s">
        <v>953</v>
      </c>
      <c r="D246" s="62" t="s">
        <v>954</v>
      </c>
      <c r="E246" s="11" t="s">
        <v>33</v>
      </c>
    </row>
    <row r="247">
      <c r="A247" s="48">
        <v>0.6555555555555556</v>
      </c>
      <c r="B247" s="62" t="s">
        <v>952</v>
      </c>
      <c r="C247" s="57" t="s">
        <v>955</v>
      </c>
      <c r="D247" s="62" t="s">
        <v>951</v>
      </c>
      <c r="E247" s="11" t="s">
        <v>29</v>
      </c>
    </row>
    <row r="248">
      <c r="A248" s="48">
        <v>0.6555555555555556</v>
      </c>
      <c r="B248" s="62" t="s">
        <v>956</v>
      </c>
      <c r="C248" s="57" t="s">
        <v>957</v>
      </c>
      <c r="D248" s="62" t="s">
        <v>954</v>
      </c>
      <c r="E248" s="11" t="s">
        <v>33</v>
      </c>
    </row>
    <row r="249">
      <c r="A249" s="48">
        <v>0.6659722222222222</v>
      </c>
      <c r="B249" s="62" t="s">
        <v>956</v>
      </c>
      <c r="C249" s="57" t="s">
        <v>14</v>
      </c>
      <c r="D249" s="62" t="s">
        <v>952</v>
      </c>
      <c r="E249" s="11" t="s">
        <v>29</v>
      </c>
    </row>
    <row r="250">
      <c r="A250" s="48">
        <v>0.6659722222222222</v>
      </c>
      <c r="B250" s="62" t="s">
        <v>954</v>
      </c>
      <c r="C250" s="57" t="s">
        <v>18</v>
      </c>
      <c r="D250" s="62" t="s">
        <v>950</v>
      </c>
      <c r="E250" s="11" t="s">
        <v>33</v>
      </c>
    </row>
    <row r="251">
      <c r="A251" s="48">
        <v>0.6763888888888889</v>
      </c>
      <c r="B251" s="62" t="s">
        <v>956</v>
      </c>
      <c r="C251" s="57" t="s">
        <v>36</v>
      </c>
      <c r="D251" s="62" t="s">
        <v>951</v>
      </c>
      <c r="E251" s="11" t="s">
        <v>29</v>
      </c>
    </row>
    <row r="252">
      <c r="A252" s="48">
        <v>0.6763888888888889</v>
      </c>
      <c r="B252" s="62" t="s">
        <v>950</v>
      </c>
      <c r="C252" s="57" t="s">
        <v>196</v>
      </c>
      <c r="D252" s="62" t="s">
        <v>952</v>
      </c>
      <c r="E252" s="11" t="s">
        <v>33</v>
      </c>
    </row>
    <row r="253">
      <c r="A253" s="48">
        <v>0.6861111111111111</v>
      </c>
      <c r="B253" s="62" t="s">
        <v>954</v>
      </c>
      <c r="C253" s="57" t="s">
        <v>958</v>
      </c>
      <c r="D253" s="62" t="s">
        <v>951</v>
      </c>
      <c r="E253" s="11" t="s">
        <v>29</v>
      </c>
    </row>
    <row r="254">
      <c r="A254" s="48">
        <v>0.6861111111111111</v>
      </c>
      <c r="B254" s="62" t="s">
        <v>950</v>
      </c>
      <c r="C254" s="57" t="s">
        <v>354</v>
      </c>
      <c r="D254" s="62" t="s">
        <v>956</v>
      </c>
      <c r="E254" s="11" t="s">
        <v>33</v>
      </c>
    </row>
    <row r="255">
      <c r="A255" s="48">
        <v>0.6965277777777777</v>
      </c>
      <c r="B255" s="62" t="s">
        <v>951</v>
      </c>
      <c r="C255" s="57" t="s">
        <v>17</v>
      </c>
      <c r="D255" s="62" t="s">
        <v>950</v>
      </c>
      <c r="E255" s="11" t="s">
        <v>29</v>
      </c>
    </row>
    <row r="256">
      <c r="A256" s="48">
        <v>0.6965277777777777</v>
      </c>
      <c r="B256" s="62" t="s">
        <v>954</v>
      </c>
      <c r="C256" s="57" t="s">
        <v>464</v>
      </c>
      <c r="D256" s="62" t="s">
        <v>952</v>
      </c>
      <c r="E256" s="11" t="s">
        <v>33</v>
      </c>
    </row>
    <row r="257">
      <c r="A257" s="48">
        <v>0.7069444444444445</v>
      </c>
      <c r="B257" s="62" t="s">
        <v>951</v>
      </c>
      <c r="C257" s="57" t="s">
        <v>162</v>
      </c>
      <c r="D257" s="62" t="s">
        <v>952</v>
      </c>
      <c r="E257" s="11" t="s">
        <v>29</v>
      </c>
    </row>
    <row r="258">
      <c r="A258" s="48">
        <v>0.7069444444444445</v>
      </c>
      <c r="B258" s="62" t="s">
        <v>954</v>
      </c>
      <c r="C258" s="57" t="s">
        <v>171</v>
      </c>
      <c r="D258" s="62" t="s">
        <v>956</v>
      </c>
      <c r="E258" s="11" t="s">
        <v>33</v>
      </c>
    </row>
    <row r="259">
      <c r="A259" s="48">
        <v>0.7166666666666667</v>
      </c>
      <c r="B259" s="62" t="s">
        <v>952</v>
      </c>
      <c r="C259" s="57" t="s">
        <v>786</v>
      </c>
      <c r="D259" s="62" t="s">
        <v>956</v>
      </c>
      <c r="E259" s="11" t="s">
        <v>29</v>
      </c>
    </row>
    <row r="260">
      <c r="A260" s="48">
        <v>0.7166666666666667</v>
      </c>
      <c r="B260" s="62" t="s">
        <v>950</v>
      </c>
      <c r="C260" s="57" t="s">
        <v>176</v>
      </c>
      <c r="D260" s="62" t="s">
        <v>954</v>
      </c>
      <c r="E260" s="11" t="s">
        <v>33</v>
      </c>
    </row>
    <row r="261">
      <c r="A261" s="48">
        <v>0.7270833333333333</v>
      </c>
      <c r="B261" s="62" t="s">
        <v>951</v>
      </c>
      <c r="C261" s="57" t="s">
        <v>42</v>
      </c>
      <c r="D261" s="62" t="s">
        <v>956</v>
      </c>
      <c r="E261" s="11" t="s">
        <v>29</v>
      </c>
    </row>
    <row r="262">
      <c r="A262" s="48">
        <v>0.7270833333333333</v>
      </c>
      <c r="B262" s="62" t="s">
        <v>952</v>
      </c>
      <c r="C262" s="57" t="s">
        <v>237</v>
      </c>
      <c r="D262" s="62" t="s">
        <v>950</v>
      </c>
      <c r="E262" s="11" t="s">
        <v>33</v>
      </c>
    </row>
    <row r="263">
      <c r="A263" s="48">
        <v>0.7375</v>
      </c>
      <c r="B263" s="62" t="s">
        <v>951</v>
      </c>
      <c r="C263" s="57" t="s">
        <v>210</v>
      </c>
      <c r="D263" s="62" t="s">
        <v>954</v>
      </c>
      <c r="E263" s="11" t="s">
        <v>29</v>
      </c>
    </row>
    <row r="264">
      <c r="A264" s="48">
        <v>0.7375</v>
      </c>
      <c r="B264" s="62" t="s">
        <v>956</v>
      </c>
      <c r="C264" s="57" t="s">
        <v>279</v>
      </c>
      <c r="D264" s="62" t="s">
        <v>950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959</v>
      </c>
      <c r="C267" s="45" t="s">
        <v>534</v>
      </c>
      <c r="D267" s="62" t="s">
        <v>960</v>
      </c>
      <c r="E267" s="11" t="s">
        <v>9</v>
      </c>
    </row>
    <row r="268">
      <c r="A268" s="48">
        <v>0.75</v>
      </c>
      <c r="B268" s="62" t="s">
        <v>961</v>
      </c>
      <c r="C268" s="45" t="s">
        <v>17</v>
      </c>
      <c r="D268" s="62" t="s">
        <v>962</v>
      </c>
      <c r="E268" s="11" t="s">
        <v>13</v>
      </c>
    </row>
    <row r="269">
      <c r="A269" s="48">
        <v>0.7597222222222222</v>
      </c>
      <c r="B269" s="62" t="s">
        <v>961</v>
      </c>
      <c r="C269" s="45" t="s">
        <v>19</v>
      </c>
      <c r="D269" s="62" t="s">
        <v>960</v>
      </c>
      <c r="E269" s="11" t="s">
        <v>9</v>
      </c>
    </row>
    <row r="270">
      <c r="A270" s="48">
        <v>0.7597222222222222</v>
      </c>
      <c r="B270" s="62" t="s">
        <v>564</v>
      </c>
      <c r="C270" s="45" t="s">
        <v>163</v>
      </c>
      <c r="D270" s="62" t="s">
        <v>962</v>
      </c>
      <c r="E270" s="11" t="s">
        <v>13</v>
      </c>
    </row>
    <row r="271">
      <c r="A271" s="48">
        <v>0.7701388888888889</v>
      </c>
      <c r="B271" s="62" t="s">
        <v>564</v>
      </c>
      <c r="C271" s="45" t="s">
        <v>963</v>
      </c>
      <c r="D271" s="62" t="s">
        <v>961</v>
      </c>
      <c r="E271" s="11" t="s">
        <v>9</v>
      </c>
    </row>
    <row r="272">
      <c r="A272" s="48">
        <v>0.7701388888888889</v>
      </c>
      <c r="B272" s="62" t="s">
        <v>962</v>
      </c>
      <c r="C272" s="45" t="s">
        <v>157</v>
      </c>
      <c r="D272" s="62" t="s">
        <v>959</v>
      </c>
      <c r="E272" s="11" t="s">
        <v>13</v>
      </c>
    </row>
    <row r="273">
      <c r="A273" s="48">
        <v>0.7805555555555556</v>
      </c>
      <c r="B273" s="62" t="s">
        <v>564</v>
      </c>
      <c r="C273" s="45" t="s">
        <v>185</v>
      </c>
      <c r="D273" s="62" t="s">
        <v>960</v>
      </c>
      <c r="E273" s="11" t="s">
        <v>9</v>
      </c>
    </row>
    <row r="274">
      <c r="A274" s="48">
        <v>0.7805555555555556</v>
      </c>
      <c r="B274" s="62" t="s">
        <v>959</v>
      </c>
      <c r="C274" s="45" t="s">
        <v>16</v>
      </c>
      <c r="D274" s="62" t="s">
        <v>961</v>
      </c>
      <c r="E274" s="11" t="s">
        <v>13</v>
      </c>
    </row>
    <row r="275">
      <c r="A275" s="48">
        <v>0.7902777777777777</v>
      </c>
      <c r="B275" s="62" t="s">
        <v>962</v>
      </c>
      <c r="C275" s="45" t="s">
        <v>326</v>
      </c>
      <c r="D275" s="62" t="s">
        <v>960</v>
      </c>
      <c r="E275" s="11" t="s">
        <v>9</v>
      </c>
    </row>
    <row r="276">
      <c r="A276" s="48">
        <v>0.7902777777777777</v>
      </c>
      <c r="B276" s="62" t="s">
        <v>959</v>
      </c>
      <c r="C276" s="45" t="s">
        <v>352</v>
      </c>
      <c r="D276" s="62" t="s">
        <v>564</v>
      </c>
      <c r="E276" s="11" t="s">
        <v>13</v>
      </c>
    </row>
    <row r="277">
      <c r="A277" s="48">
        <v>0.8006944444444445</v>
      </c>
      <c r="B277" s="62" t="s">
        <v>960</v>
      </c>
      <c r="C277" s="45" t="s">
        <v>279</v>
      </c>
      <c r="D277" s="62" t="s">
        <v>959</v>
      </c>
      <c r="E277" s="11" t="s">
        <v>9</v>
      </c>
    </row>
    <row r="278">
      <c r="A278" s="48">
        <v>0.8006944444444445</v>
      </c>
      <c r="B278" s="62" t="s">
        <v>962</v>
      </c>
      <c r="C278" s="45" t="s">
        <v>181</v>
      </c>
      <c r="D278" s="62" t="s">
        <v>961</v>
      </c>
      <c r="E278" s="11" t="s">
        <v>13</v>
      </c>
    </row>
    <row r="279">
      <c r="A279" s="48">
        <v>0.8111111111111111</v>
      </c>
      <c r="B279" s="62" t="s">
        <v>960</v>
      </c>
      <c r="C279" s="45" t="s">
        <v>7</v>
      </c>
      <c r="D279" s="62" t="s">
        <v>961</v>
      </c>
      <c r="E279" s="11" t="s">
        <v>9</v>
      </c>
    </row>
    <row r="280">
      <c r="A280" s="48">
        <v>0.8111111111111111</v>
      </c>
      <c r="B280" s="62" t="s">
        <v>962</v>
      </c>
      <c r="C280" s="45" t="s">
        <v>193</v>
      </c>
      <c r="D280" s="62" t="s">
        <v>564</v>
      </c>
      <c r="E280" s="11" t="s">
        <v>13</v>
      </c>
    </row>
    <row r="281">
      <c r="A281" s="48">
        <v>0.8208333333333333</v>
      </c>
      <c r="B281" s="62" t="s">
        <v>961</v>
      </c>
      <c r="C281" s="45" t="s">
        <v>248</v>
      </c>
      <c r="D281" s="62" t="s">
        <v>564</v>
      </c>
      <c r="E281" s="11" t="s">
        <v>9</v>
      </c>
    </row>
    <row r="282">
      <c r="A282" s="48">
        <v>0.8208333333333333</v>
      </c>
      <c r="B282" s="62" t="s">
        <v>959</v>
      </c>
      <c r="C282" s="45" t="s">
        <v>11</v>
      </c>
      <c r="D282" s="62" t="s">
        <v>962</v>
      </c>
      <c r="E282" s="11" t="s">
        <v>13</v>
      </c>
    </row>
    <row r="283">
      <c r="A283" s="48">
        <v>0.83125</v>
      </c>
      <c r="B283" s="62" t="s">
        <v>960</v>
      </c>
      <c r="C283" s="45" t="s">
        <v>376</v>
      </c>
      <c r="D283" s="62" t="s">
        <v>564</v>
      </c>
      <c r="E283" s="11" t="s">
        <v>9</v>
      </c>
    </row>
    <row r="284">
      <c r="A284" s="48">
        <v>0.83125</v>
      </c>
      <c r="B284" s="62" t="s">
        <v>961</v>
      </c>
      <c r="C284" s="45" t="s">
        <v>195</v>
      </c>
      <c r="D284" s="62" t="s">
        <v>959</v>
      </c>
      <c r="E284" s="11" t="s">
        <v>13</v>
      </c>
    </row>
    <row r="285">
      <c r="A285" s="48">
        <v>0.8416666666666667</v>
      </c>
      <c r="B285" s="62" t="s">
        <v>960</v>
      </c>
      <c r="C285" s="45" t="s">
        <v>193</v>
      </c>
      <c r="D285" s="62" t="s">
        <v>962</v>
      </c>
      <c r="E285" s="11" t="s">
        <v>9</v>
      </c>
    </row>
    <row r="286">
      <c r="A286" s="48">
        <v>0.8416666666666667</v>
      </c>
      <c r="B286" s="62" t="s">
        <v>564</v>
      </c>
      <c r="C286" s="45" t="s">
        <v>176</v>
      </c>
      <c r="D286" s="62" t="s">
        <v>959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964</v>
      </c>
      <c r="C289" s="57" t="s">
        <v>573</v>
      </c>
      <c r="D289" s="62" t="s">
        <v>965</v>
      </c>
      <c r="E289" s="11" t="s">
        <v>29</v>
      </c>
    </row>
    <row r="290">
      <c r="A290" s="48">
        <v>0.75</v>
      </c>
      <c r="B290" s="62" t="s">
        <v>785</v>
      </c>
      <c r="C290" s="57" t="s">
        <v>508</v>
      </c>
      <c r="D290" s="62" t="s">
        <v>966</v>
      </c>
      <c r="E290" s="11" t="s">
        <v>33</v>
      </c>
    </row>
    <row r="291">
      <c r="A291" s="48">
        <v>0.7597222222222222</v>
      </c>
      <c r="B291" s="62" t="s">
        <v>785</v>
      </c>
      <c r="C291" s="57" t="s">
        <v>967</v>
      </c>
      <c r="D291" s="62" t="s">
        <v>965</v>
      </c>
      <c r="E291" s="11" t="s">
        <v>29</v>
      </c>
    </row>
    <row r="292">
      <c r="A292" s="48">
        <v>0.7597222222222222</v>
      </c>
      <c r="B292" s="62" t="s">
        <v>788</v>
      </c>
      <c r="C292" s="57" t="s">
        <v>968</v>
      </c>
      <c r="D292" s="62" t="s">
        <v>966</v>
      </c>
      <c r="E292" s="11" t="s">
        <v>33</v>
      </c>
    </row>
    <row r="293">
      <c r="A293" s="48">
        <v>0.7701388888888889</v>
      </c>
      <c r="B293" s="62" t="s">
        <v>788</v>
      </c>
      <c r="C293" s="57" t="s">
        <v>164</v>
      </c>
      <c r="D293" s="62" t="s">
        <v>785</v>
      </c>
      <c r="E293" s="11" t="s">
        <v>29</v>
      </c>
    </row>
    <row r="294">
      <c r="A294" s="48">
        <v>0.7701388888888889</v>
      </c>
      <c r="B294" s="62" t="s">
        <v>966</v>
      </c>
      <c r="C294" s="57" t="s">
        <v>173</v>
      </c>
      <c r="D294" s="62" t="s">
        <v>964</v>
      </c>
      <c r="E294" s="11" t="s">
        <v>33</v>
      </c>
    </row>
    <row r="295">
      <c r="A295" s="48">
        <v>0.7805555555555556</v>
      </c>
      <c r="B295" s="62" t="s">
        <v>788</v>
      </c>
      <c r="C295" s="57" t="s">
        <v>383</v>
      </c>
      <c r="D295" s="62" t="s">
        <v>965</v>
      </c>
      <c r="E295" s="11" t="s">
        <v>29</v>
      </c>
    </row>
    <row r="296">
      <c r="A296" s="48">
        <v>0.7805555555555556</v>
      </c>
      <c r="B296" s="62" t="s">
        <v>964</v>
      </c>
      <c r="C296" s="57" t="s">
        <v>303</v>
      </c>
      <c r="D296" s="62" t="s">
        <v>785</v>
      </c>
      <c r="E296" s="11" t="s">
        <v>33</v>
      </c>
    </row>
    <row r="297">
      <c r="A297" s="48">
        <v>0.7902777777777777</v>
      </c>
      <c r="B297" s="62" t="s">
        <v>966</v>
      </c>
      <c r="C297" s="57" t="s">
        <v>210</v>
      </c>
      <c r="D297" s="62" t="s">
        <v>965</v>
      </c>
      <c r="E297" s="11" t="s">
        <v>29</v>
      </c>
    </row>
    <row r="298">
      <c r="A298" s="48">
        <v>0.7902777777777777</v>
      </c>
      <c r="B298" s="62" t="s">
        <v>964</v>
      </c>
      <c r="C298" s="57" t="s">
        <v>442</v>
      </c>
      <c r="D298" s="62" t="s">
        <v>788</v>
      </c>
      <c r="E298" s="11" t="s">
        <v>33</v>
      </c>
    </row>
    <row r="299">
      <c r="A299" s="48">
        <v>0.8006944444444445</v>
      </c>
      <c r="B299" s="62" t="s">
        <v>965</v>
      </c>
      <c r="C299" s="57" t="s">
        <v>888</v>
      </c>
      <c r="D299" s="62" t="s">
        <v>964</v>
      </c>
      <c r="E299" s="11" t="s">
        <v>29</v>
      </c>
    </row>
    <row r="300">
      <c r="A300" s="48">
        <v>0.8006944444444445</v>
      </c>
      <c r="B300" s="62" t="s">
        <v>966</v>
      </c>
      <c r="C300" s="57" t="s">
        <v>7</v>
      </c>
      <c r="D300" s="62" t="s">
        <v>785</v>
      </c>
      <c r="E300" s="11" t="s">
        <v>33</v>
      </c>
    </row>
    <row r="301">
      <c r="A301" s="48">
        <v>0.8111111111111111</v>
      </c>
      <c r="B301" s="62" t="s">
        <v>965</v>
      </c>
      <c r="C301" s="57" t="s">
        <v>674</v>
      </c>
      <c r="D301" s="62" t="s">
        <v>785</v>
      </c>
      <c r="E301" s="11" t="s">
        <v>29</v>
      </c>
    </row>
    <row r="302">
      <c r="A302" s="48">
        <v>0.8111111111111111</v>
      </c>
      <c r="B302" s="62" t="s">
        <v>966</v>
      </c>
      <c r="C302" s="57" t="s">
        <v>327</v>
      </c>
      <c r="D302" s="62" t="s">
        <v>788</v>
      </c>
      <c r="E302" s="11" t="s">
        <v>33</v>
      </c>
    </row>
    <row r="303">
      <c r="A303" s="48">
        <v>0.8208333333333333</v>
      </c>
      <c r="B303" s="62" t="s">
        <v>785</v>
      </c>
      <c r="C303" s="57" t="s">
        <v>640</v>
      </c>
      <c r="D303" s="62" t="s">
        <v>788</v>
      </c>
      <c r="E303" s="11" t="s">
        <v>29</v>
      </c>
    </row>
    <row r="304">
      <c r="A304" s="48">
        <v>0.8208333333333333</v>
      </c>
      <c r="B304" s="62" t="s">
        <v>964</v>
      </c>
      <c r="C304" s="57" t="s">
        <v>958</v>
      </c>
      <c r="D304" s="62" t="s">
        <v>966</v>
      </c>
      <c r="E304" s="11" t="s">
        <v>33</v>
      </c>
    </row>
    <row r="305">
      <c r="A305" s="48">
        <v>0.83125</v>
      </c>
      <c r="B305" s="62" t="s">
        <v>965</v>
      </c>
      <c r="C305" s="57" t="s">
        <v>366</v>
      </c>
      <c r="D305" s="62" t="s">
        <v>788</v>
      </c>
      <c r="E305" s="11" t="s">
        <v>29</v>
      </c>
    </row>
    <row r="306">
      <c r="A306" s="48">
        <v>0.83125</v>
      </c>
      <c r="B306" s="62" t="s">
        <v>785</v>
      </c>
      <c r="C306" s="57" t="s">
        <v>712</v>
      </c>
      <c r="D306" s="62" t="s">
        <v>964</v>
      </c>
      <c r="E306" s="11" t="s">
        <v>33</v>
      </c>
    </row>
    <row r="307">
      <c r="A307" s="48">
        <v>0.8416666666666667</v>
      </c>
      <c r="B307" s="62" t="s">
        <v>965</v>
      </c>
      <c r="C307" s="57" t="s">
        <v>487</v>
      </c>
      <c r="D307" s="62" t="s">
        <v>966</v>
      </c>
      <c r="E307" s="11" t="s">
        <v>29</v>
      </c>
    </row>
    <row r="308">
      <c r="A308" s="48">
        <v>0.8416666666666667</v>
      </c>
      <c r="B308" s="62" t="s">
        <v>788</v>
      </c>
      <c r="C308" s="57" t="s">
        <v>291</v>
      </c>
      <c r="D308" s="62" t="s">
        <v>964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969</v>
      </c>
      <c r="C311" s="57" t="s">
        <v>439</v>
      </c>
      <c r="D311" s="62" t="s">
        <v>970</v>
      </c>
      <c r="E311" s="11" t="s">
        <v>9</v>
      </c>
    </row>
    <row r="312">
      <c r="A312" s="48">
        <v>0.8541666666666666</v>
      </c>
      <c r="B312" s="62" t="s">
        <v>971</v>
      </c>
      <c r="C312" s="54" t="s">
        <v>155</v>
      </c>
      <c r="D312" s="62" t="s">
        <v>972</v>
      </c>
      <c r="E312" s="11" t="s">
        <v>13</v>
      </c>
    </row>
    <row r="313">
      <c r="A313" s="48">
        <v>0.8638888888888889</v>
      </c>
      <c r="B313" s="62" t="s">
        <v>971</v>
      </c>
      <c r="C313" s="57" t="s">
        <v>344</v>
      </c>
      <c r="D313" s="62" t="s">
        <v>970</v>
      </c>
      <c r="E313" s="11" t="s">
        <v>9</v>
      </c>
    </row>
    <row r="314">
      <c r="A314" s="48">
        <v>0.8638888888888889</v>
      </c>
      <c r="B314" s="62" t="s">
        <v>973</v>
      </c>
      <c r="C314" s="57" t="s">
        <v>41</v>
      </c>
      <c r="D314" s="62" t="s">
        <v>972</v>
      </c>
      <c r="E314" s="11" t="s">
        <v>13</v>
      </c>
    </row>
    <row r="315">
      <c r="A315" s="48">
        <v>0.8743055555555556</v>
      </c>
      <c r="B315" s="62" t="s">
        <v>973</v>
      </c>
      <c r="C315" s="57" t="s">
        <v>198</v>
      </c>
      <c r="D315" s="62" t="s">
        <v>971</v>
      </c>
      <c r="E315" s="11" t="s">
        <v>9</v>
      </c>
    </row>
    <row r="316">
      <c r="A316" s="48">
        <v>0.8743055555555556</v>
      </c>
      <c r="B316" s="62" t="s">
        <v>972</v>
      </c>
      <c r="C316" s="57" t="s">
        <v>697</v>
      </c>
      <c r="D316" s="62" t="s">
        <v>969</v>
      </c>
      <c r="E316" s="11" t="s">
        <v>13</v>
      </c>
    </row>
    <row r="317">
      <c r="A317" s="48">
        <v>0.8847222222222222</v>
      </c>
      <c r="B317" s="62" t="s">
        <v>973</v>
      </c>
      <c r="C317" s="57" t="s">
        <v>311</v>
      </c>
      <c r="D317" s="62" t="s">
        <v>970</v>
      </c>
      <c r="E317" s="11" t="s">
        <v>9</v>
      </c>
    </row>
    <row r="318">
      <c r="A318" s="48">
        <v>0.8847222222222222</v>
      </c>
      <c r="B318" s="62" t="s">
        <v>969</v>
      </c>
      <c r="C318" s="57" t="s">
        <v>237</v>
      </c>
      <c r="D318" s="62" t="s">
        <v>971</v>
      </c>
      <c r="E318" s="11" t="s">
        <v>13</v>
      </c>
    </row>
    <row r="319">
      <c r="A319" s="48">
        <v>0.8944444444444445</v>
      </c>
      <c r="B319" s="62" t="s">
        <v>972</v>
      </c>
      <c r="C319" s="57" t="s">
        <v>974</v>
      </c>
      <c r="D319" s="62" t="s">
        <v>970</v>
      </c>
      <c r="E319" s="11" t="s">
        <v>9</v>
      </c>
    </row>
    <row r="320">
      <c r="A320" s="48">
        <v>0.8944444444444445</v>
      </c>
      <c r="B320" s="62" t="s">
        <v>969</v>
      </c>
      <c r="C320" s="57" t="s">
        <v>248</v>
      </c>
      <c r="D320" s="62" t="s">
        <v>973</v>
      </c>
      <c r="E320" s="11" t="s">
        <v>13</v>
      </c>
    </row>
    <row r="321">
      <c r="A321" s="48">
        <v>0.9048611111111111</v>
      </c>
      <c r="B321" s="62" t="s">
        <v>970</v>
      </c>
      <c r="C321" s="57" t="s">
        <v>185</v>
      </c>
      <c r="D321" s="62" t="s">
        <v>969</v>
      </c>
      <c r="E321" s="11" t="s">
        <v>9</v>
      </c>
    </row>
    <row r="322">
      <c r="A322" s="48">
        <v>0.9048611111111111</v>
      </c>
      <c r="B322" s="62" t="s">
        <v>972</v>
      </c>
      <c r="C322" s="57" t="s">
        <v>303</v>
      </c>
      <c r="D322" s="62" t="s">
        <v>971</v>
      </c>
      <c r="E322" s="11" t="s">
        <v>13</v>
      </c>
    </row>
    <row r="323">
      <c r="A323" s="48">
        <v>0.9152777777777777</v>
      </c>
      <c r="B323" s="62" t="s">
        <v>970</v>
      </c>
      <c r="C323" s="45" t="s">
        <v>674</v>
      </c>
      <c r="D323" s="62" t="s">
        <v>971</v>
      </c>
      <c r="E323" s="11" t="s">
        <v>9</v>
      </c>
    </row>
    <row r="324">
      <c r="A324" s="48">
        <v>0.9152777777777777</v>
      </c>
      <c r="B324" s="62" t="s">
        <v>972</v>
      </c>
      <c r="C324" s="45" t="s">
        <v>248</v>
      </c>
      <c r="D324" s="62" t="s">
        <v>973</v>
      </c>
      <c r="E324" s="11" t="s">
        <v>13</v>
      </c>
    </row>
    <row r="325">
      <c r="A325" s="48">
        <v>0.925</v>
      </c>
      <c r="B325" s="62" t="s">
        <v>971</v>
      </c>
      <c r="C325" s="45" t="s">
        <v>354</v>
      </c>
      <c r="D325" s="62" t="s">
        <v>973</v>
      </c>
      <c r="E325" s="11" t="s">
        <v>9</v>
      </c>
    </row>
    <row r="326">
      <c r="A326" s="48">
        <v>0.925</v>
      </c>
      <c r="B326" s="62" t="s">
        <v>969</v>
      </c>
      <c r="C326" s="45" t="s">
        <v>573</v>
      </c>
      <c r="D326" s="62" t="s">
        <v>972</v>
      </c>
      <c r="E326" s="11" t="s">
        <v>13</v>
      </c>
    </row>
    <row r="327">
      <c r="A327" s="48">
        <v>0.9354166666666667</v>
      </c>
      <c r="B327" s="62" t="s">
        <v>970</v>
      </c>
      <c r="C327" s="45" t="s">
        <v>181</v>
      </c>
      <c r="D327" s="62" t="s">
        <v>973</v>
      </c>
      <c r="E327" s="11" t="s">
        <v>9</v>
      </c>
    </row>
    <row r="328">
      <c r="A328" s="48">
        <v>0.9354166666666667</v>
      </c>
      <c r="B328" s="62" t="s">
        <v>971</v>
      </c>
      <c r="C328" s="45" t="s">
        <v>218</v>
      </c>
      <c r="D328" s="62" t="s">
        <v>969</v>
      </c>
      <c r="E328" s="11" t="s">
        <v>13</v>
      </c>
    </row>
    <row r="329">
      <c r="A329" s="48">
        <v>0.9458333333333333</v>
      </c>
      <c r="B329" s="62" t="s">
        <v>970</v>
      </c>
      <c r="C329" s="45" t="s">
        <v>203</v>
      </c>
      <c r="D329" s="62" t="s">
        <v>972</v>
      </c>
      <c r="E329" s="11" t="s">
        <v>9</v>
      </c>
    </row>
    <row r="330">
      <c r="A330" s="48">
        <v>0.9458333333333333</v>
      </c>
      <c r="B330" s="62" t="s">
        <v>973</v>
      </c>
      <c r="C330" s="45" t="s">
        <v>433</v>
      </c>
      <c r="D330" s="62" t="s">
        <v>969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975</v>
      </c>
      <c r="C333" s="57" t="s">
        <v>640</v>
      </c>
      <c r="D333" s="62" t="s">
        <v>976</v>
      </c>
      <c r="E333" s="11" t="s">
        <v>29</v>
      </c>
    </row>
    <row r="334">
      <c r="A334" s="48">
        <v>0.8541666666666666</v>
      </c>
      <c r="B334" s="62" t="s">
        <v>569</v>
      </c>
      <c r="C334" s="57" t="s">
        <v>908</v>
      </c>
      <c r="D334" s="62" t="s">
        <v>320</v>
      </c>
      <c r="E334" s="11" t="s">
        <v>33</v>
      </c>
    </row>
    <row r="335">
      <c r="A335" s="48">
        <v>0.8638888888888889</v>
      </c>
      <c r="B335" s="62" t="s">
        <v>569</v>
      </c>
      <c r="C335" s="57" t="s">
        <v>977</v>
      </c>
      <c r="D335" s="62" t="s">
        <v>976</v>
      </c>
      <c r="E335" s="11" t="s">
        <v>29</v>
      </c>
    </row>
    <row r="336">
      <c r="A336" s="48">
        <v>0.8638888888888889</v>
      </c>
      <c r="B336" s="62" t="s">
        <v>978</v>
      </c>
      <c r="C336" s="57" t="s">
        <v>162</v>
      </c>
      <c r="D336" s="62" t="s">
        <v>320</v>
      </c>
      <c r="E336" s="11" t="s">
        <v>33</v>
      </c>
    </row>
    <row r="337">
      <c r="A337" s="48">
        <v>0.8743055555555556</v>
      </c>
      <c r="B337" s="62" t="s">
        <v>978</v>
      </c>
      <c r="C337" s="57" t="s">
        <v>18</v>
      </c>
      <c r="D337" s="62" t="s">
        <v>569</v>
      </c>
      <c r="E337" s="11" t="s">
        <v>29</v>
      </c>
    </row>
    <row r="338">
      <c r="A338" s="48">
        <v>0.8743055555555556</v>
      </c>
      <c r="B338" s="62" t="s">
        <v>320</v>
      </c>
      <c r="C338" s="57" t="s">
        <v>171</v>
      </c>
      <c r="D338" s="62" t="s">
        <v>975</v>
      </c>
      <c r="E338" s="11" t="s">
        <v>33</v>
      </c>
    </row>
    <row r="339">
      <c r="A339" s="48">
        <v>0.8847222222222222</v>
      </c>
      <c r="B339" s="62" t="s">
        <v>978</v>
      </c>
      <c r="C339" s="57" t="s">
        <v>351</v>
      </c>
      <c r="D339" s="62" t="s">
        <v>976</v>
      </c>
      <c r="E339" s="11" t="s">
        <v>29</v>
      </c>
    </row>
    <row r="340">
      <c r="A340" s="48">
        <v>0.8847222222222222</v>
      </c>
      <c r="B340" s="62" t="s">
        <v>975</v>
      </c>
      <c r="C340" s="57" t="s">
        <v>462</v>
      </c>
      <c r="D340" s="62" t="s">
        <v>569</v>
      </c>
      <c r="E340" s="11" t="s">
        <v>33</v>
      </c>
    </row>
    <row r="341">
      <c r="A341" s="48">
        <v>0.8944444444444445</v>
      </c>
      <c r="B341" s="62" t="s">
        <v>320</v>
      </c>
      <c r="C341" s="57" t="s">
        <v>162</v>
      </c>
      <c r="D341" s="62" t="s">
        <v>976</v>
      </c>
      <c r="E341" s="11" t="s">
        <v>29</v>
      </c>
    </row>
    <row r="342">
      <c r="A342" s="48">
        <v>0.8944444444444445</v>
      </c>
      <c r="B342" s="62" t="s">
        <v>975</v>
      </c>
      <c r="C342" s="57" t="s">
        <v>181</v>
      </c>
      <c r="D342" s="62" t="s">
        <v>978</v>
      </c>
      <c r="E342" s="11" t="s">
        <v>33</v>
      </c>
    </row>
    <row r="343">
      <c r="A343" s="48">
        <v>0.9048611111111111</v>
      </c>
      <c r="B343" s="62" t="s">
        <v>976</v>
      </c>
      <c r="C343" s="57" t="s">
        <v>395</v>
      </c>
      <c r="D343" s="62" t="s">
        <v>975</v>
      </c>
      <c r="E343" s="11" t="s">
        <v>29</v>
      </c>
    </row>
    <row r="344">
      <c r="A344" s="48">
        <v>0.9048611111111111</v>
      </c>
      <c r="B344" s="62" t="s">
        <v>320</v>
      </c>
      <c r="C344" s="57" t="s">
        <v>570</v>
      </c>
      <c r="D344" s="62" t="s">
        <v>569</v>
      </c>
      <c r="E344" s="11" t="s">
        <v>33</v>
      </c>
    </row>
    <row r="345">
      <c r="A345" s="48">
        <v>0.9152777777777777</v>
      </c>
      <c r="B345" s="62" t="s">
        <v>976</v>
      </c>
      <c r="C345" s="57" t="s">
        <v>44</v>
      </c>
      <c r="D345" s="62" t="s">
        <v>569</v>
      </c>
      <c r="E345" s="11" t="s">
        <v>29</v>
      </c>
    </row>
    <row r="346">
      <c r="A346" s="48">
        <v>0.9152777777777777</v>
      </c>
      <c r="B346" s="62" t="s">
        <v>320</v>
      </c>
      <c r="C346" s="57" t="s">
        <v>173</v>
      </c>
      <c r="D346" s="62" t="s">
        <v>978</v>
      </c>
      <c r="E346" s="11" t="s">
        <v>33</v>
      </c>
    </row>
    <row r="347">
      <c r="A347" s="48">
        <v>0.925</v>
      </c>
      <c r="B347" s="62" t="s">
        <v>569</v>
      </c>
      <c r="C347" s="57" t="s">
        <v>313</v>
      </c>
      <c r="D347" s="62" t="s">
        <v>978</v>
      </c>
      <c r="E347" s="11" t="s">
        <v>29</v>
      </c>
    </row>
    <row r="348">
      <c r="A348" s="48">
        <v>0.925</v>
      </c>
      <c r="B348" s="62" t="s">
        <v>975</v>
      </c>
      <c r="C348" s="57" t="s">
        <v>19</v>
      </c>
      <c r="D348" s="62" t="s">
        <v>320</v>
      </c>
      <c r="E348" s="11" t="s">
        <v>33</v>
      </c>
    </row>
    <row r="349">
      <c r="A349" s="48">
        <v>0.9354166666666667</v>
      </c>
      <c r="B349" s="62" t="s">
        <v>976</v>
      </c>
      <c r="C349" s="57" t="s">
        <v>20</v>
      </c>
      <c r="D349" s="62" t="s">
        <v>978</v>
      </c>
      <c r="E349" s="11" t="s">
        <v>29</v>
      </c>
    </row>
    <row r="350">
      <c r="A350" s="48">
        <v>0.9354166666666667</v>
      </c>
      <c r="B350" s="62" t="s">
        <v>569</v>
      </c>
      <c r="C350" s="57" t="s">
        <v>979</v>
      </c>
      <c r="D350" s="62" t="s">
        <v>975</v>
      </c>
      <c r="E350" s="11" t="s">
        <v>33</v>
      </c>
    </row>
    <row r="351">
      <c r="A351" s="48">
        <v>0.9458333333333333</v>
      </c>
      <c r="B351" s="62" t="s">
        <v>976</v>
      </c>
      <c r="C351" s="57" t="s">
        <v>43</v>
      </c>
      <c r="D351" s="62" t="s">
        <v>320</v>
      </c>
      <c r="E351" s="11" t="s">
        <v>29</v>
      </c>
    </row>
    <row r="352">
      <c r="A352" s="48">
        <v>0.9458333333333333</v>
      </c>
      <c r="B352" s="62" t="s">
        <v>978</v>
      </c>
      <c r="C352" s="57" t="s">
        <v>42</v>
      </c>
      <c r="D352" s="62" t="s">
        <v>975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980</v>
      </c>
      <c r="C355" s="45" t="s">
        <v>27</v>
      </c>
      <c r="D355" s="62" t="s">
        <v>699</v>
      </c>
      <c r="E355" s="11" t="s">
        <v>9</v>
      </c>
    </row>
    <row r="356">
      <c r="A356" s="48">
        <v>0.9583333333333334</v>
      </c>
      <c r="B356" s="62" t="s">
        <v>981</v>
      </c>
      <c r="C356" s="45" t="s">
        <v>219</v>
      </c>
      <c r="D356" s="62" t="s">
        <v>982</v>
      </c>
      <c r="E356" s="11" t="s">
        <v>13</v>
      </c>
    </row>
    <row r="357">
      <c r="A357" s="48">
        <v>0.9680555555555556</v>
      </c>
      <c r="B357" s="62" t="s">
        <v>981</v>
      </c>
      <c r="C357" s="45" t="s">
        <v>220</v>
      </c>
      <c r="D357" s="62" t="s">
        <v>699</v>
      </c>
      <c r="E357" s="11" t="s">
        <v>9</v>
      </c>
    </row>
    <row r="358">
      <c r="A358" s="48">
        <v>0.9680555555555556</v>
      </c>
      <c r="B358" s="62" t="s">
        <v>592</v>
      </c>
      <c r="C358" s="45" t="s">
        <v>7</v>
      </c>
      <c r="D358" s="62" t="s">
        <v>982</v>
      </c>
      <c r="E358" s="11" t="s">
        <v>13</v>
      </c>
    </row>
    <row r="359">
      <c r="A359" s="48">
        <v>0.9784722222222222</v>
      </c>
      <c r="B359" s="62" t="s">
        <v>592</v>
      </c>
      <c r="C359" s="45" t="s">
        <v>487</v>
      </c>
      <c r="D359" s="62" t="s">
        <v>981</v>
      </c>
      <c r="E359" s="11" t="s">
        <v>9</v>
      </c>
    </row>
    <row r="360">
      <c r="A360" s="48">
        <v>0.9784722222222222</v>
      </c>
      <c r="B360" s="62" t="s">
        <v>982</v>
      </c>
      <c r="C360" s="45" t="s">
        <v>219</v>
      </c>
      <c r="D360" s="62" t="s">
        <v>980</v>
      </c>
      <c r="E360" s="11" t="s">
        <v>13</v>
      </c>
    </row>
    <row r="361">
      <c r="A361" s="48">
        <v>0.9888888888888889</v>
      </c>
      <c r="B361" s="62" t="s">
        <v>592</v>
      </c>
      <c r="C361" s="45" t="s">
        <v>177</v>
      </c>
      <c r="D361" s="62" t="s">
        <v>699</v>
      </c>
      <c r="E361" s="11" t="s">
        <v>9</v>
      </c>
    </row>
    <row r="362">
      <c r="A362" s="48">
        <v>0.9888888888888889</v>
      </c>
      <c r="B362" s="62" t="s">
        <v>980</v>
      </c>
      <c r="C362" s="45" t="s">
        <v>11</v>
      </c>
      <c r="D362" s="62" t="s">
        <v>981</v>
      </c>
      <c r="E362" s="11" t="s">
        <v>13</v>
      </c>
    </row>
    <row r="363">
      <c r="A363" s="48">
        <v>0.9986111111111111</v>
      </c>
      <c r="B363" s="62" t="s">
        <v>982</v>
      </c>
      <c r="C363" s="45" t="s">
        <v>18</v>
      </c>
      <c r="D363" s="62" t="s">
        <v>699</v>
      </c>
      <c r="E363" s="11" t="s">
        <v>9</v>
      </c>
    </row>
    <row r="364">
      <c r="A364" s="48">
        <v>0.9986111111111111</v>
      </c>
      <c r="B364" s="62" t="s">
        <v>980</v>
      </c>
      <c r="C364" s="45" t="s">
        <v>16</v>
      </c>
      <c r="D364" s="62" t="s">
        <v>592</v>
      </c>
      <c r="E364" s="11" t="s">
        <v>13</v>
      </c>
    </row>
    <row r="365">
      <c r="A365" s="48">
        <v>0.009027777777777777</v>
      </c>
      <c r="B365" s="62" t="s">
        <v>699</v>
      </c>
      <c r="C365" s="45" t="s">
        <v>166</v>
      </c>
      <c r="D365" s="62" t="s">
        <v>980</v>
      </c>
      <c r="E365" s="11" t="s">
        <v>9</v>
      </c>
    </row>
    <row r="366">
      <c r="A366" s="48">
        <v>0.009027777777777777</v>
      </c>
      <c r="B366" s="62" t="s">
        <v>982</v>
      </c>
      <c r="C366" s="45" t="s">
        <v>18</v>
      </c>
      <c r="D366" s="62" t="s">
        <v>981</v>
      </c>
      <c r="E366" s="11" t="s">
        <v>13</v>
      </c>
    </row>
    <row r="367">
      <c r="A367" s="48">
        <v>0.019444444444444445</v>
      </c>
      <c r="B367" s="62" t="s">
        <v>699</v>
      </c>
      <c r="C367" s="45" t="s">
        <v>41</v>
      </c>
      <c r="D367" s="62" t="s">
        <v>981</v>
      </c>
      <c r="E367" s="11" t="s">
        <v>9</v>
      </c>
    </row>
    <row r="368">
      <c r="A368" s="48">
        <v>0.019444444444444445</v>
      </c>
      <c r="B368" s="62" t="s">
        <v>982</v>
      </c>
      <c r="C368" s="45" t="s">
        <v>184</v>
      </c>
      <c r="D368" s="62" t="s">
        <v>592</v>
      </c>
      <c r="E368" s="11" t="s">
        <v>13</v>
      </c>
    </row>
    <row r="369">
      <c r="A369" s="48">
        <v>0.029166666666666667</v>
      </c>
      <c r="B369" s="62" t="s">
        <v>981</v>
      </c>
      <c r="C369" s="45" t="s">
        <v>155</v>
      </c>
      <c r="D369" s="62" t="s">
        <v>592</v>
      </c>
      <c r="E369" s="11" t="s">
        <v>9</v>
      </c>
    </row>
    <row r="370">
      <c r="A370" s="48">
        <v>0.029166666666666667</v>
      </c>
      <c r="B370" s="62" t="s">
        <v>980</v>
      </c>
      <c r="C370" s="45" t="s">
        <v>38</v>
      </c>
      <c r="D370" s="62" t="s">
        <v>982</v>
      </c>
      <c r="E370" s="11" t="s">
        <v>13</v>
      </c>
    </row>
    <row r="371">
      <c r="A371" s="48">
        <v>0.03958333333333333</v>
      </c>
      <c r="B371" s="62" t="s">
        <v>699</v>
      </c>
      <c r="C371" s="45" t="s">
        <v>34</v>
      </c>
      <c r="D371" s="62" t="s">
        <v>592</v>
      </c>
      <c r="E371" s="11" t="s">
        <v>9</v>
      </c>
    </row>
    <row r="372">
      <c r="A372" s="48">
        <v>0.03958333333333333</v>
      </c>
      <c r="B372" s="62" t="s">
        <v>981</v>
      </c>
      <c r="C372" s="45" t="s">
        <v>193</v>
      </c>
      <c r="D372" s="62" t="s">
        <v>980</v>
      </c>
      <c r="E372" s="11" t="s">
        <v>13</v>
      </c>
    </row>
    <row r="373">
      <c r="A373" s="48">
        <v>0.05</v>
      </c>
      <c r="B373" s="62" t="s">
        <v>699</v>
      </c>
      <c r="C373" s="45" t="s">
        <v>17</v>
      </c>
      <c r="D373" s="62" t="s">
        <v>982</v>
      </c>
      <c r="E373" s="11" t="s">
        <v>9</v>
      </c>
    </row>
    <row r="374">
      <c r="A374" s="48">
        <v>0.05</v>
      </c>
      <c r="B374" s="62" t="s">
        <v>592</v>
      </c>
      <c r="C374" s="45" t="s">
        <v>161</v>
      </c>
      <c r="D374" s="62" t="s">
        <v>980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983</v>
      </c>
      <c r="C377" s="57" t="s">
        <v>218</v>
      </c>
      <c r="D377" s="62" t="s">
        <v>809</v>
      </c>
      <c r="E377" s="11" t="s">
        <v>29</v>
      </c>
    </row>
    <row r="378">
      <c r="A378" s="48">
        <v>0.9583333333333334</v>
      </c>
      <c r="B378" s="62" t="s">
        <v>984</v>
      </c>
      <c r="C378" s="57" t="s">
        <v>271</v>
      </c>
      <c r="D378" s="62" t="s">
        <v>985</v>
      </c>
      <c r="E378" s="11" t="s">
        <v>33</v>
      </c>
    </row>
    <row r="379">
      <c r="A379" s="48">
        <v>0.9680555555555556</v>
      </c>
      <c r="B379" s="62" t="s">
        <v>984</v>
      </c>
      <c r="C379" s="57" t="s">
        <v>251</v>
      </c>
      <c r="D379" s="62" t="s">
        <v>809</v>
      </c>
      <c r="E379" s="11" t="s">
        <v>29</v>
      </c>
    </row>
    <row r="380">
      <c r="A380" s="48">
        <v>0.9680555555555556</v>
      </c>
      <c r="B380" s="62" t="s">
        <v>986</v>
      </c>
      <c r="C380" s="57" t="s">
        <v>23</v>
      </c>
      <c r="D380" s="62" t="s">
        <v>985</v>
      </c>
      <c r="E380" s="11" t="s">
        <v>33</v>
      </c>
    </row>
    <row r="381">
      <c r="A381" s="48">
        <v>0.9784722222222222</v>
      </c>
      <c r="B381" s="62" t="s">
        <v>986</v>
      </c>
      <c r="C381" s="57" t="s">
        <v>18</v>
      </c>
      <c r="D381" s="62" t="s">
        <v>984</v>
      </c>
      <c r="E381" s="11" t="s">
        <v>29</v>
      </c>
    </row>
    <row r="382">
      <c r="A382" s="48">
        <v>0.9784722222222222</v>
      </c>
      <c r="B382" s="62" t="s">
        <v>985</v>
      </c>
      <c r="C382" s="57" t="s">
        <v>210</v>
      </c>
      <c r="D382" s="62" t="s">
        <v>983</v>
      </c>
      <c r="E382" s="11" t="s">
        <v>33</v>
      </c>
    </row>
    <row r="383">
      <c r="A383" s="48">
        <v>0.9888888888888889</v>
      </c>
      <c r="B383" s="62" t="s">
        <v>986</v>
      </c>
      <c r="C383" s="57" t="s">
        <v>7</v>
      </c>
      <c r="D383" s="62" t="s">
        <v>809</v>
      </c>
      <c r="E383" s="11" t="s">
        <v>29</v>
      </c>
    </row>
    <row r="384">
      <c r="A384" s="48">
        <v>0.9888888888888889</v>
      </c>
      <c r="B384" s="62" t="s">
        <v>983</v>
      </c>
      <c r="C384" s="57" t="s">
        <v>194</v>
      </c>
      <c r="D384" s="62" t="s">
        <v>984</v>
      </c>
      <c r="E384" s="11" t="s">
        <v>33</v>
      </c>
    </row>
    <row r="385">
      <c r="A385" s="48">
        <v>0.9986111111111111</v>
      </c>
      <c r="B385" s="62" t="s">
        <v>985</v>
      </c>
      <c r="C385" s="57" t="s">
        <v>18</v>
      </c>
      <c r="D385" s="62" t="s">
        <v>809</v>
      </c>
      <c r="E385" s="11" t="s">
        <v>29</v>
      </c>
    </row>
    <row r="386">
      <c r="A386" s="48">
        <v>0.9986111111111111</v>
      </c>
      <c r="B386" s="62" t="s">
        <v>983</v>
      </c>
      <c r="C386" s="57" t="s">
        <v>189</v>
      </c>
      <c r="D386" s="62" t="s">
        <v>986</v>
      </c>
      <c r="E386" s="11" t="s">
        <v>33</v>
      </c>
    </row>
    <row r="387">
      <c r="A387" s="48">
        <v>0.009027777777777777</v>
      </c>
      <c r="B387" s="62" t="s">
        <v>809</v>
      </c>
      <c r="C387" s="57" t="s">
        <v>271</v>
      </c>
      <c r="D387" s="62" t="s">
        <v>983</v>
      </c>
      <c r="E387" s="11" t="s">
        <v>29</v>
      </c>
    </row>
    <row r="388">
      <c r="A388" s="48">
        <v>0.009027777777777777</v>
      </c>
      <c r="B388" s="62" t="s">
        <v>985</v>
      </c>
      <c r="C388" s="57" t="s">
        <v>18</v>
      </c>
      <c r="D388" s="62" t="s">
        <v>984</v>
      </c>
      <c r="E388" s="11" t="s">
        <v>33</v>
      </c>
    </row>
    <row r="389">
      <c r="A389" s="48">
        <v>0.019444444444444445</v>
      </c>
      <c r="B389" s="62" t="s">
        <v>809</v>
      </c>
      <c r="C389" s="57" t="s">
        <v>165</v>
      </c>
      <c r="D389" s="62" t="s">
        <v>984</v>
      </c>
      <c r="E389" s="11" t="s">
        <v>29</v>
      </c>
    </row>
    <row r="390">
      <c r="A390" s="48">
        <v>0.019444444444444445</v>
      </c>
      <c r="B390" s="62" t="s">
        <v>985</v>
      </c>
      <c r="C390" s="57" t="s">
        <v>439</v>
      </c>
      <c r="D390" s="62" t="s">
        <v>986</v>
      </c>
      <c r="E390" s="11" t="s">
        <v>33</v>
      </c>
    </row>
    <row r="391">
      <c r="A391" s="48">
        <v>0.029166666666666667</v>
      </c>
      <c r="B391" s="62" t="s">
        <v>984</v>
      </c>
      <c r="C391" s="57" t="s">
        <v>302</v>
      </c>
      <c r="D391" s="62" t="s">
        <v>986</v>
      </c>
      <c r="E391" s="11" t="s">
        <v>29</v>
      </c>
    </row>
    <row r="392">
      <c r="A392" s="48">
        <v>0.029166666666666667</v>
      </c>
      <c r="B392" s="62" t="s">
        <v>983</v>
      </c>
      <c r="C392" s="57" t="s">
        <v>175</v>
      </c>
      <c r="D392" s="62" t="s">
        <v>985</v>
      </c>
      <c r="E392" s="11" t="s">
        <v>33</v>
      </c>
    </row>
    <row r="393">
      <c r="A393" s="48">
        <v>0.03958333333333333</v>
      </c>
      <c r="B393" s="62" t="s">
        <v>809</v>
      </c>
      <c r="C393" s="57" t="s">
        <v>271</v>
      </c>
      <c r="D393" s="62" t="s">
        <v>986</v>
      </c>
      <c r="E393" s="11" t="s">
        <v>29</v>
      </c>
    </row>
    <row r="394">
      <c r="A394" s="48">
        <v>0.03958333333333333</v>
      </c>
      <c r="B394" s="62" t="s">
        <v>984</v>
      </c>
      <c r="C394" s="57" t="s">
        <v>244</v>
      </c>
      <c r="D394" s="62" t="s">
        <v>983</v>
      </c>
      <c r="E394" s="11" t="s">
        <v>33</v>
      </c>
    </row>
    <row r="395">
      <c r="A395" s="48">
        <v>0.05</v>
      </c>
      <c r="B395" s="62" t="s">
        <v>809</v>
      </c>
      <c r="C395" s="57" t="s">
        <v>218</v>
      </c>
      <c r="D395" s="62" t="s">
        <v>985</v>
      </c>
      <c r="E395" s="11" t="s">
        <v>29</v>
      </c>
    </row>
    <row r="396">
      <c r="A396" s="48">
        <v>0.05</v>
      </c>
      <c r="B396" s="62" t="s">
        <v>986</v>
      </c>
      <c r="C396" s="57" t="s">
        <v>23</v>
      </c>
      <c r="D396" s="62" t="s">
        <v>983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61" t="s">
        <v>595</v>
      </c>
      <c r="C3" s="57" t="s">
        <v>23</v>
      </c>
      <c r="D3" s="62" t="s">
        <v>904</v>
      </c>
      <c r="E3" s="11" t="s">
        <v>9</v>
      </c>
    </row>
    <row r="4">
      <c r="A4" s="7">
        <v>0.0625</v>
      </c>
      <c r="B4" s="61" t="s">
        <v>905</v>
      </c>
      <c r="C4" s="57" t="s">
        <v>218</v>
      </c>
      <c r="D4" s="61" t="s">
        <v>481</v>
      </c>
      <c r="E4" s="11" t="s">
        <v>13</v>
      </c>
    </row>
    <row r="5">
      <c r="A5" s="7">
        <v>0.07222222222222222</v>
      </c>
      <c r="B5" s="62" t="s">
        <v>905</v>
      </c>
      <c r="C5" s="57" t="s">
        <v>158</v>
      </c>
      <c r="D5" s="61" t="s">
        <v>904</v>
      </c>
      <c r="E5" s="11" t="s">
        <v>9</v>
      </c>
    </row>
    <row r="6">
      <c r="A6" s="7">
        <v>0.07222222222222222</v>
      </c>
      <c r="B6" s="61" t="s">
        <v>987</v>
      </c>
      <c r="C6" s="57" t="s">
        <v>195</v>
      </c>
      <c r="D6" s="62" t="s">
        <v>481</v>
      </c>
      <c r="E6" s="11" t="s">
        <v>13</v>
      </c>
    </row>
    <row r="7">
      <c r="A7" s="7">
        <v>0.08263888888888889</v>
      </c>
      <c r="B7" s="62" t="s">
        <v>987</v>
      </c>
      <c r="C7" s="57" t="s">
        <v>14</v>
      </c>
      <c r="D7" s="61" t="s">
        <v>905</v>
      </c>
      <c r="E7" s="11" t="s">
        <v>9</v>
      </c>
    </row>
    <row r="8">
      <c r="A8" s="7">
        <v>0.08263888888888889</v>
      </c>
      <c r="B8" s="61" t="s">
        <v>481</v>
      </c>
      <c r="C8" s="57" t="s">
        <v>165</v>
      </c>
      <c r="D8" s="61" t="s">
        <v>595</v>
      </c>
      <c r="E8" s="11" t="s">
        <v>13</v>
      </c>
    </row>
    <row r="9">
      <c r="A9" s="7">
        <v>0.09305555555555556</v>
      </c>
      <c r="B9" s="62" t="s">
        <v>987</v>
      </c>
      <c r="C9" s="57" t="s">
        <v>173</v>
      </c>
      <c r="D9" s="62" t="s">
        <v>904</v>
      </c>
      <c r="E9" s="11" t="s">
        <v>9</v>
      </c>
    </row>
    <row r="10">
      <c r="A10" s="7">
        <v>0.09305555555555556</v>
      </c>
      <c r="B10" s="61" t="s">
        <v>595</v>
      </c>
      <c r="C10" s="57" t="s">
        <v>477</v>
      </c>
      <c r="D10" s="61" t="s">
        <v>905</v>
      </c>
      <c r="E10" s="11" t="s">
        <v>13</v>
      </c>
    </row>
    <row r="11">
      <c r="A11" s="7">
        <v>0.10277777777777777</v>
      </c>
      <c r="B11" s="62" t="s">
        <v>481</v>
      </c>
      <c r="C11" s="57" t="s">
        <v>14</v>
      </c>
      <c r="D11" s="61" t="s">
        <v>904</v>
      </c>
      <c r="E11" s="11" t="s">
        <v>9</v>
      </c>
    </row>
    <row r="12">
      <c r="A12" s="7">
        <v>0.10277777777777777</v>
      </c>
      <c r="B12" s="61" t="s">
        <v>595</v>
      </c>
      <c r="C12" s="57" t="s">
        <v>162</v>
      </c>
      <c r="D12" s="62" t="s">
        <v>987</v>
      </c>
      <c r="E12" s="11" t="s">
        <v>13</v>
      </c>
    </row>
    <row r="13">
      <c r="A13" s="7">
        <v>0.11319444444444444</v>
      </c>
      <c r="B13" s="62" t="s">
        <v>904</v>
      </c>
      <c r="C13" s="57" t="s">
        <v>19</v>
      </c>
      <c r="D13" s="61" t="s">
        <v>595</v>
      </c>
      <c r="E13" s="11" t="s">
        <v>9</v>
      </c>
    </row>
    <row r="14">
      <c r="A14" s="7">
        <v>0.11319444444444444</v>
      </c>
      <c r="B14" s="61" t="s">
        <v>481</v>
      </c>
      <c r="C14" s="57" t="s">
        <v>291</v>
      </c>
      <c r="D14" s="61" t="s">
        <v>905</v>
      </c>
      <c r="E14" s="11" t="s">
        <v>13</v>
      </c>
    </row>
    <row r="15">
      <c r="A15" s="7">
        <v>0.12361111111111112</v>
      </c>
      <c r="B15" s="61" t="s">
        <v>904</v>
      </c>
      <c r="C15" s="45" t="s">
        <v>338</v>
      </c>
      <c r="D15" s="62" t="s">
        <v>905</v>
      </c>
      <c r="E15" s="11" t="s">
        <v>9</v>
      </c>
    </row>
    <row r="16">
      <c r="A16" s="7">
        <v>0.12361111111111112</v>
      </c>
      <c r="B16" s="62" t="s">
        <v>481</v>
      </c>
      <c r="C16" s="45" t="s">
        <v>203</v>
      </c>
      <c r="D16" s="61" t="s">
        <v>987</v>
      </c>
      <c r="E16" s="11" t="s">
        <v>13</v>
      </c>
    </row>
    <row r="17">
      <c r="A17" s="7">
        <v>0.13333333333333333</v>
      </c>
      <c r="B17" s="61" t="s">
        <v>905</v>
      </c>
      <c r="C17" s="45" t="s">
        <v>988</v>
      </c>
      <c r="D17" s="62" t="s">
        <v>987</v>
      </c>
      <c r="E17" s="11" t="s">
        <v>9</v>
      </c>
    </row>
    <row r="18">
      <c r="A18" s="7">
        <v>0.13333333333333333</v>
      </c>
      <c r="B18" s="61" t="s">
        <v>595</v>
      </c>
      <c r="C18" s="45" t="s">
        <v>155</v>
      </c>
      <c r="D18" s="61" t="s">
        <v>481</v>
      </c>
      <c r="E18" s="11" t="s">
        <v>13</v>
      </c>
    </row>
    <row r="19">
      <c r="A19" s="7">
        <v>0.14375</v>
      </c>
      <c r="B19" s="62" t="s">
        <v>904</v>
      </c>
      <c r="C19" s="45" t="s">
        <v>323</v>
      </c>
      <c r="D19" s="62" t="s">
        <v>987</v>
      </c>
      <c r="E19" s="11" t="s">
        <v>9</v>
      </c>
    </row>
    <row r="20">
      <c r="A20" s="7">
        <v>0.14375</v>
      </c>
      <c r="B20" s="61" t="s">
        <v>905</v>
      </c>
      <c r="C20" s="45" t="s">
        <v>38</v>
      </c>
      <c r="D20" s="61" t="s">
        <v>595</v>
      </c>
      <c r="E20" s="11" t="s">
        <v>13</v>
      </c>
    </row>
    <row r="21">
      <c r="A21" s="7">
        <v>0.15416666666666667</v>
      </c>
      <c r="B21" s="61" t="s">
        <v>904</v>
      </c>
      <c r="C21" s="45" t="s">
        <v>16</v>
      </c>
      <c r="D21" s="62" t="s">
        <v>481</v>
      </c>
      <c r="E21" s="11" t="s">
        <v>9</v>
      </c>
    </row>
    <row r="22">
      <c r="A22" s="7">
        <v>0.15416666666666667</v>
      </c>
      <c r="B22" s="62" t="s">
        <v>987</v>
      </c>
      <c r="C22" s="45" t="s">
        <v>14</v>
      </c>
      <c r="D22" s="61" t="s">
        <v>595</v>
      </c>
      <c r="E22" s="11" t="s">
        <v>13</v>
      </c>
    </row>
    <row r="23">
      <c r="A23" s="1" t="s">
        <v>25</v>
      </c>
      <c r="B23" s="2"/>
      <c r="C23" s="2"/>
      <c r="D23" s="2"/>
      <c r="E23" s="3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61" t="s">
        <v>989</v>
      </c>
      <c r="C25" s="45" t="s">
        <v>220</v>
      </c>
      <c r="D25" s="61" t="s">
        <v>484</v>
      </c>
      <c r="E25" s="11" t="s">
        <v>29</v>
      </c>
    </row>
    <row r="26">
      <c r="A26" s="7">
        <v>0.0625</v>
      </c>
      <c r="B26" s="61" t="s">
        <v>990</v>
      </c>
      <c r="C26" s="45" t="s">
        <v>186</v>
      </c>
      <c r="D26" s="61" t="s">
        <v>991</v>
      </c>
      <c r="E26" s="11" t="s">
        <v>33</v>
      </c>
    </row>
    <row r="27">
      <c r="A27" s="7">
        <v>0.07222222222222222</v>
      </c>
      <c r="B27" s="62" t="s">
        <v>990</v>
      </c>
      <c r="C27" s="45" t="s">
        <v>208</v>
      </c>
      <c r="D27" s="62" t="s">
        <v>484</v>
      </c>
      <c r="E27" s="11" t="s">
        <v>29</v>
      </c>
    </row>
    <row r="28">
      <c r="A28" s="7">
        <v>0.07222222222222222</v>
      </c>
      <c r="B28" s="61" t="s">
        <v>711</v>
      </c>
      <c r="C28" s="45" t="s">
        <v>177</v>
      </c>
      <c r="D28" s="61" t="s">
        <v>991</v>
      </c>
      <c r="E28" s="11" t="s">
        <v>33</v>
      </c>
    </row>
    <row r="29">
      <c r="A29" s="7">
        <v>0.08263888888888889</v>
      </c>
      <c r="B29" s="62" t="s">
        <v>711</v>
      </c>
      <c r="C29" s="45" t="s">
        <v>917</v>
      </c>
      <c r="D29" s="61" t="s">
        <v>990</v>
      </c>
      <c r="E29" s="11" t="s">
        <v>29</v>
      </c>
    </row>
    <row r="30">
      <c r="A30" s="7">
        <v>0.08263888888888889</v>
      </c>
      <c r="B30" s="61" t="s">
        <v>991</v>
      </c>
      <c r="C30" s="45" t="s">
        <v>20</v>
      </c>
      <c r="D30" s="61" t="s">
        <v>989</v>
      </c>
      <c r="E30" s="11" t="s">
        <v>33</v>
      </c>
    </row>
    <row r="31">
      <c r="A31" s="7">
        <v>0.09305555555555556</v>
      </c>
      <c r="B31" s="62" t="s">
        <v>711</v>
      </c>
      <c r="C31" s="45" t="s">
        <v>433</v>
      </c>
      <c r="D31" s="61" t="s">
        <v>484</v>
      </c>
      <c r="E31" s="11" t="s">
        <v>29</v>
      </c>
    </row>
    <row r="32">
      <c r="A32" s="7">
        <v>0.09305555555555556</v>
      </c>
      <c r="B32" s="61" t="s">
        <v>989</v>
      </c>
      <c r="C32" s="45" t="s">
        <v>173</v>
      </c>
      <c r="D32" s="62" t="s">
        <v>990</v>
      </c>
      <c r="E32" s="11" t="s">
        <v>33</v>
      </c>
    </row>
    <row r="33">
      <c r="A33" s="7">
        <v>0.10277777777777777</v>
      </c>
      <c r="B33" s="61" t="s">
        <v>991</v>
      </c>
      <c r="C33" s="45" t="s">
        <v>208</v>
      </c>
      <c r="D33" s="61" t="s">
        <v>484</v>
      </c>
      <c r="E33" s="11" t="s">
        <v>29</v>
      </c>
    </row>
    <row r="34">
      <c r="A34" s="7">
        <v>0.10277777777777777</v>
      </c>
      <c r="B34" s="61" t="s">
        <v>989</v>
      </c>
      <c r="C34" s="45" t="s">
        <v>239</v>
      </c>
      <c r="D34" s="61" t="s">
        <v>711</v>
      </c>
      <c r="E34" s="11" t="s">
        <v>33</v>
      </c>
    </row>
    <row r="35">
      <c r="A35" s="7">
        <v>0.11319444444444444</v>
      </c>
      <c r="B35" s="61" t="s">
        <v>484</v>
      </c>
      <c r="C35" s="45" t="s">
        <v>419</v>
      </c>
      <c r="D35" s="61" t="s">
        <v>989</v>
      </c>
      <c r="E35" s="11" t="s">
        <v>29</v>
      </c>
    </row>
    <row r="36">
      <c r="A36" s="7">
        <v>0.11319444444444444</v>
      </c>
      <c r="B36" s="61" t="s">
        <v>991</v>
      </c>
      <c r="C36" s="45" t="s">
        <v>352</v>
      </c>
      <c r="D36" s="61" t="s">
        <v>990</v>
      </c>
      <c r="E36" s="11" t="s">
        <v>33</v>
      </c>
    </row>
    <row r="37">
      <c r="A37" s="7">
        <v>0.12361111111111112</v>
      </c>
      <c r="B37" s="62" t="s">
        <v>484</v>
      </c>
      <c r="C37" s="45" t="s">
        <v>218</v>
      </c>
      <c r="D37" s="62" t="s">
        <v>990</v>
      </c>
      <c r="E37" s="11" t="s">
        <v>29</v>
      </c>
    </row>
    <row r="38">
      <c r="A38" s="7">
        <v>0.12361111111111112</v>
      </c>
      <c r="B38" s="61" t="s">
        <v>991</v>
      </c>
      <c r="C38" s="45" t="s">
        <v>301</v>
      </c>
      <c r="D38" s="61" t="s">
        <v>711</v>
      </c>
      <c r="E38" s="11" t="s">
        <v>33</v>
      </c>
    </row>
    <row r="39">
      <c r="A39" s="7">
        <v>0.13333333333333333</v>
      </c>
      <c r="B39" s="61" t="s">
        <v>990</v>
      </c>
      <c r="C39" s="45" t="s">
        <v>219</v>
      </c>
      <c r="D39" s="62" t="s">
        <v>711</v>
      </c>
      <c r="E39" s="11" t="s">
        <v>29</v>
      </c>
    </row>
    <row r="40">
      <c r="A40" s="7">
        <v>0.13333333333333333</v>
      </c>
      <c r="B40" s="61" t="s">
        <v>989</v>
      </c>
      <c r="C40" s="45" t="s">
        <v>157</v>
      </c>
      <c r="D40" s="61" t="s">
        <v>991</v>
      </c>
      <c r="E40" s="11" t="s">
        <v>33</v>
      </c>
    </row>
    <row r="41">
      <c r="A41" s="7">
        <v>0.14375</v>
      </c>
      <c r="B41" s="61" t="s">
        <v>484</v>
      </c>
      <c r="C41" s="45" t="s">
        <v>227</v>
      </c>
      <c r="D41" s="62" t="s">
        <v>711</v>
      </c>
      <c r="E41" s="11" t="s">
        <v>29</v>
      </c>
    </row>
    <row r="42">
      <c r="A42" s="7">
        <v>0.14375</v>
      </c>
      <c r="B42" s="62" t="s">
        <v>990</v>
      </c>
      <c r="C42" s="45" t="s">
        <v>41</v>
      </c>
      <c r="D42" s="61" t="s">
        <v>989</v>
      </c>
      <c r="E42" s="11" t="s">
        <v>33</v>
      </c>
    </row>
    <row r="43">
      <c r="A43" s="7">
        <v>0.15416666666666667</v>
      </c>
      <c r="B43" s="61" t="s">
        <v>484</v>
      </c>
      <c r="C43" s="45" t="s">
        <v>231</v>
      </c>
      <c r="D43" s="61" t="s">
        <v>991</v>
      </c>
      <c r="E43" s="11" t="s">
        <v>29</v>
      </c>
    </row>
    <row r="44">
      <c r="A44" s="7">
        <v>0.15416666666666667</v>
      </c>
      <c r="B44" s="61" t="s">
        <v>711</v>
      </c>
      <c r="C44" s="45" t="s">
        <v>41</v>
      </c>
      <c r="D44" s="61" t="s">
        <v>989</v>
      </c>
      <c r="E44" s="11" t="s">
        <v>33</v>
      </c>
    </row>
    <row r="45">
      <c r="A45" s="1" t="s">
        <v>45</v>
      </c>
      <c r="B45" s="2"/>
      <c r="C45" s="2"/>
      <c r="D45" s="2"/>
      <c r="E45" s="3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61" t="s">
        <v>491</v>
      </c>
      <c r="C47" s="45" t="s">
        <v>763</v>
      </c>
      <c r="D47" s="61" t="s">
        <v>992</v>
      </c>
      <c r="E47" s="11" t="s">
        <v>9</v>
      </c>
    </row>
    <row r="48">
      <c r="A48" s="7">
        <v>0.16666666666666666</v>
      </c>
      <c r="B48" s="61" t="s">
        <v>993</v>
      </c>
      <c r="C48" s="45" t="s">
        <v>302</v>
      </c>
      <c r="D48" s="61" t="s">
        <v>823</v>
      </c>
      <c r="E48" s="11" t="s">
        <v>13</v>
      </c>
    </row>
    <row r="49">
      <c r="A49" s="7">
        <v>0.1763888888888889</v>
      </c>
      <c r="B49" s="61" t="s">
        <v>993</v>
      </c>
      <c r="C49" s="45" t="s">
        <v>394</v>
      </c>
      <c r="D49" s="61" t="s">
        <v>992</v>
      </c>
      <c r="E49" s="11" t="s">
        <v>9</v>
      </c>
    </row>
    <row r="50">
      <c r="A50" s="7">
        <v>0.1763888888888889</v>
      </c>
      <c r="B50" s="61" t="s">
        <v>379</v>
      </c>
      <c r="C50" s="45" t="s">
        <v>357</v>
      </c>
      <c r="D50" s="61" t="s">
        <v>823</v>
      </c>
      <c r="E50" s="11" t="s">
        <v>13</v>
      </c>
    </row>
    <row r="51">
      <c r="A51" s="7">
        <v>0.18680555555555556</v>
      </c>
      <c r="B51" s="61" t="s">
        <v>379</v>
      </c>
      <c r="C51" s="45" t="s">
        <v>203</v>
      </c>
      <c r="D51" s="61" t="s">
        <v>993</v>
      </c>
      <c r="E51" s="11" t="s">
        <v>9</v>
      </c>
    </row>
    <row r="52">
      <c r="A52" s="7">
        <v>0.18680555555555556</v>
      </c>
      <c r="B52" s="61" t="s">
        <v>823</v>
      </c>
      <c r="C52" s="45" t="s">
        <v>181</v>
      </c>
      <c r="D52" s="61" t="s">
        <v>491</v>
      </c>
      <c r="E52" s="11" t="s">
        <v>13</v>
      </c>
    </row>
    <row r="53">
      <c r="A53" s="7">
        <v>0.19722222222222222</v>
      </c>
      <c r="B53" s="61" t="s">
        <v>379</v>
      </c>
      <c r="C53" s="45" t="s">
        <v>14</v>
      </c>
      <c r="D53" s="61" t="s">
        <v>992</v>
      </c>
      <c r="E53" s="11" t="s">
        <v>9</v>
      </c>
    </row>
    <row r="54">
      <c r="A54" s="7">
        <v>0.19722222222222222</v>
      </c>
      <c r="B54" s="61" t="s">
        <v>491</v>
      </c>
      <c r="C54" s="45" t="s">
        <v>193</v>
      </c>
      <c r="D54" s="61" t="s">
        <v>993</v>
      </c>
      <c r="E54" s="11" t="s">
        <v>13</v>
      </c>
    </row>
    <row r="55">
      <c r="A55" s="7">
        <v>0.20694444444444443</v>
      </c>
      <c r="B55" s="61" t="s">
        <v>823</v>
      </c>
      <c r="C55" s="45" t="s">
        <v>23</v>
      </c>
      <c r="D55" s="61" t="s">
        <v>992</v>
      </c>
      <c r="E55" s="11" t="s">
        <v>9</v>
      </c>
    </row>
    <row r="56">
      <c r="A56" s="7">
        <v>0.20694444444444443</v>
      </c>
      <c r="B56" s="61" t="s">
        <v>491</v>
      </c>
      <c r="C56" s="45" t="s">
        <v>570</v>
      </c>
      <c r="D56" s="61" t="s">
        <v>379</v>
      </c>
      <c r="E56" s="11" t="s">
        <v>13</v>
      </c>
    </row>
    <row r="57">
      <c r="A57" s="7">
        <v>0.21736111111111112</v>
      </c>
      <c r="B57" s="61" t="s">
        <v>992</v>
      </c>
      <c r="C57" s="45" t="s">
        <v>264</v>
      </c>
      <c r="D57" s="61" t="s">
        <v>491</v>
      </c>
      <c r="E57" s="11" t="s">
        <v>9</v>
      </c>
    </row>
    <row r="58">
      <c r="A58" s="7">
        <v>0.21736111111111112</v>
      </c>
      <c r="B58" s="61" t="s">
        <v>823</v>
      </c>
      <c r="C58" s="45" t="s">
        <v>162</v>
      </c>
      <c r="D58" s="61" t="s">
        <v>993</v>
      </c>
      <c r="E58" s="11" t="s">
        <v>13</v>
      </c>
    </row>
    <row r="59">
      <c r="A59" s="7">
        <v>0.22777777777777777</v>
      </c>
      <c r="B59" s="61" t="s">
        <v>992</v>
      </c>
      <c r="C59" s="45" t="s">
        <v>158</v>
      </c>
      <c r="D59" s="61" t="s">
        <v>993</v>
      </c>
      <c r="E59" s="11" t="s">
        <v>9</v>
      </c>
    </row>
    <row r="60">
      <c r="A60" s="7">
        <v>0.22777777777777777</v>
      </c>
      <c r="B60" s="61" t="s">
        <v>823</v>
      </c>
      <c r="C60" s="45" t="s">
        <v>324</v>
      </c>
      <c r="D60" s="61" t="s">
        <v>379</v>
      </c>
      <c r="E60" s="11" t="s">
        <v>13</v>
      </c>
    </row>
    <row r="61">
      <c r="A61" s="7">
        <v>0.2375</v>
      </c>
      <c r="B61" s="61" t="s">
        <v>993</v>
      </c>
      <c r="C61" s="45" t="s">
        <v>19</v>
      </c>
      <c r="D61" s="61" t="s">
        <v>379</v>
      </c>
      <c r="E61" s="11" t="s">
        <v>9</v>
      </c>
    </row>
    <row r="62">
      <c r="A62" s="7">
        <v>0.2375</v>
      </c>
      <c r="B62" s="61" t="s">
        <v>491</v>
      </c>
      <c r="C62" s="45" t="s">
        <v>301</v>
      </c>
      <c r="D62" s="61" t="s">
        <v>823</v>
      </c>
      <c r="E62" s="11" t="s">
        <v>13</v>
      </c>
    </row>
    <row r="63">
      <c r="A63" s="7">
        <v>0.24791666666666667</v>
      </c>
      <c r="B63" s="61" t="s">
        <v>992</v>
      </c>
      <c r="C63" s="45" t="s">
        <v>7</v>
      </c>
      <c r="D63" s="61" t="s">
        <v>379</v>
      </c>
      <c r="E63" s="11" t="s">
        <v>9</v>
      </c>
    </row>
    <row r="64">
      <c r="A64" s="7">
        <v>0.24791666666666667</v>
      </c>
      <c r="B64" s="61" t="s">
        <v>993</v>
      </c>
      <c r="C64" s="45" t="s">
        <v>14</v>
      </c>
      <c r="D64" s="61" t="s">
        <v>491</v>
      </c>
      <c r="E64" s="11" t="s">
        <v>13</v>
      </c>
    </row>
    <row r="65">
      <c r="A65" s="7">
        <v>0.25833333333333336</v>
      </c>
      <c r="B65" s="61" t="s">
        <v>992</v>
      </c>
      <c r="C65" s="45" t="s">
        <v>292</v>
      </c>
      <c r="D65" s="61" t="s">
        <v>823</v>
      </c>
      <c r="E65" s="11" t="s">
        <v>9</v>
      </c>
    </row>
    <row r="66">
      <c r="A66" s="7">
        <v>0.25833333333333336</v>
      </c>
      <c r="B66" s="61" t="s">
        <v>379</v>
      </c>
      <c r="C66" s="45" t="s">
        <v>158</v>
      </c>
      <c r="D66" s="61" t="s">
        <v>491</v>
      </c>
      <c r="E66" s="11" t="s">
        <v>13</v>
      </c>
    </row>
    <row r="67">
      <c r="A67" s="1" t="s">
        <v>45</v>
      </c>
      <c r="B67" s="2"/>
      <c r="C67" s="2"/>
      <c r="D67" s="2"/>
      <c r="E67" s="3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61" t="s">
        <v>994</v>
      </c>
      <c r="C69" s="45" t="s">
        <v>7</v>
      </c>
      <c r="D69" s="61" t="s">
        <v>591</v>
      </c>
      <c r="E69" s="11" t="s">
        <v>29</v>
      </c>
    </row>
    <row r="70">
      <c r="A70" s="7">
        <v>0.16666666666666666</v>
      </c>
      <c r="B70" s="61" t="s">
        <v>995</v>
      </c>
      <c r="C70" s="45" t="s">
        <v>220</v>
      </c>
      <c r="D70" s="61" t="s">
        <v>996</v>
      </c>
      <c r="E70" s="11" t="s">
        <v>33</v>
      </c>
    </row>
    <row r="71">
      <c r="A71" s="7">
        <v>0.1763888888888889</v>
      </c>
      <c r="B71" s="61" t="s">
        <v>995</v>
      </c>
      <c r="C71" s="45" t="s">
        <v>158</v>
      </c>
      <c r="D71" s="61" t="s">
        <v>591</v>
      </c>
      <c r="E71" s="11" t="s">
        <v>29</v>
      </c>
    </row>
    <row r="72">
      <c r="A72" s="7">
        <v>0.1763888888888889</v>
      </c>
      <c r="B72" s="61" t="s">
        <v>997</v>
      </c>
      <c r="C72" s="45" t="s">
        <v>958</v>
      </c>
      <c r="D72" s="61" t="s">
        <v>996</v>
      </c>
      <c r="E72" s="11" t="s">
        <v>33</v>
      </c>
    </row>
    <row r="73">
      <c r="A73" s="7">
        <v>0.18680555555555556</v>
      </c>
      <c r="B73" s="61" t="s">
        <v>997</v>
      </c>
      <c r="C73" s="45" t="s">
        <v>230</v>
      </c>
      <c r="D73" s="61" t="s">
        <v>995</v>
      </c>
      <c r="E73" s="11" t="s">
        <v>29</v>
      </c>
    </row>
    <row r="74">
      <c r="A74" s="7">
        <v>0.18680555555555556</v>
      </c>
      <c r="B74" s="61" t="s">
        <v>996</v>
      </c>
      <c r="C74" s="45" t="s">
        <v>193</v>
      </c>
      <c r="D74" s="61" t="s">
        <v>994</v>
      </c>
      <c r="E74" s="11" t="s">
        <v>33</v>
      </c>
    </row>
    <row r="75">
      <c r="A75" s="7">
        <v>0.19722222222222222</v>
      </c>
      <c r="B75" s="61" t="s">
        <v>997</v>
      </c>
      <c r="C75" s="45" t="s">
        <v>38</v>
      </c>
      <c r="D75" s="61" t="s">
        <v>591</v>
      </c>
      <c r="E75" s="11" t="s">
        <v>29</v>
      </c>
    </row>
    <row r="76">
      <c r="A76" s="7">
        <v>0.19722222222222222</v>
      </c>
      <c r="B76" s="61" t="s">
        <v>994</v>
      </c>
      <c r="C76" s="45" t="s">
        <v>290</v>
      </c>
      <c r="D76" s="61" t="s">
        <v>995</v>
      </c>
      <c r="E76" s="11" t="s">
        <v>33</v>
      </c>
    </row>
    <row r="77">
      <c r="A77" s="7">
        <v>0.20694444444444443</v>
      </c>
      <c r="B77" s="61" t="s">
        <v>996</v>
      </c>
      <c r="C77" s="45" t="s">
        <v>7</v>
      </c>
      <c r="D77" s="61" t="s">
        <v>591</v>
      </c>
      <c r="E77" s="11" t="s">
        <v>29</v>
      </c>
    </row>
    <row r="78">
      <c r="A78" s="7">
        <v>0.20694444444444443</v>
      </c>
      <c r="B78" s="61" t="s">
        <v>994</v>
      </c>
      <c r="C78" s="45" t="s">
        <v>459</v>
      </c>
      <c r="D78" s="61" t="s">
        <v>997</v>
      </c>
      <c r="E78" s="11" t="s">
        <v>33</v>
      </c>
    </row>
    <row r="79">
      <c r="A79" s="7">
        <v>0.21736111111111112</v>
      </c>
      <c r="B79" s="61" t="s">
        <v>591</v>
      </c>
      <c r="C79" s="45" t="s">
        <v>36</v>
      </c>
      <c r="D79" s="61" t="s">
        <v>994</v>
      </c>
      <c r="E79" s="11" t="s">
        <v>29</v>
      </c>
    </row>
    <row r="80">
      <c r="A80" s="7">
        <v>0.21736111111111112</v>
      </c>
      <c r="B80" s="61" t="s">
        <v>996</v>
      </c>
      <c r="C80" s="45" t="s">
        <v>302</v>
      </c>
      <c r="D80" s="61" t="s">
        <v>995</v>
      </c>
      <c r="E80" s="11" t="s">
        <v>33</v>
      </c>
    </row>
    <row r="81">
      <c r="A81" s="7">
        <v>0.22777777777777777</v>
      </c>
      <c r="B81" s="61" t="s">
        <v>591</v>
      </c>
      <c r="C81" s="45" t="s">
        <v>225</v>
      </c>
      <c r="D81" s="61" t="s">
        <v>995</v>
      </c>
      <c r="E81" s="11" t="s">
        <v>29</v>
      </c>
    </row>
    <row r="82">
      <c r="A82" s="7">
        <v>0.22777777777777777</v>
      </c>
      <c r="B82" s="61" t="s">
        <v>996</v>
      </c>
      <c r="C82" s="45" t="s">
        <v>41</v>
      </c>
      <c r="D82" s="61" t="s">
        <v>997</v>
      </c>
      <c r="E82" s="11" t="s">
        <v>33</v>
      </c>
    </row>
    <row r="83">
      <c r="A83" s="7">
        <v>0.2375</v>
      </c>
      <c r="B83" s="61" t="s">
        <v>995</v>
      </c>
      <c r="C83" s="45" t="s">
        <v>155</v>
      </c>
      <c r="D83" s="61" t="s">
        <v>997</v>
      </c>
      <c r="E83" s="11" t="s">
        <v>29</v>
      </c>
    </row>
    <row r="84">
      <c r="A84" s="7">
        <v>0.2375</v>
      </c>
      <c r="B84" s="61" t="s">
        <v>994</v>
      </c>
      <c r="C84" s="45" t="s">
        <v>998</v>
      </c>
      <c r="D84" s="61" t="s">
        <v>996</v>
      </c>
      <c r="E84" s="11" t="s">
        <v>33</v>
      </c>
    </row>
    <row r="85">
      <c r="A85" s="7">
        <v>0.24791666666666667</v>
      </c>
      <c r="B85" s="61" t="s">
        <v>591</v>
      </c>
      <c r="C85" s="45" t="s">
        <v>419</v>
      </c>
      <c r="D85" s="61" t="s">
        <v>997</v>
      </c>
      <c r="E85" s="11" t="s">
        <v>29</v>
      </c>
    </row>
    <row r="86">
      <c r="A86" s="7">
        <v>0.24791666666666667</v>
      </c>
      <c r="B86" s="61" t="s">
        <v>995</v>
      </c>
      <c r="C86" s="45" t="s">
        <v>181</v>
      </c>
      <c r="D86" s="61" t="s">
        <v>994</v>
      </c>
      <c r="E86" s="11" t="s">
        <v>33</v>
      </c>
    </row>
    <row r="87">
      <c r="A87" s="7">
        <v>0.25833333333333336</v>
      </c>
      <c r="B87" s="61" t="s">
        <v>591</v>
      </c>
      <c r="C87" s="45" t="s">
        <v>19</v>
      </c>
      <c r="D87" s="61" t="s">
        <v>996</v>
      </c>
      <c r="E87" s="11" t="s">
        <v>29</v>
      </c>
    </row>
    <row r="88">
      <c r="A88" s="7">
        <v>0.25833333333333336</v>
      </c>
      <c r="B88" s="61" t="s">
        <v>997</v>
      </c>
      <c r="C88" s="45" t="s">
        <v>37</v>
      </c>
      <c r="D88" s="61" t="s">
        <v>994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922</v>
      </c>
      <c r="C91" s="45" t="s">
        <v>303</v>
      </c>
      <c r="D91" s="61" t="s">
        <v>999</v>
      </c>
      <c r="E91" s="11" t="s">
        <v>9</v>
      </c>
    </row>
    <row r="92">
      <c r="A92" s="48">
        <v>0.3333333333333333</v>
      </c>
      <c r="B92" s="61" t="s">
        <v>1000</v>
      </c>
      <c r="C92" s="45" t="s">
        <v>7</v>
      </c>
      <c r="D92" s="61" t="s">
        <v>1001</v>
      </c>
      <c r="E92" s="11" t="s">
        <v>13</v>
      </c>
    </row>
    <row r="93">
      <c r="A93" s="48">
        <v>0.34305555555555556</v>
      </c>
      <c r="B93" s="61" t="s">
        <v>1000</v>
      </c>
      <c r="C93" s="45" t="s">
        <v>908</v>
      </c>
      <c r="D93" s="61" t="s">
        <v>999</v>
      </c>
      <c r="E93" s="11" t="s">
        <v>9</v>
      </c>
    </row>
    <row r="94">
      <c r="A94" s="48">
        <v>0.34305555555555556</v>
      </c>
      <c r="B94" s="61" t="s">
        <v>921</v>
      </c>
      <c r="C94" s="45" t="s">
        <v>158</v>
      </c>
      <c r="D94" s="61" t="s">
        <v>1001</v>
      </c>
      <c r="E94" s="11" t="s">
        <v>13</v>
      </c>
    </row>
    <row r="95">
      <c r="A95" s="48">
        <v>0.35347222222222224</v>
      </c>
      <c r="B95" s="61" t="s">
        <v>921</v>
      </c>
      <c r="C95" s="45" t="s">
        <v>11</v>
      </c>
      <c r="D95" s="61" t="s">
        <v>1000</v>
      </c>
      <c r="E95" s="11" t="s">
        <v>9</v>
      </c>
    </row>
    <row r="96">
      <c r="A96" s="48">
        <v>0.35347222222222224</v>
      </c>
      <c r="B96" s="61" t="s">
        <v>1001</v>
      </c>
      <c r="C96" s="45" t="s">
        <v>198</v>
      </c>
      <c r="D96" s="61" t="s">
        <v>922</v>
      </c>
      <c r="E96" s="11" t="s">
        <v>13</v>
      </c>
    </row>
    <row r="97">
      <c r="A97" s="48">
        <v>0.3638888888888889</v>
      </c>
      <c r="B97" s="61" t="s">
        <v>921</v>
      </c>
      <c r="C97" s="45" t="s">
        <v>44</v>
      </c>
      <c r="D97" s="61" t="s">
        <v>999</v>
      </c>
      <c r="E97" s="11" t="s">
        <v>9</v>
      </c>
    </row>
    <row r="98">
      <c r="A98" s="48">
        <v>0.3638888888888889</v>
      </c>
      <c r="B98" s="61" t="s">
        <v>922</v>
      </c>
      <c r="C98" s="45" t="s">
        <v>165</v>
      </c>
      <c r="D98" s="61" t="s">
        <v>1000</v>
      </c>
      <c r="E98" s="11" t="s">
        <v>13</v>
      </c>
    </row>
    <row r="99">
      <c r="A99" s="48">
        <v>0.3736111111111111</v>
      </c>
      <c r="B99" s="61" t="s">
        <v>1001</v>
      </c>
      <c r="C99" s="45" t="s">
        <v>181</v>
      </c>
      <c r="D99" s="61" t="s">
        <v>999</v>
      </c>
      <c r="E99" s="11" t="s">
        <v>9</v>
      </c>
    </row>
    <row r="100">
      <c r="A100" s="48">
        <v>0.3736111111111111</v>
      </c>
      <c r="B100" s="61" t="s">
        <v>922</v>
      </c>
      <c r="C100" s="45" t="s">
        <v>342</v>
      </c>
      <c r="D100" s="61" t="s">
        <v>921</v>
      </c>
      <c r="E100" s="11" t="s">
        <v>13</v>
      </c>
    </row>
    <row r="101">
      <c r="A101" s="48">
        <v>0.3840277777777778</v>
      </c>
      <c r="B101" s="61" t="s">
        <v>999</v>
      </c>
      <c r="C101" s="45" t="s">
        <v>41</v>
      </c>
      <c r="D101" s="61" t="s">
        <v>922</v>
      </c>
      <c r="E101" s="11" t="s">
        <v>9</v>
      </c>
    </row>
    <row r="102">
      <c r="A102" s="48">
        <v>0.3840277777777778</v>
      </c>
      <c r="B102" s="61" t="s">
        <v>1001</v>
      </c>
      <c r="C102" s="45" t="s">
        <v>24</v>
      </c>
      <c r="D102" s="61" t="s">
        <v>1000</v>
      </c>
      <c r="E102" s="11" t="s">
        <v>13</v>
      </c>
    </row>
    <row r="103">
      <c r="A103" s="48">
        <v>0.39444444444444443</v>
      </c>
      <c r="B103" s="61" t="s">
        <v>999</v>
      </c>
      <c r="C103" s="45" t="s">
        <v>250</v>
      </c>
      <c r="D103" s="61" t="s">
        <v>1000</v>
      </c>
      <c r="E103" s="11" t="s">
        <v>9</v>
      </c>
    </row>
    <row r="104">
      <c r="A104" s="48">
        <v>0.39444444444444443</v>
      </c>
      <c r="B104" s="61" t="s">
        <v>1001</v>
      </c>
      <c r="C104" s="45" t="s">
        <v>291</v>
      </c>
      <c r="D104" s="61" t="s">
        <v>921</v>
      </c>
      <c r="E104" s="11" t="s">
        <v>13</v>
      </c>
    </row>
    <row r="105">
      <c r="A105" s="48">
        <v>0.4041666666666667</v>
      </c>
      <c r="B105" s="61" t="s">
        <v>1000</v>
      </c>
      <c r="C105" s="45" t="s">
        <v>1002</v>
      </c>
      <c r="D105" s="61" t="s">
        <v>921</v>
      </c>
      <c r="E105" s="11" t="s">
        <v>9</v>
      </c>
    </row>
    <row r="106">
      <c r="A106" s="48">
        <v>0.4041666666666667</v>
      </c>
      <c r="B106" s="61" t="s">
        <v>922</v>
      </c>
      <c r="C106" s="45" t="s">
        <v>916</v>
      </c>
      <c r="D106" s="61" t="s">
        <v>1001</v>
      </c>
      <c r="E106" s="11" t="s">
        <v>13</v>
      </c>
    </row>
    <row r="107">
      <c r="A107" s="48">
        <v>0.41458333333333336</v>
      </c>
      <c r="B107" s="61" t="s">
        <v>999</v>
      </c>
      <c r="C107" s="45" t="s">
        <v>27</v>
      </c>
      <c r="D107" s="61" t="s">
        <v>921</v>
      </c>
      <c r="E107" s="11" t="s">
        <v>9</v>
      </c>
    </row>
    <row r="108">
      <c r="A108" s="48">
        <v>0.41458333333333336</v>
      </c>
      <c r="B108" s="61" t="s">
        <v>1000</v>
      </c>
      <c r="C108" s="45" t="s">
        <v>610</v>
      </c>
      <c r="D108" s="61" t="s">
        <v>922</v>
      </c>
      <c r="E108" s="11" t="s">
        <v>13</v>
      </c>
    </row>
    <row r="109">
      <c r="A109" s="48">
        <v>0.425</v>
      </c>
      <c r="B109" s="61" t="s">
        <v>999</v>
      </c>
      <c r="C109" s="45" t="s">
        <v>211</v>
      </c>
      <c r="D109" s="61" t="s">
        <v>1001</v>
      </c>
      <c r="E109" s="11" t="s">
        <v>9</v>
      </c>
    </row>
    <row r="110">
      <c r="A110" s="48">
        <v>0.425</v>
      </c>
      <c r="B110" s="61" t="s">
        <v>921</v>
      </c>
      <c r="C110" s="45" t="s">
        <v>554</v>
      </c>
      <c r="D110" s="61" t="s">
        <v>922</v>
      </c>
      <c r="E110" s="11" t="s">
        <v>13</v>
      </c>
    </row>
    <row r="111">
      <c r="A111" s="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  <c r="G112" s="50"/>
    </row>
    <row r="113">
      <c r="A113" s="49">
        <v>0.3333333333333333</v>
      </c>
      <c r="B113" s="61" t="s">
        <v>1003</v>
      </c>
      <c r="C113" s="45" t="s">
        <v>16</v>
      </c>
      <c r="D113" s="61" t="s">
        <v>1004</v>
      </c>
      <c r="E113" s="11" t="s">
        <v>29</v>
      </c>
    </row>
    <row r="114">
      <c r="A114" s="30">
        <v>0.3333333333333333</v>
      </c>
      <c r="B114" s="61" t="s">
        <v>1005</v>
      </c>
      <c r="C114" s="45" t="s">
        <v>239</v>
      </c>
      <c r="D114" s="61" t="s">
        <v>1006</v>
      </c>
      <c r="E114" s="11" t="s">
        <v>33</v>
      </c>
    </row>
    <row r="115">
      <c r="A115" s="30">
        <v>0.34305555555555556</v>
      </c>
      <c r="B115" s="61" t="s">
        <v>1005</v>
      </c>
      <c r="C115" s="45" t="s">
        <v>432</v>
      </c>
      <c r="D115" s="61" t="s">
        <v>1004</v>
      </c>
      <c r="E115" s="11" t="s">
        <v>29</v>
      </c>
    </row>
    <row r="116">
      <c r="A116" s="30">
        <v>0.34305555555555556</v>
      </c>
      <c r="B116" s="61" t="s">
        <v>1007</v>
      </c>
      <c r="C116" s="45" t="s">
        <v>24</v>
      </c>
      <c r="D116" s="61" t="s">
        <v>1006</v>
      </c>
      <c r="E116" s="11" t="s">
        <v>33</v>
      </c>
    </row>
    <row r="117">
      <c r="A117" s="30">
        <v>0.35347222222222224</v>
      </c>
      <c r="B117" s="61" t="s">
        <v>1007</v>
      </c>
      <c r="C117" s="45" t="s">
        <v>638</v>
      </c>
      <c r="D117" s="61" t="s">
        <v>1005</v>
      </c>
      <c r="E117" s="11" t="s">
        <v>29</v>
      </c>
    </row>
    <row r="118">
      <c r="A118" s="30">
        <v>0.35347222222222224</v>
      </c>
      <c r="B118" s="61" t="s">
        <v>1006</v>
      </c>
      <c r="C118" s="45" t="s">
        <v>20</v>
      </c>
      <c r="D118" s="61" t="s">
        <v>1003</v>
      </c>
      <c r="E118" s="11" t="s">
        <v>33</v>
      </c>
    </row>
    <row r="119">
      <c r="A119" s="30">
        <v>0.3638888888888889</v>
      </c>
      <c r="B119" s="61" t="s">
        <v>1007</v>
      </c>
      <c r="C119" s="45" t="s">
        <v>1008</v>
      </c>
      <c r="D119" s="61" t="s">
        <v>1004</v>
      </c>
      <c r="E119" s="11" t="s">
        <v>29</v>
      </c>
    </row>
    <row r="120">
      <c r="A120" s="30">
        <v>0.3638888888888889</v>
      </c>
      <c r="B120" s="61" t="s">
        <v>1003</v>
      </c>
      <c r="C120" s="45" t="s">
        <v>182</v>
      </c>
      <c r="D120" s="61" t="s">
        <v>1005</v>
      </c>
      <c r="E120" s="11" t="s">
        <v>33</v>
      </c>
    </row>
    <row r="121">
      <c r="A121" s="30">
        <v>0.3736111111111111</v>
      </c>
      <c r="B121" s="61" t="s">
        <v>1006</v>
      </c>
      <c r="C121" s="45" t="s">
        <v>155</v>
      </c>
      <c r="D121" s="61" t="s">
        <v>1004</v>
      </c>
      <c r="E121" s="11" t="s">
        <v>29</v>
      </c>
    </row>
    <row r="122">
      <c r="A122" s="30">
        <v>0.3736111111111111</v>
      </c>
      <c r="B122" s="61" t="s">
        <v>1003</v>
      </c>
      <c r="C122" s="45" t="s">
        <v>155</v>
      </c>
      <c r="D122" s="61" t="s">
        <v>1007</v>
      </c>
      <c r="E122" s="11" t="s">
        <v>33</v>
      </c>
    </row>
    <row r="123">
      <c r="A123" s="30">
        <v>0.3840277777777778</v>
      </c>
      <c r="B123" s="61" t="s">
        <v>1004</v>
      </c>
      <c r="C123" s="45" t="s">
        <v>43</v>
      </c>
      <c r="D123" s="61" t="s">
        <v>1003</v>
      </c>
      <c r="E123" s="11" t="s">
        <v>29</v>
      </c>
    </row>
    <row r="124">
      <c r="A124" s="30">
        <v>0.3840277777777778</v>
      </c>
      <c r="B124" s="61" t="s">
        <v>1006</v>
      </c>
      <c r="C124" s="45" t="s">
        <v>171</v>
      </c>
      <c r="D124" s="61" t="s">
        <v>1005</v>
      </c>
      <c r="E124" s="11" t="s">
        <v>33</v>
      </c>
    </row>
    <row r="125">
      <c r="A125" s="30">
        <v>0.39444444444444443</v>
      </c>
      <c r="B125" s="61" t="s">
        <v>1004</v>
      </c>
      <c r="C125" s="45" t="s">
        <v>246</v>
      </c>
      <c r="D125" s="61" t="s">
        <v>1005</v>
      </c>
      <c r="E125" s="11" t="s">
        <v>29</v>
      </c>
    </row>
    <row r="126">
      <c r="A126" s="30">
        <v>0.39444444444444443</v>
      </c>
      <c r="B126" s="61" t="s">
        <v>1006</v>
      </c>
      <c r="C126" s="45" t="s">
        <v>158</v>
      </c>
      <c r="D126" s="61" t="s">
        <v>1007</v>
      </c>
      <c r="E126" s="11" t="s">
        <v>33</v>
      </c>
    </row>
    <row r="127">
      <c r="A127" s="30">
        <v>0.4041666666666667</v>
      </c>
      <c r="B127" s="61" t="s">
        <v>1005</v>
      </c>
      <c r="C127" s="45" t="s">
        <v>1009</v>
      </c>
      <c r="D127" s="61" t="s">
        <v>1007</v>
      </c>
      <c r="E127" s="11" t="s">
        <v>29</v>
      </c>
    </row>
    <row r="128">
      <c r="A128" s="30">
        <v>0.4041666666666667</v>
      </c>
      <c r="B128" s="61" t="s">
        <v>1003</v>
      </c>
      <c r="C128" s="45" t="s">
        <v>24</v>
      </c>
      <c r="D128" s="61" t="s">
        <v>1006</v>
      </c>
      <c r="E128" s="11" t="s">
        <v>33</v>
      </c>
    </row>
    <row r="129">
      <c r="A129" s="30">
        <v>0.41458333333333336</v>
      </c>
      <c r="B129" s="61" t="s">
        <v>1004</v>
      </c>
      <c r="C129" s="45" t="s">
        <v>281</v>
      </c>
      <c r="D129" s="61" t="s">
        <v>1007</v>
      </c>
      <c r="E129" s="11" t="s">
        <v>29</v>
      </c>
    </row>
    <row r="130">
      <c r="A130" s="30">
        <v>0.41458333333333336</v>
      </c>
      <c r="B130" s="61" t="s">
        <v>1005</v>
      </c>
      <c r="C130" s="45" t="s">
        <v>211</v>
      </c>
      <c r="D130" s="61" t="s">
        <v>1003</v>
      </c>
      <c r="E130" s="11" t="s">
        <v>33</v>
      </c>
    </row>
    <row r="131">
      <c r="A131" s="30">
        <v>0.425</v>
      </c>
      <c r="B131" s="61" t="s">
        <v>1004</v>
      </c>
      <c r="C131" s="45" t="s">
        <v>417</v>
      </c>
      <c r="D131" s="61" t="s">
        <v>1006</v>
      </c>
      <c r="E131" s="11" t="s">
        <v>29</v>
      </c>
    </row>
    <row r="132">
      <c r="A132" s="30">
        <v>0.425</v>
      </c>
      <c r="B132" s="61" t="s">
        <v>1007</v>
      </c>
      <c r="C132" s="45" t="s">
        <v>163</v>
      </c>
      <c r="D132" s="61" t="s">
        <v>1003</v>
      </c>
      <c r="E132" s="11" t="s">
        <v>33</v>
      </c>
    </row>
    <row r="133">
      <c r="A133" s="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738</v>
      </c>
      <c r="C135" s="57" t="s">
        <v>439</v>
      </c>
      <c r="D135" s="61" t="s">
        <v>1010</v>
      </c>
      <c r="E135" s="11" t="s">
        <v>9</v>
      </c>
    </row>
    <row r="136">
      <c r="A136" s="48">
        <v>0.4375</v>
      </c>
      <c r="B136" s="61" t="s">
        <v>1011</v>
      </c>
      <c r="C136" s="57" t="s">
        <v>464</v>
      </c>
      <c r="D136" s="61" t="s">
        <v>742</v>
      </c>
      <c r="E136" s="11" t="s">
        <v>13</v>
      </c>
    </row>
    <row r="137">
      <c r="A137" s="48">
        <v>0.44722222222222224</v>
      </c>
      <c r="B137" s="61" t="s">
        <v>1011</v>
      </c>
      <c r="C137" s="57" t="s">
        <v>507</v>
      </c>
      <c r="D137" s="61" t="s">
        <v>1010</v>
      </c>
      <c r="E137" s="11" t="s">
        <v>9</v>
      </c>
    </row>
    <row r="138">
      <c r="A138" s="48">
        <v>0.44722222222222224</v>
      </c>
      <c r="B138" s="61" t="s">
        <v>1012</v>
      </c>
      <c r="C138" s="57" t="s">
        <v>219</v>
      </c>
      <c r="D138" s="61" t="s">
        <v>742</v>
      </c>
      <c r="E138" s="11" t="s">
        <v>13</v>
      </c>
    </row>
    <row r="139">
      <c r="A139" s="48">
        <v>0.4576388888888889</v>
      </c>
      <c r="B139" s="61" t="s">
        <v>1012</v>
      </c>
      <c r="C139" s="57" t="s">
        <v>163</v>
      </c>
      <c r="D139" s="61" t="s">
        <v>1011</v>
      </c>
      <c r="E139" s="11" t="s">
        <v>9</v>
      </c>
    </row>
    <row r="140">
      <c r="A140" s="48">
        <v>0.4576388888888889</v>
      </c>
      <c r="B140" s="61" t="s">
        <v>742</v>
      </c>
      <c r="C140" s="57" t="s">
        <v>194</v>
      </c>
      <c r="D140" s="61" t="s">
        <v>738</v>
      </c>
      <c r="E140" s="11" t="s">
        <v>13</v>
      </c>
    </row>
    <row r="141">
      <c r="A141" s="48">
        <v>0.46805555555555556</v>
      </c>
      <c r="B141" s="61" t="s">
        <v>1012</v>
      </c>
      <c r="C141" s="57" t="s">
        <v>222</v>
      </c>
      <c r="D141" s="61" t="s">
        <v>1010</v>
      </c>
      <c r="E141" s="11" t="s">
        <v>9</v>
      </c>
    </row>
    <row r="142">
      <c r="A142" s="48">
        <v>0.46805555555555556</v>
      </c>
      <c r="B142" s="61" t="s">
        <v>738</v>
      </c>
      <c r="C142" s="57" t="s">
        <v>376</v>
      </c>
      <c r="D142" s="61" t="s">
        <v>1011</v>
      </c>
      <c r="E142" s="11" t="s">
        <v>13</v>
      </c>
    </row>
    <row r="143">
      <c r="A143" s="48">
        <v>0.4777777777777778</v>
      </c>
      <c r="B143" s="61" t="s">
        <v>742</v>
      </c>
      <c r="C143" s="57" t="s">
        <v>425</v>
      </c>
      <c r="D143" s="61" t="s">
        <v>1010</v>
      </c>
      <c r="E143" s="11" t="s">
        <v>9</v>
      </c>
    </row>
    <row r="144">
      <c r="A144" s="48">
        <v>0.4777777777777778</v>
      </c>
      <c r="B144" s="61" t="s">
        <v>738</v>
      </c>
      <c r="C144" s="57" t="s">
        <v>163</v>
      </c>
      <c r="D144" s="61" t="s">
        <v>1012</v>
      </c>
      <c r="E144" s="11" t="s">
        <v>13</v>
      </c>
    </row>
    <row r="145">
      <c r="A145" s="48">
        <v>0.48819444444444443</v>
      </c>
      <c r="B145" s="61" t="s">
        <v>1010</v>
      </c>
      <c r="C145" s="57" t="s">
        <v>210</v>
      </c>
      <c r="D145" s="61" t="s">
        <v>738</v>
      </c>
      <c r="E145" s="11" t="s">
        <v>9</v>
      </c>
    </row>
    <row r="146">
      <c r="A146" s="48">
        <v>0.48819444444444443</v>
      </c>
      <c r="B146" s="61" t="s">
        <v>742</v>
      </c>
      <c r="C146" s="57" t="s">
        <v>225</v>
      </c>
      <c r="D146" s="61" t="s">
        <v>1011</v>
      </c>
      <c r="E146" s="11" t="s">
        <v>13</v>
      </c>
    </row>
    <row r="147">
      <c r="A147" s="48">
        <v>0.4986111111111111</v>
      </c>
      <c r="B147" s="61" t="s">
        <v>1010</v>
      </c>
      <c r="C147" s="45" t="s">
        <v>395</v>
      </c>
      <c r="D147" s="61" t="s">
        <v>1011</v>
      </c>
      <c r="E147" s="11" t="s">
        <v>9</v>
      </c>
    </row>
    <row r="148">
      <c r="A148" s="48">
        <v>0.4986111111111111</v>
      </c>
      <c r="B148" s="61" t="s">
        <v>742</v>
      </c>
      <c r="C148" s="45" t="s">
        <v>161</v>
      </c>
      <c r="D148" s="61" t="s">
        <v>1012</v>
      </c>
      <c r="E148" s="11" t="s">
        <v>13</v>
      </c>
    </row>
    <row r="149">
      <c r="A149" s="48">
        <v>0.5083333333333333</v>
      </c>
      <c r="B149" s="61" t="s">
        <v>1011</v>
      </c>
      <c r="C149" s="45" t="s">
        <v>278</v>
      </c>
      <c r="D149" s="61" t="s">
        <v>1012</v>
      </c>
      <c r="E149" s="11" t="s">
        <v>9</v>
      </c>
    </row>
    <row r="150">
      <c r="A150" s="48">
        <v>0.5083333333333333</v>
      </c>
      <c r="B150" s="61" t="s">
        <v>738</v>
      </c>
      <c r="C150" s="45" t="s">
        <v>218</v>
      </c>
      <c r="D150" s="61" t="s">
        <v>742</v>
      </c>
      <c r="E150" s="11" t="s">
        <v>13</v>
      </c>
    </row>
    <row r="151">
      <c r="A151" s="48">
        <v>0.51875</v>
      </c>
      <c r="B151" s="61" t="s">
        <v>1010</v>
      </c>
      <c r="C151" s="45" t="s">
        <v>198</v>
      </c>
      <c r="D151" s="61" t="s">
        <v>1012</v>
      </c>
      <c r="E151" s="11" t="s">
        <v>9</v>
      </c>
    </row>
    <row r="152">
      <c r="A152" s="48">
        <v>0.51875</v>
      </c>
      <c r="B152" s="61" t="s">
        <v>1011</v>
      </c>
      <c r="C152" s="45" t="s">
        <v>22</v>
      </c>
      <c r="D152" s="61" t="s">
        <v>738</v>
      </c>
      <c r="E152" s="11" t="s">
        <v>13</v>
      </c>
    </row>
    <row r="153">
      <c r="A153" s="48">
        <v>0.5291666666666667</v>
      </c>
      <c r="B153" s="61" t="s">
        <v>1010</v>
      </c>
      <c r="C153" s="45" t="s">
        <v>173</v>
      </c>
      <c r="D153" s="61" t="s">
        <v>742</v>
      </c>
      <c r="E153" s="11" t="s">
        <v>9</v>
      </c>
    </row>
    <row r="154">
      <c r="A154" s="48">
        <v>0.5291666666666667</v>
      </c>
      <c r="B154" s="61" t="s">
        <v>1012</v>
      </c>
      <c r="C154" s="45" t="s">
        <v>196</v>
      </c>
      <c r="D154" s="61" t="s">
        <v>738</v>
      </c>
      <c r="E154" s="11" t="s">
        <v>13</v>
      </c>
    </row>
    <row r="155">
      <c r="A155" s="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852</v>
      </c>
      <c r="C157" s="57" t="s">
        <v>323</v>
      </c>
      <c r="D157" s="61" t="s">
        <v>1013</v>
      </c>
      <c r="E157" s="11" t="s">
        <v>29</v>
      </c>
    </row>
    <row r="158">
      <c r="A158" s="48">
        <v>0.4375</v>
      </c>
      <c r="B158" s="61" t="s">
        <v>1014</v>
      </c>
      <c r="C158" s="57" t="s">
        <v>207</v>
      </c>
      <c r="D158" s="61" t="s">
        <v>634</v>
      </c>
      <c r="E158" s="11" t="s">
        <v>33</v>
      </c>
    </row>
    <row r="159">
      <c r="A159" s="48">
        <v>0.44722222222222224</v>
      </c>
      <c r="B159" s="61" t="s">
        <v>1014</v>
      </c>
      <c r="C159" s="57" t="s">
        <v>581</v>
      </c>
      <c r="D159" s="61" t="s">
        <v>1013</v>
      </c>
      <c r="E159" s="11" t="s">
        <v>29</v>
      </c>
    </row>
    <row r="160">
      <c r="A160" s="48">
        <v>0.44722222222222224</v>
      </c>
      <c r="B160" s="61" t="s">
        <v>633</v>
      </c>
      <c r="C160" s="57" t="s">
        <v>290</v>
      </c>
      <c r="D160" s="61" t="s">
        <v>634</v>
      </c>
      <c r="E160" s="11" t="s">
        <v>33</v>
      </c>
    </row>
    <row r="161">
      <c r="A161" s="48">
        <v>0.4576388888888889</v>
      </c>
      <c r="B161" s="61" t="s">
        <v>633</v>
      </c>
      <c r="C161" s="57" t="s">
        <v>524</v>
      </c>
      <c r="D161" s="61" t="s">
        <v>1014</v>
      </c>
      <c r="E161" s="11" t="s">
        <v>29</v>
      </c>
    </row>
    <row r="162">
      <c r="A162" s="48">
        <v>0.4576388888888889</v>
      </c>
      <c r="B162" s="61" t="s">
        <v>634</v>
      </c>
      <c r="C162" s="57" t="s">
        <v>198</v>
      </c>
      <c r="D162" s="61" t="s">
        <v>852</v>
      </c>
      <c r="E162" s="11" t="s">
        <v>33</v>
      </c>
    </row>
    <row r="163">
      <c r="A163" s="48">
        <v>0.46805555555555556</v>
      </c>
      <c r="B163" s="61" t="s">
        <v>633</v>
      </c>
      <c r="C163" s="57" t="s">
        <v>534</v>
      </c>
      <c r="D163" s="61" t="s">
        <v>1013</v>
      </c>
      <c r="E163" s="11" t="s">
        <v>29</v>
      </c>
    </row>
    <row r="164">
      <c r="A164" s="48">
        <v>0.46805555555555556</v>
      </c>
      <c r="B164" s="61" t="s">
        <v>852</v>
      </c>
      <c r="C164" s="57" t="s">
        <v>301</v>
      </c>
      <c r="D164" s="61" t="s">
        <v>1014</v>
      </c>
      <c r="E164" s="11" t="s">
        <v>33</v>
      </c>
    </row>
    <row r="165">
      <c r="A165" s="48">
        <v>0.4777777777777778</v>
      </c>
      <c r="B165" s="61" t="s">
        <v>634</v>
      </c>
      <c r="C165" s="57" t="s">
        <v>163</v>
      </c>
      <c r="D165" s="61" t="s">
        <v>1013</v>
      </c>
      <c r="E165" s="11" t="s">
        <v>29</v>
      </c>
    </row>
    <row r="166">
      <c r="A166" s="48">
        <v>0.4777777777777778</v>
      </c>
      <c r="B166" s="61" t="s">
        <v>852</v>
      </c>
      <c r="C166" s="57" t="s">
        <v>16</v>
      </c>
      <c r="D166" s="61" t="s">
        <v>633</v>
      </c>
      <c r="E166" s="11" t="s">
        <v>33</v>
      </c>
    </row>
    <row r="167">
      <c r="A167" s="48">
        <v>0.48819444444444443</v>
      </c>
      <c r="B167" s="61" t="s">
        <v>1013</v>
      </c>
      <c r="C167" s="57" t="s">
        <v>286</v>
      </c>
      <c r="D167" s="61" t="s">
        <v>852</v>
      </c>
      <c r="E167" s="11" t="s">
        <v>29</v>
      </c>
    </row>
    <row r="168">
      <c r="A168" s="48">
        <v>0.48819444444444443</v>
      </c>
      <c r="B168" s="61" t="s">
        <v>634</v>
      </c>
      <c r="C168" s="57" t="s">
        <v>1015</v>
      </c>
      <c r="D168" s="61" t="s">
        <v>1014</v>
      </c>
      <c r="E168" s="11" t="s">
        <v>33</v>
      </c>
    </row>
    <row r="169">
      <c r="A169" s="48">
        <v>0.4986111111111111</v>
      </c>
      <c r="B169" s="61" t="s">
        <v>1013</v>
      </c>
      <c r="C169" s="45" t="s">
        <v>465</v>
      </c>
      <c r="D169" s="61" t="s">
        <v>1014</v>
      </c>
      <c r="E169" s="11" t="s">
        <v>29</v>
      </c>
    </row>
    <row r="170">
      <c r="A170" s="48">
        <v>0.4986111111111111</v>
      </c>
      <c r="B170" s="61" t="s">
        <v>634</v>
      </c>
      <c r="C170" s="45" t="s">
        <v>194</v>
      </c>
      <c r="D170" s="61" t="s">
        <v>633</v>
      </c>
      <c r="E170" s="11" t="s">
        <v>33</v>
      </c>
    </row>
    <row r="171">
      <c r="A171" s="48">
        <v>0.5083333333333333</v>
      </c>
      <c r="B171" s="61" t="s">
        <v>1014</v>
      </c>
      <c r="C171" s="45" t="s">
        <v>898</v>
      </c>
      <c r="D171" s="61" t="s">
        <v>633</v>
      </c>
      <c r="E171" s="11" t="s">
        <v>29</v>
      </c>
    </row>
    <row r="172">
      <c r="A172" s="48">
        <v>0.5083333333333333</v>
      </c>
      <c r="B172" s="61" t="s">
        <v>852</v>
      </c>
      <c r="C172" s="45" t="s">
        <v>181</v>
      </c>
      <c r="D172" s="61" t="s">
        <v>634</v>
      </c>
      <c r="E172" s="11" t="s">
        <v>33</v>
      </c>
    </row>
    <row r="173">
      <c r="A173" s="48">
        <v>0.51875</v>
      </c>
      <c r="B173" s="61" t="s">
        <v>1013</v>
      </c>
      <c r="C173" s="45" t="s">
        <v>184</v>
      </c>
      <c r="D173" s="61" t="s">
        <v>633</v>
      </c>
      <c r="E173" s="11" t="s">
        <v>29</v>
      </c>
    </row>
    <row r="174">
      <c r="A174" s="48">
        <v>0.51875</v>
      </c>
      <c r="B174" s="61" t="s">
        <v>1014</v>
      </c>
      <c r="C174" s="45" t="s">
        <v>1016</v>
      </c>
      <c r="D174" s="61" t="s">
        <v>852</v>
      </c>
      <c r="E174" s="11" t="s">
        <v>33</v>
      </c>
    </row>
    <row r="175">
      <c r="A175" s="48">
        <v>0.5291666666666667</v>
      </c>
      <c r="B175" s="61" t="s">
        <v>1013</v>
      </c>
      <c r="C175" s="45" t="s">
        <v>198</v>
      </c>
      <c r="D175" s="61" t="s">
        <v>634</v>
      </c>
      <c r="E175" s="11" t="s">
        <v>29</v>
      </c>
    </row>
    <row r="176">
      <c r="A176" s="48">
        <v>0.5291666666666667</v>
      </c>
      <c r="B176" s="61" t="s">
        <v>633</v>
      </c>
      <c r="C176" s="45" t="s">
        <v>279</v>
      </c>
      <c r="D176" s="61" t="s">
        <v>852</v>
      </c>
      <c r="E176" s="11" t="s">
        <v>33</v>
      </c>
    </row>
    <row r="177">
      <c r="A177" s="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860</v>
      </c>
      <c r="C179" s="45" t="s">
        <v>301</v>
      </c>
      <c r="D179" s="61" t="s">
        <v>1017</v>
      </c>
      <c r="E179" s="11" t="s">
        <v>9</v>
      </c>
    </row>
    <row r="180">
      <c r="A180" s="48">
        <v>0.5416666666666666</v>
      </c>
      <c r="B180" s="61" t="s">
        <v>619</v>
      </c>
      <c r="C180" s="45" t="s">
        <v>20</v>
      </c>
      <c r="D180" s="61" t="s">
        <v>1018</v>
      </c>
      <c r="E180" s="11" t="s">
        <v>13</v>
      </c>
    </row>
    <row r="181">
      <c r="A181" s="48">
        <v>0.5513888888888889</v>
      </c>
      <c r="B181" s="61" t="s">
        <v>619</v>
      </c>
      <c r="C181" s="45" t="s">
        <v>173</v>
      </c>
      <c r="D181" s="61" t="s">
        <v>1017</v>
      </c>
      <c r="E181" s="11" t="s">
        <v>9</v>
      </c>
    </row>
    <row r="182">
      <c r="A182" s="48">
        <v>0.5513888888888889</v>
      </c>
      <c r="B182" s="61" t="s">
        <v>939</v>
      </c>
      <c r="C182" s="45" t="s">
        <v>158</v>
      </c>
      <c r="D182" s="61" t="s">
        <v>1018</v>
      </c>
      <c r="E182" s="11" t="s">
        <v>13</v>
      </c>
      <c r="H182" s="50" t="s">
        <v>861</v>
      </c>
    </row>
    <row r="183">
      <c r="A183" s="48">
        <v>0.5618055555555556</v>
      </c>
      <c r="B183" s="61" t="s">
        <v>939</v>
      </c>
      <c r="C183" s="45" t="s">
        <v>257</v>
      </c>
      <c r="D183" s="61" t="s">
        <v>619</v>
      </c>
      <c r="E183" s="11" t="s">
        <v>9</v>
      </c>
    </row>
    <row r="184">
      <c r="A184" s="48">
        <v>0.5618055555555556</v>
      </c>
      <c r="B184" s="61" t="s">
        <v>1018</v>
      </c>
      <c r="C184" s="45" t="s">
        <v>219</v>
      </c>
      <c r="D184" s="61" t="s">
        <v>860</v>
      </c>
      <c r="E184" s="11" t="s">
        <v>13</v>
      </c>
    </row>
    <row r="185">
      <c r="A185" s="48">
        <v>0.5722222222222222</v>
      </c>
      <c r="B185" s="61" t="s">
        <v>939</v>
      </c>
      <c r="C185" s="45" t="s">
        <v>194</v>
      </c>
      <c r="D185" s="61" t="s">
        <v>1017</v>
      </c>
      <c r="E185" s="11" t="s">
        <v>9</v>
      </c>
    </row>
    <row r="186">
      <c r="A186" s="48">
        <v>0.5722222222222222</v>
      </c>
      <c r="B186" s="61" t="s">
        <v>860</v>
      </c>
      <c r="C186" s="45" t="s">
        <v>212</v>
      </c>
      <c r="D186" s="61" t="s">
        <v>619</v>
      </c>
      <c r="E186" s="11" t="s">
        <v>13</v>
      </c>
    </row>
    <row r="187">
      <c r="A187" s="48">
        <v>0.5819444444444445</v>
      </c>
      <c r="B187" s="61" t="s">
        <v>1018</v>
      </c>
      <c r="C187" s="45" t="s">
        <v>620</v>
      </c>
      <c r="D187" s="61" t="s">
        <v>1017</v>
      </c>
      <c r="E187" s="11" t="s">
        <v>9</v>
      </c>
    </row>
    <row r="188">
      <c r="A188" s="48">
        <v>0.5819444444444445</v>
      </c>
      <c r="B188" s="61" t="s">
        <v>860</v>
      </c>
      <c r="C188" s="45" t="s">
        <v>998</v>
      </c>
      <c r="D188" s="61" t="s">
        <v>939</v>
      </c>
      <c r="E188" s="11" t="s">
        <v>13</v>
      </c>
    </row>
    <row r="189">
      <c r="A189" s="48">
        <v>0.5923611111111111</v>
      </c>
      <c r="B189" s="61" t="s">
        <v>1017</v>
      </c>
      <c r="C189" s="45" t="s">
        <v>23</v>
      </c>
      <c r="D189" s="61" t="s">
        <v>860</v>
      </c>
      <c r="E189" s="11" t="s">
        <v>9</v>
      </c>
    </row>
    <row r="190">
      <c r="A190" s="48">
        <v>0.5923611111111111</v>
      </c>
      <c r="B190" s="61" t="s">
        <v>1018</v>
      </c>
      <c r="C190" s="45" t="s">
        <v>20</v>
      </c>
      <c r="D190" s="61" t="s">
        <v>619</v>
      </c>
      <c r="E190" s="11" t="s">
        <v>13</v>
      </c>
    </row>
    <row r="191">
      <c r="A191" s="48">
        <v>0.6027777777777777</v>
      </c>
      <c r="B191" s="61" t="s">
        <v>1017</v>
      </c>
      <c r="C191" s="45" t="s">
        <v>19</v>
      </c>
      <c r="D191" s="61" t="s">
        <v>619</v>
      </c>
      <c r="E191" s="11" t="s">
        <v>9</v>
      </c>
    </row>
    <row r="192">
      <c r="A192" s="48">
        <v>0.6027777777777777</v>
      </c>
      <c r="B192" s="61" t="s">
        <v>1018</v>
      </c>
      <c r="C192" s="45" t="s">
        <v>155</v>
      </c>
      <c r="D192" s="61" t="s">
        <v>939</v>
      </c>
      <c r="E192" s="11" t="s">
        <v>13</v>
      </c>
    </row>
    <row r="193">
      <c r="A193" s="48">
        <v>0.6125</v>
      </c>
      <c r="B193" s="61" t="s">
        <v>619</v>
      </c>
      <c r="C193" s="45" t="s">
        <v>36</v>
      </c>
      <c r="D193" s="61" t="s">
        <v>939</v>
      </c>
      <c r="E193" s="11" t="s">
        <v>9</v>
      </c>
    </row>
    <row r="194">
      <c r="A194" s="48">
        <v>0.6125</v>
      </c>
      <c r="B194" s="61" t="s">
        <v>860</v>
      </c>
      <c r="C194" s="45" t="s">
        <v>477</v>
      </c>
      <c r="D194" s="61" t="s">
        <v>1018</v>
      </c>
      <c r="E194" s="11" t="s">
        <v>13</v>
      </c>
    </row>
    <row r="195">
      <c r="A195" s="48">
        <v>0.6229166666666667</v>
      </c>
      <c r="B195" s="61" t="s">
        <v>1017</v>
      </c>
      <c r="C195" s="45" t="s">
        <v>219</v>
      </c>
      <c r="D195" s="61" t="s">
        <v>939</v>
      </c>
      <c r="E195" s="11" t="s">
        <v>9</v>
      </c>
    </row>
    <row r="196">
      <c r="A196" s="48">
        <v>0.6229166666666667</v>
      </c>
      <c r="B196" s="61" t="s">
        <v>619</v>
      </c>
      <c r="C196" s="45" t="s">
        <v>194</v>
      </c>
      <c r="D196" s="61" t="s">
        <v>860</v>
      </c>
      <c r="E196" s="11" t="s">
        <v>13</v>
      </c>
    </row>
    <row r="197">
      <c r="A197" s="48">
        <v>0.6333333333333333</v>
      </c>
      <c r="B197" s="61" t="s">
        <v>1017</v>
      </c>
      <c r="C197" s="45" t="s">
        <v>344</v>
      </c>
      <c r="D197" s="61" t="s">
        <v>1018</v>
      </c>
      <c r="E197" s="11" t="s">
        <v>9</v>
      </c>
    </row>
    <row r="198">
      <c r="A198" s="48">
        <v>0.6333333333333333</v>
      </c>
      <c r="B198" s="61" t="s">
        <v>939</v>
      </c>
      <c r="C198" s="45" t="s">
        <v>1019</v>
      </c>
      <c r="D198" s="61" t="s">
        <v>860</v>
      </c>
      <c r="E198" s="11" t="s">
        <v>13</v>
      </c>
    </row>
    <row r="199">
      <c r="A199" s="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1020</v>
      </c>
      <c r="C201" s="57" t="s">
        <v>268</v>
      </c>
      <c r="D201" s="61" t="s">
        <v>1021</v>
      </c>
      <c r="E201" s="11" t="s">
        <v>29</v>
      </c>
    </row>
    <row r="202">
      <c r="A202" s="48">
        <v>0.5416666666666666</v>
      </c>
      <c r="B202" s="61" t="s">
        <v>1022</v>
      </c>
      <c r="C202" s="57" t="s">
        <v>442</v>
      </c>
      <c r="D202" s="61" t="s">
        <v>1023</v>
      </c>
      <c r="E202" s="11" t="s">
        <v>33</v>
      </c>
    </row>
    <row r="203">
      <c r="A203" s="48">
        <v>0.5513888888888889</v>
      </c>
      <c r="B203" s="61" t="s">
        <v>1022</v>
      </c>
      <c r="C203" s="57" t="s">
        <v>1024</v>
      </c>
      <c r="D203" s="61" t="s">
        <v>1021</v>
      </c>
      <c r="E203" s="11" t="s">
        <v>29</v>
      </c>
    </row>
    <row r="204">
      <c r="A204" s="48">
        <v>0.5513888888888889</v>
      </c>
      <c r="B204" s="61" t="s">
        <v>944</v>
      </c>
      <c r="C204" s="57" t="s">
        <v>209</v>
      </c>
      <c r="D204" s="61" t="s">
        <v>1023</v>
      </c>
      <c r="E204" s="11" t="s">
        <v>33</v>
      </c>
    </row>
    <row r="205">
      <c r="A205" s="48">
        <v>0.5618055555555556</v>
      </c>
      <c r="B205" s="61" t="s">
        <v>944</v>
      </c>
      <c r="C205" s="57" t="s">
        <v>160</v>
      </c>
      <c r="D205" s="61" t="s">
        <v>1022</v>
      </c>
      <c r="E205" s="11" t="s">
        <v>29</v>
      </c>
    </row>
    <row r="206">
      <c r="A206" s="48">
        <v>0.5618055555555556</v>
      </c>
      <c r="B206" s="61" t="s">
        <v>1023</v>
      </c>
      <c r="C206" s="57" t="s">
        <v>18</v>
      </c>
      <c r="D206" s="61" t="s">
        <v>1020</v>
      </c>
      <c r="E206" s="11" t="s">
        <v>33</v>
      </c>
    </row>
    <row r="207">
      <c r="A207" s="48">
        <v>0.5722222222222222</v>
      </c>
      <c r="B207" s="61" t="s">
        <v>944</v>
      </c>
      <c r="C207" s="57" t="s">
        <v>620</v>
      </c>
      <c r="D207" s="61" t="s">
        <v>1021</v>
      </c>
      <c r="E207" s="11" t="s">
        <v>29</v>
      </c>
    </row>
    <row r="208">
      <c r="A208" s="48">
        <v>0.5722222222222222</v>
      </c>
      <c r="B208" s="61" t="s">
        <v>1020</v>
      </c>
      <c r="C208" s="57" t="s">
        <v>575</v>
      </c>
      <c r="D208" s="61" t="s">
        <v>1022</v>
      </c>
      <c r="E208" s="11" t="s">
        <v>33</v>
      </c>
    </row>
    <row r="209">
      <c r="A209" s="48">
        <v>0.5819444444444445</v>
      </c>
      <c r="B209" s="61" t="s">
        <v>1023</v>
      </c>
      <c r="C209" s="57" t="s">
        <v>42</v>
      </c>
      <c r="D209" s="61" t="s">
        <v>1021</v>
      </c>
      <c r="E209" s="11" t="s">
        <v>29</v>
      </c>
    </row>
    <row r="210">
      <c r="A210" s="48">
        <v>0.5819444444444445</v>
      </c>
      <c r="B210" s="61" t="s">
        <v>1020</v>
      </c>
      <c r="C210" s="57" t="s">
        <v>162</v>
      </c>
      <c r="D210" s="61" t="s">
        <v>944</v>
      </c>
      <c r="E210" s="11" t="s">
        <v>33</v>
      </c>
    </row>
    <row r="211">
      <c r="A211" s="48">
        <v>0.5923611111111111</v>
      </c>
      <c r="B211" s="61" t="s">
        <v>1021</v>
      </c>
      <c r="C211" s="57" t="s">
        <v>43</v>
      </c>
      <c r="D211" s="61" t="s">
        <v>1020</v>
      </c>
      <c r="E211" s="11" t="s">
        <v>29</v>
      </c>
    </row>
    <row r="212">
      <c r="A212" s="48">
        <v>0.5923611111111111</v>
      </c>
      <c r="B212" s="61" t="s">
        <v>1023</v>
      </c>
      <c r="C212" s="57" t="s">
        <v>176</v>
      </c>
      <c r="D212" s="61" t="s">
        <v>1022</v>
      </c>
      <c r="E212" s="11" t="s">
        <v>33</v>
      </c>
    </row>
    <row r="213">
      <c r="A213" s="48">
        <v>0.6027777777777777</v>
      </c>
      <c r="B213" s="61" t="s">
        <v>1021</v>
      </c>
      <c r="C213" s="57" t="s">
        <v>502</v>
      </c>
      <c r="D213" s="61" t="s">
        <v>1022</v>
      </c>
      <c r="E213" s="11" t="s">
        <v>29</v>
      </c>
    </row>
    <row r="214">
      <c r="A214" s="48">
        <v>0.6027777777777777</v>
      </c>
      <c r="B214" s="61" t="s">
        <v>1023</v>
      </c>
      <c r="C214" s="57" t="s">
        <v>220</v>
      </c>
      <c r="D214" s="61" t="s">
        <v>944</v>
      </c>
      <c r="E214" s="11" t="s">
        <v>33</v>
      </c>
    </row>
    <row r="215">
      <c r="A215" s="48">
        <v>0.6125</v>
      </c>
      <c r="B215" s="61" t="s">
        <v>1022</v>
      </c>
      <c r="C215" s="57" t="s">
        <v>545</v>
      </c>
      <c r="D215" s="61" t="s">
        <v>944</v>
      </c>
      <c r="E215" s="11" t="s">
        <v>29</v>
      </c>
    </row>
    <row r="216">
      <c r="A216" s="48">
        <v>0.6125</v>
      </c>
      <c r="B216" s="61" t="s">
        <v>1020</v>
      </c>
      <c r="C216" s="57" t="s">
        <v>376</v>
      </c>
      <c r="D216" s="61" t="s">
        <v>1023</v>
      </c>
      <c r="E216" s="11" t="s">
        <v>33</v>
      </c>
    </row>
    <row r="217">
      <c r="A217" s="48">
        <v>0.6229166666666667</v>
      </c>
      <c r="B217" s="61" t="s">
        <v>1021</v>
      </c>
      <c r="C217" s="57" t="s">
        <v>176</v>
      </c>
      <c r="D217" s="61" t="s">
        <v>944</v>
      </c>
      <c r="E217" s="11" t="s">
        <v>29</v>
      </c>
    </row>
    <row r="218">
      <c r="A218" s="48">
        <v>0.6229166666666667</v>
      </c>
      <c r="B218" s="61" t="s">
        <v>1022</v>
      </c>
      <c r="C218" s="57" t="s">
        <v>1025</v>
      </c>
      <c r="D218" s="61" t="s">
        <v>1020</v>
      </c>
      <c r="E218" s="11" t="s">
        <v>33</v>
      </c>
    </row>
    <row r="219">
      <c r="A219" s="48">
        <v>0.6333333333333333</v>
      </c>
      <c r="B219" s="61" t="s">
        <v>1021</v>
      </c>
      <c r="C219" s="57" t="s">
        <v>165</v>
      </c>
      <c r="D219" s="61" t="s">
        <v>1023</v>
      </c>
      <c r="E219" s="11" t="s">
        <v>29</v>
      </c>
    </row>
    <row r="220">
      <c r="A220" s="48">
        <v>0.6333333333333333</v>
      </c>
      <c r="B220" s="61" t="s">
        <v>944</v>
      </c>
      <c r="C220" s="57" t="s">
        <v>220</v>
      </c>
      <c r="D220" s="61" t="s">
        <v>1020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1026</v>
      </c>
      <c r="C223" s="57" t="s">
        <v>185</v>
      </c>
      <c r="D223" s="62" t="s">
        <v>1027</v>
      </c>
      <c r="E223" s="11" t="s">
        <v>9</v>
      </c>
      <c r="H223" s="50"/>
    </row>
    <row r="224">
      <c r="A224" s="48">
        <v>0.6458333333333334</v>
      </c>
      <c r="B224" s="62" t="s">
        <v>1028</v>
      </c>
      <c r="C224" s="57" t="s">
        <v>219</v>
      </c>
      <c r="D224" s="62" t="s">
        <v>769</v>
      </c>
      <c r="E224" s="11" t="s">
        <v>13</v>
      </c>
    </row>
    <row r="225">
      <c r="A225" s="48">
        <v>0.6555555555555556</v>
      </c>
      <c r="B225" s="62" t="s">
        <v>1028</v>
      </c>
      <c r="C225" s="57" t="s">
        <v>289</v>
      </c>
      <c r="D225" s="62" t="s">
        <v>1027</v>
      </c>
      <c r="E225" s="11" t="s">
        <v>9</v>
      </c>
    </row>
    <row r="226">
      <c r="A226" s="48">
        <v>0.6555555555555556</v>
      </c>
      <c r="B226" s="62" t="s">
        <v>1029</v>
      </c>
      <c r="C226" s="57" t="s">
        <v>17</v>
      </c>
      <c r="D226" s="62" t="s">
        <v>769</v>
      </c>
      <c r="E226" s="11" t="s">
        <v>13</v>
      </c>
    </row>
    <row r="227">
      <c r="A227" s="48">
        <v>0.6659722222222222</v>
      </c>
      <c r="B227" s="62" t="s">
        <v>1029</v>
      </c>
      <c r="C227" s="57" t="s">
        <v>227</v>
      </c>
      <c r="D227" s="62" t="s">
        <v>1028</v>
      </c>
      <c r="E227" s="11" t="s">
        <v>9</v>
      </c>
    </row>
    <row r="228">
      <c r="A228" s="48">
        <v>0.6659722222222222</v>
      </c>
      <c r="B228" s="62" t="s">
        <v>769</v>
      </c>
      <c r="C228" s="57" t="s">
        <v>245</v>
      </c>
      <c r="D228" s="62" t="s">
        <v>1026</v>
      </c>
      <c r="E228" s="11" t="s">
        <v>13</v>
      </c>
    </row>
    <row r="229">
      <c r="A229" s="48">
        <v>0.6763888888888889</v>
      </c>
      <c r="B229" s="62" t="s">
        <v>1029</v>
      </c>
      <c r="C229" s="57" t="s">
        <v>279</v>
      </c>
      <c r="D229" s="62" t="s">
        <v>1027</v>
      </c>
      <c r="E229" s="11" t="s">
        <v>9</v>
      </c>
    </row>
    <row r="230">
      <c r="A230" s="48">
        <v>0.6763888888888889</v>
      </c>
      <c r="B230" s="62" t="s">
        <v>1026</v>
      </c>
      <c r="C230" s="57" t="s">
        <v>23</v>
      </c>
      <c r="D230" s="62" t="s">
        <v>1028</v>
      </c>
      <c r="E230" s="11" t="s">
        <v>13</v>
      </c>
    </row>
    <row r="231">
      <c r="A231" s="48">
        <v>0.6861111111111111</v>
      </c>
      <c r="B231" s="62" t="s">
        <v>769</v>
      </c>
      <c r="C231" s="57" t="s">
        <v>38</v>
      </c>
      <c r="D231" s="62" t="s">
        <v>1027</v>
      </c>
      <c r="E231" s="11" t="s">
        <v>9</v>
      </c>
    </row>
    <row r="232">
      <c r="A232" s="48">
        <v>0.6861111111111111</v>
      </c>
      <c r="B232" s="62" t="s">
        <v>1026</v>
      </c>
      <c r="C232" s="57" t="s">
        <v>1030</v>
      </c>
      <c r="D232" s="62" t="s">
        <v>1029</v>
      </c>
      <c r="E232" s="11" t="s">
        <v>13</v>
      </c>
    </row>
    <row r="233">
      <c r="A233" s="48">
        <v>0.6965277777777777</v>
      </c>
      <c r="B233" s="62" t="s">
        <v>1027</v>
      </c>
      <c r="C233" s="57" t="s">
        <v>218</v>
      </c>
      <c r="D233" s="62" t="s">
        <v>1026</v>
      </c>
      <c r="E233" s="11" t="s">
        <v>9</v>
      </c>
    </row>
    <row r="234">
      <c r="A234" s="48">
        <v>0.6965277777777777</v>
      </c>
      <c r="B234" s="62" t="s">
        <v>769</v>
      </c>
      <c r="C234" s="57" t="s">
        <v>20</v>
      </c>
      <c r="D234" s="62" t="s">
        <v>1028</v>
      </c>
      <c r="E234" s="11" t="s">
        <v>13</v>
      </c>
    </row>
    <row r="235">
      <c r="A235" s="48">
        <v>0.7069444444444445</v>
      </c>
      <c r="B235" s="62" t="s">
        <v>1027</v>
      </c>
      <c r="C235" s="45" t="s">
        <v>293</v>
      </c>
      <c r="D235" s="62" t="s">
        <v>1028</v>
      </c>
      <c r="E235" s="11" t="s">
        <v>9</v>
      </c>
    </row>
    <row r="236">
      <c r="A236" s="48">
        <v>0.7069444444444445</v>
      </c>
      <c r="B236" s="62" t="s">
        <v>769</v>
      </c>
      <c r="C236" s="45" t="s">
        <v>394</v>
      </c>
      <c r="D236" s="62" t="s">
        <v>1029</v>
      </c>
      <c r="E236" s="11" t="s">
        <v>13</v>
      </c>
    </row>
    <row r="237">
      <c r="A237" s="48">
        <v>0.7166666666666667</v>
      </c>
      <c r="B237" s="62" t="s">
        <v>1028</v>
      </c>
      <c r="C237" s="45" t="s">
        <v>173</v>
      </c>
      <c r="D237" s="62" t="s">
        <v>1029</v>
      </c>
      <c r="E237" s="11" t="s">
        <v>9</v>
      </c>
    </row>
    <row r="238">
      <c r="A238" s="48">
        <v>0.7166666666666667</v>
      </c>
      <c r="B238" s="62" t="s">
        <v>1026</v>
      </c>
      <c r="C238" s="45" t="s">
        <v>271</v>
      </c>
      <c r="D238" s="62" t="s">
        <v>769</v>
      </c>
      <c r="E238" s="11" t="s">
        <v>13</v>
      </c>
    </row>
    <row r="239">
      <c r="A239" s="48">
        <v>0.7270833333333333</v>
      </c>
      <c r="B239" s="62" t="s">
        <v>1027</v>
      </c>
      <c r="C239" s="45" t="s">
        <v>463</v>
      </c>
      <c r="D239" s="62" t="s">
        <v>1029</v>
      </c>
      <c r="E239" s="11" t="s">
        <v>9</v>
      </c>
    </row>
    <row r="240">
      <c r="A240" s="48">
        <v>0.7270833333333333</v>
      </c>
      <c r="B240" s="62" t="s">
        <v>1028</v>
      </c>
      <c r="C240" s="45" t="s">
        <v>38</v>
      </c>
      <c r="D240" s="62" t="s">
        <v>1026</v>
      </c>
      <c r="E240" s="11" t="s">
        <v>13</v>
      </c>
    </row>
    <row r="241">
      <c r="A241" s="48">
        <v>0.7375</v>
      </c>
      <c r="B241" s="62" t="s">
        <v>1027</v>
      </c>
      <c r="C241" s="45" t="s">
        <v>42</v>
      </c>
      <c r="D241" s="62" t="s">
        <v>769</v>
      </c>
      <c r="E241" s="11" t="s">
        <v>9</v>
      </c>
    </row>
    <row r="242">
      <c r="A242" s="48">
        <v>0.7375</v>
      </c>
      <c r="B242" s="62" t="s">
        <v>1029</v>
      </c>
      <c r="C242" s="45" t="s">
        <v>395</v>
      </c>
      <c r="D242" s="62" t="s">
        <v>1026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1031</v>
      </c>
      <c r="C245" s="57" t="s">
        <v>279</v>
      </c>
      <c r="D245" s="62" t="s">
        <v>1032</v>
      </c>
      <c r="E245" s="11" t="s">
        <v>29</v>
      </c>
    </row>
    <row r="246">
      <c r="A246" s="48">
        <v>0.6458333333333334</v>
      </c>
      <c r="B246" s="62" t="s">
        <v>660</v>
      </c>
      <c r="C246" s="57" t="s">
        <v>209</v>
      </c>
      <c r="D246" s="62" t="s">
        <v>772</v>
      </c>
      <c r="E246" s="11" t="s">
        <v>33</v>
      </c>
    </row>
    <row r="247">
      <c r="A247" s="48">
        <v>0.6555555555555556</v>
      </c>
      <c r="B247" s="62" t="s">
        <v>660</v>
      </c>
      <c r="C247" s="57" t="s">
        <v>210</v>
      </c>
      <c r="D247" s="62" t="s">
        <v>1032</v>
      </c>
      <c r="E247" s="11" t="s">
        <v>29</v>
      </c>
    </row>
    <row r="248">
      <c r="A248" s="48">
        <v>0.6555555555555556</v>
      </c>
      <c r="B248" s="62" t="s">
        <v>876</v>
      </c>
      <c r="C248" s="57" t="s">
        <v>301</v>
      </c>
      <c r="D248" s="62" t="s">
        <v>772</v>
      </c>
      <c r="E248" s="11" t="s">
        <v>33</v>
      </c>
    </row>
    <row r="249">
      <c r="A249" s="48">
        <v>0.6659722222222222</v>
      </c>
      <c r="B249" s="62" t="s">
        <v>876</v>
      </c>
      <c r="C249" s="57" t="s">
        <v>7</v>
      </c>
      <c r="D249" s="62" t="s">
        <v>660</v>
      </c>
      <c r="E249" s="11" t="s">
        <v>29</v>
      </c>
    </row>
    <row r="250">
      <c r="A250" s="48">
        <v>0.6659722222222222</v>
      </c>
      <c r="B250" s="62" t="s">
        <v>772</v>
      </c>
      <c r="C250" s="57" t="s">
        <v>549</v>
      </c>
      <c r="D250" s="62" t="s">
        <v>1031</v>
      </c>
      <c r="E250" s="11" t="s">
        <v>33</v>
      </c>
      <c r="G250" s="50"/>
    </row>
    <row r="251">
      <c r="A251" s="48">
        <v>0.6763888888888889</v>
      </c>
      <c r="B251" s="62" t="s">
        <v>876</v>
      </c>
      <c r="C251" s="57" t="s">
        <v>203</v>
      </c>
      <c r="D251" s="62" t="s">
        <v>1032</v>
      </c>
      <c r="E251" s="11" t="s">
        <v>29</v>
      </c>
    </row>
    <row r="252">
      <c r="A252" s="48">
        <v>0.6763888888888889</v>
      </c>
      <c r="B252" s="62" t="s">
        <v>1031</v>
      </c>
      <c r="C252" s="57" t="s">
        <v>177</v>
      </c>
      <c r="D252" s="62" t="s">
        <v>660</v>
      </c>
      <c r="E252" s="11" t="s">
        <v>33</v>
      </c>
    </row>
    <row r="253">
      <c r="A253" s="48">
        <v>0.6861111111111111</v>
      </c>
      <c r="B253" s="62" t="s">
        <v>772</v>
      </c>
      <c r="C253" s="57" t="s">
        <v>209</v>
      </c>
      <c r="D253" s="62" t="s">
        <v>1032</v>
      </c>
      <c r="E253" s="11" t="s">
        <v>29</v>
      </c>
    </row>
    <row r="254">
      <c r="A254" s="48">
        <v>0.6861111111111111</v>
      </c>
      <c r="B254" s="62" t="s">
        <v>1031</v>
      </c>
      <c r="C254" s="57" t="s">
        <v>184</v>
      </c>
      <c r="D254" s="62" t="s">
        <v>876</v>
      </c>
      <c r="E254" s="11" t="s">
        <v>33</v>
      </c>
    </row>
    <row r="255">
      <c r="A255" s="48">
        <v>0.6965277777777777</v>
      </c>
      <c r="B255" s="62" t="s">
        <v>1032</v>
      </c>
      <c r="C255" s="57" t="s">
        <v>155</v>
      </c>
      <c r="D255" s="62" t="s">
        <v>1031</v>
      </c>
      <c r="E255" s="11" t="s">
        <v>29</v>
      </c>
    </row>
    <row r="256">
      <c r="A256" s="48">
        <v>0.6965277777777777</v>
      </c>
      <c r="B256" s="62" t="s">
        <v>772</v>
      </c>
      <c r="C256" s="57" t="s">
        <v>24</v>
      </c>
      <c r="D256" s="62" t="s">
        <v>660</v>
      </c>
      <c r="E256" s="11" t="s">
        <v>33</v>
      </c>
    </row>
    <row r="257">
      <c r="A257" s="48">
        <v>0.7069444444444445</v>
      </c>
      <c r="B257" s="62" t="s">
        <v>1032</v>
      </c>
      <c r="C257" s="57" t="s">
        <v>164</v>
      </c>
      <c r="D257" s="62" t="s">
        <v>660</v>
      </c>
      <c r="E257" s="11" t="s">
        <v>29</v>
      </c>
    </row>
    <row r="258">
      <c r="A258" s="48">
        <v>0.7069444444444445</v>
      </c>
      <c r="B258" s="62" t="s">
        <v>772</v>
      </c>
      <c r="C258" s="57" t="s">
        <v>549</v>
      </c>
      <c r="D258" s="62" t="s">
        <v>876</v>
      </c>
      <c r="E258" s="11" t="s">
        <v>33</v>
      </c>
    </row>
    <row r="259">
      <c r="A259" s="48">
        <v>0.7166666666666667</v>
      </c>
      <c r="B259" s="62" t="s">
        <v>660</v>
      </c>
      <c r="C259" s="57" t="s">
        <v>43</v>
      </c>
      <c r="D259" s="62" t="s">
        <v>876</v>
      </c>
      <c r="E259" s="11" t="s">
        <v>29</v>
      </c>
    </row>
    <row r="260">
      <c r="A260" s="48">
        <v>0.7166666666666667</v>
      </c>
      <c r="B260" s="62" t="s">
        <v>1031</v>
      </c>
      <c r="C260" s="57" t="s">
        <v>17</v>
      </c>
      <c r="D260" s="62" t="s">
        <v>772</v>
      </c>
      <c r="E260" s="11" t="s">
        <v>33</v>
      </c>
    </row>
    <row r="261">
      <c r="A261" s="48">
        <v>0.7270833333333333</v>
      </c>
      <c r="B261" s="62" t="s">
        <v>1032</v>
      </c>
      <c r="C261" s="57" t="s">
        <v>233</v>
      </c>
      <c r="D261" s="62" t="s">
        <v>876</v>
      </c>
      <c r="E261" s="11" t="s">
        <v>29</v>
      </c>
    </row>
    <row r="262">
      <c r="A262" s="48">
        <v>0.7270833333333333</v>
      </c>
      <c r="B262" s="62" t="s">
        <v>660</v>
      </c>
      <c r="C262" s="57" t="s">
        <v>16</v>
      </c>
      <c r="D262" s="62" t="s">
        <v>1031</v>
      </c>
      <c r="E262" s="11" t="s">
        <v>33</v>
      </c>
    </row>
    <row r="263">
      <c r="A263" s="48">
        <v>0.7375</v>
      </c>
      <c r="B263" s="62" t="s">
        <v>1032</v>
      </c>
      <c r="C263" s="57" t="s">
        <v>1033</v>
      </c>
      <c r="D263" s="62" t="s">
        <v>772</v>
      </c>
      <c r="E263" s="11" t="s">
        <v>29</v>
      </c>
    </row>
    <row r="264">
      <c r="A264" s="48">
        <v>0.7375</v>
      </c>
      <c r="B264" s="62" t="s">
        <v>876</v>
      </c>
      <c r="C264" s="57" t="s">
        <v>298</v>
      </c>
      <c r="D264" s="62" t="s">
        <v>1031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1034</v>
      </c>
      <c r="C267" s="45" t="s">
        <v>231</v>
      </c>
      <c r="D267" s="62" t="s">
        <v>1035</v>
      </c>
      <c r="E267" s="11" t="s">
        <v>9</v>
      </c>
    </row>
    <row r="268">
      <c r="A268" s="48">
        <v>0.75</v>
      </c>
      <c r="B268" s="62" t="s">
        <v>777</v>
      </c>
      <c r="C268" s="45" t="s">
        <v>16</v>
      </c>
      <c r="D268" s="62" t="s">
        <v>961</v>
      </c>
      <c r="E268" s="11" t="s">
        <v>13</v>
      </c>
    </row>
    <row r="269">
      <c r="A269" s="48">
        <v>0.7597222222222222</v>
      </c>
      <c r="B269" s="62" t="s">
        <v>777</v>
      </c>
      <c r="C269" s="45" t="s">
        <v>324</v>
      </c>
      <c r="D269" s="62" t="s">
        <v>1035</v>
      </c>
      <c r="E269" s="11" t="s">
        <v>9</v>
      </c>
    </row>
    <row r="270">
      <c r="A270" s="48">
        <v>0.7597222222222222</v>
      </c>
      <c r="B270" s="62" t="s">
        <v>1036</v>
      </c>
      <c r="C270" s="45" t="s">
        <v>185</v>
      </c>
      <c r="D270" s="62" t="s">
        <v>961</v>
      </c>
      <c r="E270" s="11" t="s">
        <v>13</v>
      </c>
    </row>
    <row r="271">
      <c r="A271" s="48">
        <v>0.7701388888888889</v>
      </c>
      <c r="B271" s="62" t="s">
        <v>1036</v>
      </c>
      <c r="C271" s="45" t="s">
        <v>271</v>
      </c>
      <c r="D271" s="62" t="s">
        <v>777</v>
      </c>
      <c r="E271" s="11" t="s">
        <v>9</v>
      </c>
    </row>
    <row r="272">
      <c r="A272" s="48">
        <v>0.7701388888888889</v>
      </c>
      <c r="B272" s="62" t="s">
        <v>961</v>
      </c>
      <c r="C272" s="45" t="s">
        <v>14</v>
      </c>
      <c r="D272" s="62" t="s">
        <v>1034</v>
      </c>
      <c r="E272" s="11" t="s">
        <v>13</v>
      </c>
    </row>
    <row r="273">
      <c r="A273" s="48">
        <v>0.7805555555555556</v>
      </c>
      <c r="B273" s="62" t="s">
        <v>1036</v>
      </c>
      <c r="C273" s="45" t="s">
        <v>220</v>
      </c>
      <c r="D273" s="62" t="s">
        <v>1035</v>
      </c>
      <c r="E273" s="11" t="s">
        <v>9</v>
      </c>
    </row>
    <row r="274">
      <c r="A274" s="48">
        <v>0.7805555555555556</v>
      </c>
      <c r="B274" s="62" t="s">
        <v>1034</v>
      </c>
      <c r="C274" s="45" t="s">
        <v>185</v>
      </c>
      <c r="D274" s="62" t="s">
        <v>777</v>
      </c>
      <c r="E274" s="11" t="s">
        <v>13</v>
      </c>
    </row>
    <row r="275">
      <c r="A275" s="48">
        <v>0.7902777777777777</v>
      </c>
      <c r="B275" s="62" t="s">
        <v>961</v>
      </c>
      <c r="C275" s="45" t="s">
        <v>14</v>
      </c>
      <c r="D275" s="62" t="s">
        <v>1035</v>
      </c>
      <c r="E275" s="11" t="s">
        <v>9</v>
      </c>
    </row>
    <row r="276">
      <c r="A276" s="48">
        <v>0.7902777777777777</v>
      </c>
      <c r="B276" s="62" t="s">
        <v>1034</v>
      </c>
      <c r="C276" s="45" t="s">
        <v>155</v>
      </c>
      <c r="D276" s="62" t="s">
        <v>1036</v>
      </c>
      <c r="E276" s="11" t="s">
        <v>13</v>
      </c>
    </row>
    <row r="277">
      <c r="A277" s="48">
        <v>0.8006944444444445</v>
      </c>
      <c r="B277" s="62" t="s">
        <v>1035</v>
      </c>
      <c r="C277" s="45" t="s">
        <v>549</v>
      </c>
      <c r="D277" s="62" t="s">
        <v>1034</v>
      </c>
      <c r="E277" s="11" t="s">
        <v>9</v>
      </c>
    </row>
    <row r="278">
      <c r="A278" s="48">
        <v>0.8006944444444445</v>
      </c>
      <c r="B278" s="62" t="s">
        <v>961</v>
      </c>
      <c r="C278" s="45" t="s">
        <v>195</v>
      </c>
      <c r="D278" s="62" t="s">
        <v>777</v>
      </c>
      <c r="E278" s="11" t="s">
        <v>13</v>
      </c>
    </row>
    <row r="279">
      <c r="A279" s="48">
        <v>0.8111111111111111</v>
      </c>
      <c r="B279" s="62" t="s">
        <v>1035</v>
      </c>
      <c r="C279" s="45" t="s">
        <v>352</v>
      </c>
      <c r="D279" s="62" t="s">
        <v>777</v>
      </c>
      <c r="E279" s="11" t="s">
        <v>9</v>
      </c>
    </row>
    <row r="280">
      <c r="A280" s="48">
        <v>0.8111111111111111</v>
      </c>
      <c r="B280" s="62" t="s">
        <v>961</v>
      </c>
      <c r="C280" s="45" t="s">
        <v>219</v>
      </c>
      <c r="D280" s="62" t="s">
        <v>1036</v>
      </c>
      <c r="E280" s="11" t="s">
        <v>13</v>
      </c>
    </row>
    <row r="281">
      <c r="A281" s="48">
        <v>0.8208333333333333</v>
      </c>
      <c r="B281" s="62" t="s">
        <v>777</v>
      </c>
      <c r="C281" s="45" t="s">
        <v>158</v>
      </c>
      <c r="D281" s="62" t="s">
        <v>1036</v>
      </c>
      <c r="E281" s="11" t="s">
        <v>9</v>
      </c>
    </row>
    <row r="282">
      <c r="A282" s="48">
        <v>0.8208333333333333</v>
      </c>
      <c r="B282" s="62" t="s">
        <v>1034</v>
      </c>
      <c r="C282" s="45" t="s">
        <v>158</v>
      </c>
      <c r="D282" s="62" t="s">
        <v>961</v>
      </c>
      <c r="E282" s="11" t="s">
        <v>13</v>
      </c>
    </row>
    <row r="283">
      <c r="A283" s="48">
        <v>0.83125</v>
      </c>
      <c r="B283" s="62" t="s">
        <v>1035</v>
      </c>
      <c r="C283" s="45" t="s">
        <v>211</v>
      </c>
      <c r="D283" s="62" t="s">
        <v>1036</v>
      </c>
      <c r="E283" s="11" t="s">
        <v>9</v>
      </c>
    </row>
    <row r="284">
      <c r="A284" s="48">
        <v>0.83125</v>
      </c>
      <c r="B284" s="62" t="s">
        <v>777</v>
      </c>
      <c r="C284" s="45" t="s">
        <v>185</v>
      </c>
      <c r="D284" s="62" t="s">
        <v>1034</v>
      </c>
      <c r="E284" s="11" t="s">
        <v>13</v>
      </c>
    </row>
    <row r="285">
      <c r="A285" s="48">
        <v>0.8416666666666667</v>
      </c>
      <c r="B285" s="62" t="s">
        <v>1035</v>
      </c>
      <c r="C285" s="45" t="s">
        <v>302</v>
      </c>
      <c r="D285" s="62" t="s">
        <v>961</v>
      </c>
      <c r="E285" s="11" t="s">
        <v>9</v>
      </c>
    </row>
    <row r="286">
      <c r="A286" s="48">
        <v>0.8416666666666667</v>
      </c>
      <c r="B286" s="62" t="s">
        <v>1036</v>
      </c>
      <c r="C286" s="45" t="s">
        <v>351</v>
      </c>
      <c r="D286" s="62" t="s">
        <v>1034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1037</v>
      </c>
      <c r="C289" s="57" t="s">
        <v>507</v>
      </c>
      <c r="D289" s="62" t="s">
        <v>104</v>
      </c>
      <c r="E289" s="11" t="s">
        <v>29</v>
      </c>
    </row>
    <row r="290">
      <c r="A290" s="48">
        <v>0.75</v>
      </c>
      <c r="B290" s="62" t="s">
        <v>1038</v>
      </c>
      <c r="C290" s="57" t="s">
        <v>219</v>
      </c>
      <c r="D290" s="62" t="s">
        <v>1039</v>
      </c>
      <c r="E290" s="11" t="s">
        <v>33</v>
      </c>
    </row>
    <row r="291">
      <c r="A291" s="48">
        <v>0.7597222222222222</v>
      </c>
      <c r="B291" s="62" t="s">
        <v>1038</v>
      </c>
      <c r="C291" s="57" t="s">
        <v>205</v>
      </c>
      <c r="D291" s="62" t="s">
        <v>104</v>
      </c>
      <c r="E291" s="11" t="s">
        <v>29</v>
      </c>
    </row>
    <row r="292">
      <c r="A292" s="48">
        <v>0.7597222222222222</v>
      </c>
      <c r="B292" s="62" t="s">
        <v>1040</v>
      </c>
      <c r="C292" s="57" t="s">
        <v>20</v>
      </c>
      <c r="D292" s="62" t="s">
        <v>1039</v>
      </c>
      <c r="E292" s="11" t="s">
        <v>33</v>
      </c>
    </row>
    <row r="293">
      <c r="A293" s="48">
        <v>0.7701388888888889</v>
      </c>
      <c r="B293" s="62" t="s">
        <v>1040</v>
      </c>
      <c r="C293" s="57" t="s">
        <v>338</v>
      </c>
      <c r="D293" s="62" t="s">
        <v>1038</v>
      </c>
      <c r="E293" s="11" t="s">
        <v>29</v>
      </c>
    </row>
    <row r="294">
      <c r="A294" s="48">
        <v>0.7701388888888889</v>
      </c>
      <c r="B294" s="62" t="s">
        <v>1039</v>
      </c>
      <c r="C294" s="57" t="s">
        <v>182</v>
      </c>
      <c r="D294" s="62" t="s">
        <v>1037</v>
      </c>
      <c r="E294" s="11" t="s">
        <v>33</v>
      </c>
      <c r="H294" s="50"/>
    </row>
    <row r="295">
      <c r="A295" s="48">
        <v>0.7805555555555556</v>
      </c>
      <c r="B295" s="62" t="s">
        <v>1040</v>
      </c>
      <c r="C295" s="57" t="s">
        <v>336</v>
      </c>
      <c r="D295" s="62" t="s">
        <v>104</v>
      </c>
      <c r="E295" s="11" t="s">
        <v>29</v>
      </c>
    </row>
    <row r="296">
      <c r="A296" s="48">
        <v>0.7805555555555556</v>
      </c>
      <c r="B296" s="62" t="s">
        <v>1037</v>
      </c>
      <c r="C296" s="57" t="s">
        <v>1041</v>
      </c>
      <c r="D296" s="62" t="s">
        <v>1038</v>
      </c>
      <c r="E296" s="11" t="s">
        <v>33</v>
      </c>
    </row>
    <row r="297">
      <c r="A297" s="48">
        <v>0.7902777777777777</v>
      </c>
      <c r="B297" s="62" t="s">
        <v>1039</v>
      </c>
      <c r="C297" s="57" t="s">
        <v>302</v>
      </c>
      <c r="D297" s="62" t="s">
        <v>104</v>
      </c>
      <c r="E297" s="11" t="s">
        <v>29</v>
      </c>
    </row>
    <row r="298">
      <c r="A298" s="48">
        <v>0.7902777777777777</v>
      </c>
      <c r="B298" s="62" t="s">
        <v>1037</v>
      </c>
      <c r="C298" s="57" t="s">
        <v>7</v>
      </c>
      <c r="D298" s="62" t="s">
        <v>1040</v>
      </c>
      <c r="E298" s="11" t="s">
        <v>33</v>
      </c>
    </row>
    <row r="299">
      <c r="A299" s="48">
        <v>0.8006944444444445</v>
      </c>
      <c r="B299" s="62" t="s">
        <v>104</v>
      </c>
      <c r="C299" s="57" t="s">
        <v>7</v>
      </c>
      <c r="D299" s="62" t="s">
        <v>1037</v>
      </c>
      <c r="E299" s="11" t="s">
        <v>29</v>
      </c>
    </row>
    <row r="300">
      <c r="A300" s="48">
        <v>0.8006944444444445</v>
      </c>
      <c r="B300" s="62" t="s">
        <v>1039</v>
      </c>
      <c r="C300" s="57" t="s">
        <v>211</v>
      </c>
      <c r="D300" s="62" t="s">
        <v>1038</v>
      </c>
      <c r="E300" s="11" t="s">
        <v>33</v>
      </c>
    </row>
    <row r="301">
      <c r="A301" s="48">
        <v>0.8111111111111111</v>
      </c>
      <c r="B301" s="62" t="s">
        <v>104</v>
      </c>
      <c r="C301" s="57" t="s">
        <v>594</v>
      </c>
      <c r="D301" s="62" t="s">
        <v>1038</v>
      </c>
      <c r="E301" s="11" t="s">
        <v>29</v>
      </c>
    </row>
    <row r="302">
      <c r="A302" s="48">
        <v>0.8111111111111111</v>
      </c>
      <c r="B302" s="62" t="s">
        <v>1039</v>
      </c>
      <c r="C302" s="57" t="s">
        <v>20</v>
      </c>
      <c r="D302" s="62" t="s">
        <v>1040</v>
      </c>
      <c r="E302" s="11" t="s">
        <v>33</v>
      </c>
    </row>
    <row r="303">
      <c r="A303" s="48">
        <v>0.8208333333333333</v>
      </c>
      <c r="B303" s="62" t="s">
        <v>1038</v>
      </c>
      <c r="C303" s="57" t="s">
        <v>220</v>
      </c>
      <c r="D303" s="62" t="s">
        <v>1040</v>
      </c>
      <c r="E303" s="11" t="s">
        <v>29</v>
      </c>
    </row>
    <row r="304">
      <c r="A304" s="48">
        <v>0.8208333333333333</v>
      </c>
      <c r="B304" s="62" t="s">
        <v>1037</v>
      </c>
      <c r="C304" s="57" t="s">
        <v>158</v>
      </c>
      <c r="D304" s="62" t="s">
        <v>1039</v>
      </c>
      <c r="E304" s="11" t="s">
        <v>33</v>
      </c>
    </row>
    <row r="305">
      <c r="A305" s="48">
        <v>0.83125</v>
      </c>
      <c r="B305" s="62" t="s">
        <v>104</v>
      </c>
      <c r="C305" s="57" t="s">
        <v>23</v>
      </c>
      <c r="D305" s="62" t="s">
        <v>1040</v>
      </c>
      <c r="E305" s="11" t="s">
        <v>29</v>
      </c>
    </row>
    <row r="306">
      <c r="A306" s="48">
        <v>0.83125</v>
      </c>
      <c r="B306" s="62" t="s">
        <v>1038</v>
      </c>
      <c r="C306" s="57" t="s">
        <v>849</v>
      </c>
      <c r="D306" s="62" t="s">
        <v>1037</v>
      </c>
      <c r="E306" s="11" t="s">
        <v>33</v>
      </c>
    </row>
    <row r="307">
      <c r="A307" s="48">
        <v>0.8416666666666667</v>
      </c>
      <c r="B307" s="62" t="s">
        <v>104</v>
      </c>
      <c r="C307" s="57" t="s">
        <v>162</v>
      </c>
      <c r="D307" s="62" t="s">
        <v>1039</v>
      </c>
      <c r="E307" s="11" t="s">
        <v>29</v>
      </c>
    </row>
    <row r="308">
      <c r="A308" s="48">
        <v>0.8416666666666667</v>
      </c>
      <c r="B308" s="62" t="s">
        <v>1040</v>
      </c>
      <c r="C308" s="57" t="s">
        <v>158</v>
      </c>
      <c r="D308" s="62" t="s">
        <v>1037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1042</v>
      </c>
      <c r="C311" s="57" t="s">
        <v>7</v>
      </c>
      <c r="D311" s="62" t="s">
        <v>1043</v>
      </c>
      <c r="E311" s="11" t="s">
        <v>9</v>
      </c>
    </row>
    <row r="312">
      <c r="A312" s="48">
        <v>0.8541666666666666</v>
      </c>
      <c r="B312" s="62" t="s">
        <v>1044</v>
      </c>
      <c r="C312" s="57" t="s">
        <v>220</v>
      </c>
      <c r="D312" s="62" t="s">
        <v>795</v>
      </c>
      <c r="E312" s="11" t="s">
        <v>13</v>
      </c>
    </row>
    <row r="313">
      <c r="A313" s="48">
        <v>0.8638888888888889</v>
      </c>
      <c r="B313" s="62" t="s">
        <v>1044</v>
      </c>
      <c r="C313" s="57" t="s">
        <v>20</v>
      </c>
      <c r="D313" s="62" t="s">
        <v>1043</v>
      </c>
      <c r="E313" s="11" t="s">
        <v>9</v>
      </c>
    </row>
    <row r="314">
      <c r="A314" s="48">
        <v>0.8638888888888889</v>
      </c>
      <c r="B314" s="62" t="s">
        <v>796</v>
      </c>
      <c r="C314" s="57" t="s">
        <v>19</v>
      </c>
      <c r="D314" s="62" t="s">
        <v>795</v>
      </c>
      <c r="E314" s="11" t="s">
        <v>13</v>
      </c>
    </row>
    <row r="315">
      <c r="A315" s="48">
        <v>0.8743055555555556</v>
      </c>
      <c r="B315" s="62" t="s">
        <v>796</v>
      </c>
      <c r="C315" s="57" t="s">
        <v>187</v>
      </c>
      <c r="D315" s="62" t="s">
        <v>1044</v>
      </c>
      <c r="E315" s="11" t="s">
        <v>9</v>
      </c>
    </row>
    <row r="316">
      <c r="A316" s="48">
        <v>0.8743055555555556</v>
      </c>
      <c r="B316" s="62" t="s">
        <v>795</v>
      </c>
      <c r="C316" s="57" t="s">
        <v>177</v>
      </c>
      <c r="D316" s="62" t="s">
        <v>1042</v>
      </c>
      <c r="E316" s="11" t="s">
        <v>13</v>
      </c>
    </row>
    <row r="317">
      <c r="A317" s="48">
        <v>0.8847222222222222</v>
      </c>
      <c r="B317" s="62" t="s">
        <v>796</v>
      </c>
      <c r="C317" s="57" t="s">
        <v>219</v>
      </c>
      <c r="D317" s="62" t="s">
        <v>1043</v>
      </c>
      <c r="E317" s="11" t="s">
        <v>9</v>
      </c>
    </row>
    <row r="318">
      <c r="A318" s="48">
        <v>0.8847222222222222</v>
      </c>
      <c r="B318" s="62" t="s">
        <v>1042</v>
      </c>
      <c r="C318" s="57" t="s">
        <v>351</v>
      </c>
      <c r="D318" s="62" t="s">
        <v>1044</v>
      </c>
      <c r="E318" s="11" t="s">
        <v>13</v>
      </c>
    </row>
    <row r="319">
      <c r="A319" s="48">
        <v>0.8944444444444445</v>
      </c>
      <c r="B319" s="62" t="s">
        <v>795</v>
      </c>
      <c r="C319" s="57" t="s">
        <v>556</v>
      </c>
      <c r="D319" s="62" t="s">
        <v>1043</v>
      </c>
      <c r="E319" s="11" t="s">
        <v>9</v>
      </c>
    </row>
    <row r="320">
      <c r="A320" s="48">
        <v>0.8944444444444445</v>
      </c>
      <c r="B320" s="62" t="s">
        <v>1042</v>
      </c>
      <c r="C320" s="57" t="s">
        <v>301</v>
      </c>
      <c r="D320" s="62" t="s">
        <v>796</v>
      </c>
      <c r="E320" s="11" t="s">
        <v>13</v>
      </c>
    </row>
    <row r="321">
      <c r="A321" s="48">
        <v>0.9048611111111111</v>
      </c>
      <c r="B321" s="62" t="s">
        <v>1043</v>
      </c>
      <c r="C321" s="57" t="s">
        <v>27</v>
      </c>
      <c r="D321" s="62" t="s">
        <v>1042</v>
      </c>
      <c r="E321" s="11" t="s">
        <v>9</v>
      </c>
    </row>
    <row r="322">
      <c r="A322" s="48">
        <v>0.9048611111111111</v>
      </c>
      <c r="B322" s="62" t="s">
        <v>795</v>
      </c>
      <c r="C322" s="57" t="s">
        <v>17</v>
      </c>
      <c r="D322" s="62" t="s">
        <v>1044</v>
      </c>
      <c r="E322" s="11" t="s">
        <v>13</v>
      </c>
    </row>
    <row r="323">
      <c r="A323" s="48">
        <v>0.9152777777777777</v>
      </c>
      <c r="B323" s="62" t="s">
        <v>1043</v>
      </c>
      <c r="C323" s="45" t="s">
        <v>23</v>
      </c>
      <c r="D323" s="62" t="s">
        <v>1044</v>
      </c>
      <c r="E323" s="11" t="s">
        <v>9</v>
      </c>
    </row>
    <row r="324">
      <c r="A324" s="48">
        <v>0.9152777777777777</v>
      </c>
      <c r="B324" s="62" t="s">
        <v>795</v>
      </c>
      <c r="C324" s="45" t="s">
        <v>181</v>
      </c>
      <c r="D324" s="62" t="s">
        <v>796</v>
      </c>
      <c r="E324" s="11" t="s">
        <v>13</v>
      </c>
    </row>
    <row r="325">
      <c r="A325" s="48">
        <v>0.925</v>
      </c>
      <c r="B325" s="62" t="s">
        <v>1044</v>
      </c>
      <c r="C325" s="45" t="s">
        <v>257</v>
      </c>
      <c r="D325" s="62" t="s">
        <v>796</v>
      </c>
      <c r="E325" s="11" t="s">
        <v>9</v>
      </c>
    </row>
    <row r="326">
      <c r="A326" s="48">
        <v>0.925</v>
      </c>
      <c r="B326" s="62" t="s">
        <v>1042</v>
      </c>
      <c r="C326" s="45" t="s">
        <v>248</v>
      </c>
      <c r="D326" s="62" t="s">
        <v>795</v>
      </c>
      <c r="E326" s="11" t="s">
        <v>13</v>
      </c>
    </row>
    <row r="327">
      <c r="A327" s="48">
        <v>0.9354166666666667</v>
      </c>
      <c r="B327" s="62" t="s">
        <v>1043</v>
      </c>
      <c r="C327" s="45" t="s">
        <v>218</v>
      </c>
      <c r="D327" s="62" t="s">
        <v>796</v>
      </c>
      <c r="E327" s="11" t="s">
        <v>9</v>
      </c>
    </row>
    <row r="328">
      <c r="A328" s="48">
        <v>0.9354166666666667</v>
      </c>
      <c r="B328" s="62" t="s">
        <v>1044</v>
      </c>
      <c r="C328" s="45" t="s">
        <v>291</v>
      </c>
      <c r="D328" s="62" t="s">
        <v>1042</v>
      </c>
      <c r="E328" s="11" t="s">
        <v>13</v>
      </c>
    </row>
    <row r="329">
      <c r="A329" s="48">
        <v>0.9458333333333333</v>
      </c>
      <c r="B329" s="62" t="s">
        <v>1043</v>
      </c>
      <c r="C329" s="45" t="s">
        <v>7</v>
      </c>
      <c r="D329" s="62" t="s">
        <v>795</v>
      </c>
      <c r="E329" s="11" t="s">
        <v>9</v>
      </c>
    </row>
    <row r="330">
      <c r="A330" s="48">
        <v>0.9458333333333333</v>
      </c>
      <c r="B330" s="62" t="s">
        <v>796</v>
      </c>
      <c r="C330" s="45" t="s">
        <v>357</v>
      </c>
      <c r="D330" s="62" t="s">
        <v>1042</v>
      </c>
      <c r="E330" s="11" t="s">
        <v>13</v>
      </c>
    </row>
    <row r="331">
      <c r="A331" s="51"/>
      <c r="B331" s="52" t="s">
        <v>111</v>
      </c>
      <c r="C331" s="2"/>
      <c r="D331" s="3"/>
      <c r="E331" s="53"/>
      <c r="G331" s="50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1045</v>
      </c>
      <c r="C333" s="57" t="s">
        <v>357</v>
      </c>
      <c r="D333" s="62" t="s">
        <v>1046</v>
      </c>
      <c r="E333" s="11" t="s">
        <v>29</v>
      </c>
    </row>
    <row r="334">
      <c r="A334" s="48">
        <v>0.8541666666666666</v>
      </c>
      <c r="B334" s="62" t="s">
        <v>692</v>
      </c>
      <c r="C334" s="57" t="s">
        <v>304</v>
      </c>
      <c r="D334" s="62" t="s">
        <v>1047</v>
      </c>
      <c r="E334" s="11" t="s">
        <v>33</v>
      </c>
    </row>
    <row r="335">
      <c r="A335" s="48">
        <v>0.8638888888888889</v>
      </c>
      <c r="B335" s="62" t="s">
        <v>692</v>
      </c>
      <c r="C335" s="57" t="s">
        <v>209</v>
      </c>
      <c r="D335" s="62" t="s">
        <v>1046</v>
      </c>
      <c r="E335" s="11" t="s">
        <v>29</v>
      </c>
    </row>
    <row r="336">
      <c r="A336" s="48">
        <v>0.8638888888888889</v>
      </c>
      <c r="B336" s="62" t="s">
        <v>1048</v>
      </c>
      <c r="C336" s="57" t="s">
        <v>185</v>
      </c>
      <c r="D336" s="62" t="s">
        <v>1047</v>
      </c>
      <c r="E336" s="11" t="s">
        <v>33</v>
      </c>
    </row>
    <row r="337">
      <c r="A337" s="48">
        <v>0.8743055555555556</v>
      </c>
      <c r="B337" s="62" t="s">
        <v>1048</v>
      </c>
      <c r="C337" s="57" t="s">
        <v>7</v>
      </c>
      <c r="D337" s="62" t="s">
        <v>692</v>
      </c>
      <c r="E337" s="11" t="s">
        <v>29</v>
      </c>
    </row>
    <row r="338">
      <c r="A338" s="48">
        <v>0.8743055555555556</v>
      </c>
      <c r="B338" s="62" t="s">
        <v>1047</v>
      </c>
      <c r="C338" s="57" t="s">
        <v>205</v>
      </c>
      <c r="D338" s="62" t="s">
        <v>1045</v>
      </c>
      <c r="E338" s="11" t="s">
        <v>33</v>
      </c>
    </row>
    <row r="339">
      <c r="A339" s="48">
        <v>0.8847222222222222</v>
      </c>
      <c r="B339" s="62" t="s">
        <v>1048</v>
      </c>
      <c r="C339" s="57" t="s">
        <v>248</v>
      </c>
      <c r="D339" s="62" t="s">
        <v>1046</v>
      </c>
      <c r="E339" s="11" t="s">
        <v>29</v>
      </c>
    </row>
    <row r="340">
      <c r="A340" s="48">
        <v>0.8847222222222222</v>
      </c>
      <c r="B340" s="62" t="s">
        <v>1045</v>
      </c>
      <c r="C340" s="57" t="s">
        <v>594</v>
      </c>
      <c r="D340" s="62" t="s">
        <v>692</v>
      </c>
      <c r="E340" s="11" t="s">
        <v>33</v>
      </c>
    </row>
    <row r="341">
      <c r="A341" s="48">
        <v>0.8944444444444445</v>
      </c>
      <c r="B341" s="62" t="s">
        <v>1047</v>
      </c>
      <c r="C341" s="57" t="s">
        <v>163</v>
      </c>
      <c r="D341" s="62" t="s">
        <v>1046</v>
      </c>
      <c r="E341" s="11" t="s">
        <v>29</v>
      </c>
    </row>
    <row r="342">
      <c r="A342" s="48">
        <v>0.8944444444444445</v>
      </c>
      <c r="B342" s="62" t="s">
        <v>1045</v>
      </c>
      <c r="C342" s="57" t="s">
        <v>41</v>
      </c>
      <c r="D342" s="62" t="s">
        <v>1048</v>
      </c>
      <c r="E342" s="11" t="s">
        <v>33</v>
      </c>
    </row>
    <row r="343">
      <c r="A343" s="48">
        <v>0.9048611111111111</v>
      </c>
      <c r="B343" s="62" t="s">
        <v>1046</v>
      </c>
      <c r="C343" s="57" t="s">
        <v>380</v>
      </c>
      <c r="D343" s="62" t="s">
        <v>1045</v>
      </c>
      <c r="E343" s="11" t="s">
        <v>29</v>
      </c>
    </row>
    <row r="344">
      <c r="A344" s="48">
        <v>0.9048611111111111</v>
      </c>
      <c r="B344" s="62" t="s">
        <v>1047</v>
      </c>
      <c r="C344" s="57" t="s">
        <v>940</v>
      </c>
      <c r="D344" s="62" t="s">
        <v>692</v>
      </c>
      <c r="E344" s="11" t="s">
        <v>33</v>
      </c>
    </row>
    <row r="345">
      <c r="A345" s="48">
        <v>0.9152777777777777</v>
      </c>
      <c r="B345" s="62" t="s">
        <v>1046</v>
      </c>
      <c r="C345" s="57" t="s">
        <v>184</v>
      </c>
      <c r="D345" s="62" t="s">
        <v>692</v>
      </c>
      <c r="E345" s="11" t="s">
        <v>29</v>
      </c>
    </row>
    <row r="346">
      <c r="A346" s="48">
        <v>0.9152777777777777</v>
      </c>
      <c r="B346" s="62" t="s">
        <v>1047</v>
      </c>
      <c r="C346" s="57" t="s">
        <v>7</v>
      </c>
      <c r="D346" s="62" t="s">
        <v>1048</v>
      </c>
      <c r="E346" s="11" t="s">
        <v>33</v>
      </c>
    </row>
    <row r="347">
      <c r="A347" s="48">
        <v>0.925</v>
      </c>
      <c r="B347" s="62" t="s">
        <v>692</v>
      </c>
      <c r="C347" s="57" t="s">
        <v>216</v>
      </c>
      <c r="D347" s="62" t="s">
        <v>1048</v>
      </c>
      <c r="E347" s="11" t="s">
        <v>29</v>
      </c>
    </row>
    <row r="348">
      <c r="A348" s="48">
        <v>0.925</v>
      </c>
      <c r="B348" s="62" t="s">
        <v>1045</v>
      </c>
      <c r="C348" s="57" t="s">
        <v>442</v>
      </c>
      <c r="D348" s="62" t="s">
        <v>1047</v>
      </c>
      <c r="E348" s="11" t="s">
        <v>33</v>
      </c>
    </row>
    <row r="349">
      <c r="A349" s="48">
        <v>0.9354166666666667</v>
      </c>
      <c r="B349" s="62" t="s">
        <v>1046</v>
      </c>
      <c r="C349" s="57" t="s">
        <v>231</v>
      </c>
      <c r="D349" s="62" t="s">
        <v>1048</v>
      </c>
      <c r="E349" s="11" t="s">
        <v>29</v>
      </c>
    </row>
    <row r="350">
      <c r="A350" s="48">
        <v>0.9354166666666667</v>
      </c>
      <c r="B350" s="62" t="s">
        <v>692</v>
      </c>
      <c r="C350" s="57" t="s">
        <v>1049</v>
      </c>
      <c r="D350" s="62" t="s">
        <v>1045</v>
      </c>
      <c r="E350" s="11" t="s">
        <v>33</v>
      </c>
    </row>
    <row r="351">
      <c r="A351" s="48">
        <v>0.9458333333333333</v>
      </c>
      <c r="B351" s="62" t="s">
        <v>1046</v>
      </c>
      <c r="C351" s="57" t="s">
        <v>43</v>
      </c>
      <c r="D351" s="62" t="s">
        <v>1047</v>
      </c>
      <c r="E351" s="11" t="s">
        <v>29</v>
      </c>
    </row>
    <row r="352">
      <c r="A352" s="48">
        <v>0.9458333333333333</v>
      </c>
      <c r="B352" s="62" t="s">
        <v>1048</v>
      </c>
      <c r="C352" s="57" t="s">
        <v>357</v>
      </c>
      <c r="D352" s="62" t="s">
        <v>1045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595</v>
      </c>
      <c r="C355" s="45" t="s">
        <v>17</v>
      </c>
      <c r="D355" s="62" t="s">
        <v>699</v>
      </c>
      <c r="E355" s="11" t="s">
        <v>9</v>
      </c>
    </row>
    <row r="356">
      <c r="A356" s="48">
        <v>0.9583333333333334</v>
      </c>
      <c r="B356" s="62" t="s">
        <v>1050</v>
      </c>
      <c r="C356" s="45" t="s">
        <v>166</v>
      </c>
      <c r="D356" s="62" t="s">
        <v>897</v>
      </c>
      <c r="E356" s="11" t="s">
        <v>13</v>
      </c>
    </row>
    <row r="357">
      <c r="A357" s="48">
        <v>0.9680555555555556</v>
      </c>
      <c r="B357" s="62" t="s">
        <v>1050</v>
      </c>
      <c r="C357" s="45" t="s">
        <v>18</v>
      </c>
      <c r="D357" s="62" t="s">
        <v>699</v>
      </c>
      <c r="E357" s="11" t="s">
        <v>9</v>
      </c>
    </row>
    <row r="358">
      <c r="A358" s="48">
        <v>0.9680555555555556</v>
      </c>
      <c r="B358" s="62" t="s">
        <v>806</v>
      </c>
      <c r="C358" s="45" t="s">
        <v>173</v>
      </c>
      <c r="D358" s="62" t="s">
        <v>897</v>
      </c>
      <c r="E358" s="11" t="s">
        <v>13</v>
      </c>
    </row>
    <row r="359">
      <c r="A359" s="48">
        <v>0.9784722222222222</v>
      </c>
      <c r="B359" s="62" t="s">
        <v>806</v>
      </c>
      <c r="C359" s="45" t="s">
        <v>366</v>
      </c>
      <c r="D359" s="62" t="s">
        <v>1050</v>
      </c>
      <c r="E359" s="11" t="s">
        <v>9</v>
      </c>
    </row>
    <row r="360">
      <c r="A360" s="48">
        <v>0.9784722222222222</v>
      </c>
      <c r="B360" s="62" t="s">
        <v>897</v>
      </c>
      <c r="C360" s="45" t="s">
        <v>256</v>
      </c>
      <c r="D360" s="62" t="s">
        <v>595</v>
      </c>
      <c r="E360" s="11" t="s">
        <v>13</v>
      </c>
    </row>
    <row r="361">
      <c r="A361" s="48">
        <v>0.9888888888888889</v>
      </c>
      <c r="B361" s="62" t="s">
        <v>806</v>
      </c>
      <c r="C361" s="45" t="s">
        <v>162</v>
      </c>
      <c r="D361" s="62" t="s">
        <v>699</v>
      </c>
      <c r="E361" s="11" t="s">
        <v>9</v>
      </c>
    </row>
    <row r="362">
      <c r="A362" s="48">
        <v>0.9888888888888889</v>
      </c>
      <c r="B362" s="62" t="s">
        <v>595</v>
      </c>
      <c r="C362" s="45" t="s">
        <v>161</v>
      </c>
      <c r="D362" s="62" t="s">
        <v>1050</v>
      </c>
      <c r="E362" s="11" t="s">
        <v>13</v>
      </c>
    </row>
    <row r="363">
      <c r="A363" s="48">
        <v>0.9986111111111111</v>
      </c>
      <c r="B363" s="62" t="s">
        <v>897</v>
      </c>
      <c r="C363" s="45" t="s">
        <v>547</v>
      </c>
      <c r="D363" s="62" t="s">
        <v>699</v>
      </c>
      <c r="E363" s="11" t="s">
        <v>9</v>
      </c>
    </row>
    <row r="364">
      <c r="A364" s="48">
        <v>0.9986111111111111</v>
      </c>
      <c r="B364" s="62" t="s">
        <v>595</v>
      </c>
      <c r="C364" s="45" t="s">
        <v>222</v>
      </c>
      <c r="D364" s="62" t="s">
        <v>806</v>
      </c>
      <c r="E364" s="11" t="s">
        <v>13</v>
      </c>
    </row>
    <row r="365">
      <c r="A365" s="48">
        <v>0.009027777777777777</v>
      </c>
      <c r="B365" s="62" t="s">
        <v>699</v>
      </c>
      <c r="C365" s="45" t="s">
        <v>177</v>
      </c>
      <c r="D365" s="62" t="s">
        <v>595</v>
      </c>
      <c r="E365" s="11" t="s">
        <v>9</v>
      </c>
    </row>
    <row r="366">
      <c r="A366" s="48">
        <v>0.009027777777777777</v>
      </c>
      <c r="B366" s="62" t="s">
        <v>897</v>
      </c>
      <c r="C366" s="45" t="s">
        <v>7</v>
      </c>
      <c r="D366" s="62" t="s">
        <v>1050</v>
      </c>
      <c r="E366" s="11" t="s">
        <v>13</v>
      </c>
    </row>
    <row r="367">
      <c r="A367" s="48">
        <v>0.019444444444444445</v>
      </c>
      <c r="B367" s="62" t="s">
        <v>699</v>
      </c>
      <c r="C367" s="45" t="s">
        <v>185</v>
      </c>
      <c r="D367" s="62" t="s">
        <v>1050</v>
      </c>
      <c r="E367" s="11" t="s">
        <v>9</v>
      </c>
    </row>
    <row r="368">
      <c r="A368" s="48">
        <v>0.019444444444444445</v>
      </c>
      <c r="B368" s="62" t="s">
        <v>897</v>
      </c>
      <c r="C368" s="45" t="s">
        <v>219</v>
      </c>
      <c r="D368" s="62" t="s">
        <v>806</v>
      </c>
      <c r="E368" s="11" t="s">
        <v>13</v>
      </c>
    </row>
    <row r="369">
      <c r="A369" s="48">
        <v>0.029166666666666667</v>
      </c>
      <c r="B369" s="62" t="s">
        <v>1050</v>
      </c>
      <c r="C369" s="45" t="s">
        <v>43</v>
      </c>
      <c r="D369" s="62" t="s">
        <v>806</v>
      </c>
      <c r="E369" s="11" t="s">
        <v>9</v>
      </c>
    </row>
    <row r="370">
      <c r="A370" s="48">
        <v>0.029166666666666667</v>
      </c>
      <c r="B370" s="62" t="s">
        <v>595</v>
      </c>
      <c r="C370" s="45" t="s">
        <v>1051</v>
      </c>
      <c r="D370" s="62" t="s">
        <v>897</v>
      </c>
      <c r="E370" s="11" t="s">
        <v>13</v>
      </c>
    </row>
    <row r="371">
      <c r="A371" s="48">
        <v>0.03958333333333333</v>
      </c>
      <c r="B371" s="62" t="s">
        <v>699</v>
      </c>
      <c r="C371" s="45" t="s">
        <v>549</v>
      </c>
      <c r="D371" s="62" t="s">
        <v>806</v>
      </c>
      <c r="E371" s="11" t="s">
        <v>9</v>
      </c>
    </row>
    <row r="372">
      <c r="A372" s="48">
        <v>0.03958333333333333</v>
      </c>
      <c r="B372" s="62" t="s">
        <v>1050</v>
      </c>
      <c r="C372" s="45" t="s">
        <v>23</v>
      </c>
      <c r="D372" s="62" t="s">
        <v>595</v>
      </c>
      <c r="E372" s="11" t="s">
        <v>13</v>
      </c>
    </row>
    <row r="373">
      <c r="A373" s="48">
        <v>0.05</v>
      </c>
      <c r="B373" s="62" t="s">
        <v>699</v>
      </c>
      <c r="C373" s="45" t="s">
        <v>158</v>
      </c>
      <c r="D373" s="62" t="s">
        <v>897</v>
      </c>
      <c r="E373" s="11" t="s">
        <v>9</v>
      </c>
    </row>
    <row r="374">
      <c r="A374" s="48">
        <v>0.05</v>
      </c>
      <c r="B374" s="62" t="s">
        <v>806</v>
      </c>
      <c r="C374" s="45" t="s">
        <v>173</v>
      </c>
      <c r="D374" s="62" t="s">
        <v>595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1052</v>
      </c>
      <c r="C377" s="57" t="s">
        <v>16</v>
      </c>
      <c r="D377" s="62" t="s">
        <v>807</v>
      </c>
      <c r="E377" s="11" t="s">
        <v>29</v>
      </c>
    </row>
    <row r="378">
      <c r="A378" s="48">
        <v>0.9583333333333334</v>
      </c>
      <c r="B378" s="62" t="s">
        <v>900</v>
      </c>
      <c r="C378" s="57" t="s">
        <v>162</v>
      </c>
      <c r="D378" s="62" t="s">
        <v>1053</v>
      </c>
      <c r="E378" s="11" t="s">
        <v>33</v>
      </c>
    </row>
    <row r="379">
      <c r="A379" s="48">
        <v>0.9680555555555556</v>
      </c>
      <c r="B379" s="62" t="s">
        <v>900</v>
      </c>
      <c r="C379" s="57" t="s">
        <v>16</v>
      </c>
      <c r="D379" s="62" t="s">
        <v>807</v>
      </c>
      <c r="E379" s="11" t="s">
        <v>29</v>
      </c>
    </row>
    <row r="380">
      <c r="A380" s="48">
        <v>0.9680555555555556</v>
      </c>
      <c r="B380" s="62" t="s">
        <v>1054</v>
      </c>
      <c r="C380" s="57" t="s">
        <v>194</v>
      </c>
      <c r="D380" s="62" t="s">
        <v>1053</v>
      </c>
      <c r="E380" s="11" t="s">
        <v>33</v>
      </c>
    </row>
    <row r="381">
      <c r="A381" s="48">
        <v>0.9784722222222222</v>
      </c>
      <c r="B381" s="62" t="s">
        <v>1054</v>
      </c>
      <c r="C381" s="57" t="s">
        <v>185</v>
      </c>
      <c r="D381" s="62" t="s">
        <v>900</v>
      </c>
      <c r="E381" s="11" t="s">
        <v>29</v>
      </c>
    </row>
    <row r="382">
      <c r="A382" s="48">
        <v>0.9784722222222222</v>
      </c>
      <c r="B382" s="62" t="s">
        <v>1053</v>
      </c>
      <c r="C382" s="57" t="s">
        <v>18</v>
      </c>
      <c r="D382" s="62" t="s">
        <v>1052</v>
      </c>
      <c r="E382" s="11" t="s">
        <v>33</v>
      </c>
    </row>
    <row r="383">
      <c r="A383" s="48">
        <v>0.9888888888888889</v>
      </c>
      <c r="B383" s="62" t="s">
        <v>1054</v>
      </c>
      <c r="C383" s="57" t="s">
        <v>44</v>
      </c>
      <c r="D383" s="62" t="s">
        <v>807</v>
      </c>
      <c r="E383" s="11" t="s">
        <v>29</v>
      </c>
    </row>
    <row r="384">
      <c r="A384" s="48">
        <v>0.9888888888888889</v>
      </c>
      <c r="B384" s="62" t="s">
        <v>1052</v>
      </c>
      <c r="C384" s="57" t="s">
        <v>248</v>
      </c>
      <c r="D384" s="62" t="s">
        <v>900</v>
      </c>
      <c r="E384" s="11" t="s">
        <v>33</v>
      </c>
    </row>
    <row r="385">
      <c r="A385" s="48">
        <v>0.9986111111111111</v>
      </c>
      <c r="B385" s="62" t="s">
        <v>1053</v>
      </c>
      <c r="C385" s="57" t="s">
        <v>219</v>
      </c>
      <c r="D385" s="62" t="s">
        <v>807</v>
      </c>
      <c r="E385" s="11" t="s">
        <v>29</v>
      </c>
    </row>
    <row r="386">
      <c r="A386" s="48">
        <v>0.9986111111111111</v>
      </c>
      <c r="B386" s="62" t="s">
        <v>1052</v>
      </c>
      <c r="C386" s="57" t="s">
        <v>352</v>
      </c>
      <c r="D386" s="62" t="s">
        <v>1054</v>
      </c>
      <c r="E386" s="11" t="s">
        <v>33</v>
      </c>
    </row>
    <row r="387">
      <c r="A387" s="48">
        <v>0.009027777777777777</v>
      </c>
      <c r="B387" s="62" t="s">
        <v>807</v>
      </c>
      <c r="C387" s="57" t="s">
        <v>41</v>
      </c>
      <c r="D387" s="62" t="s">
        <v>1052</v>
      </c>
      <c r="E387" s="11" t="s">
        <v>29</v>
      </c>
    </row>
    <row r="388">
      <c r="A388" s="48">
        <v>0.009027777777777777</v>
      </c>
      <c r="B388" s="62" t="s">
        <v>1053</v>
      </c>
      <c r="C388" s="57" t="s">
        <v>193</v>
      </c>
      <c r="D388" s="62" t="s">
        <v>900</v>
      </c>
      <c r="E388" s="11" t="s">
        <v>33</v>
      </c>
    </row>
    <row r="389">
      <c r="A389" s="48">
        <v>0.019444444444444445</v>
      </c>
      <c r="B389" s="62" t="s">
        <v>807</v>
      </c>
      <c r="C389" s="57" t="s">
        <v>302</v>
      </c>
      <c r="D389" s="62" t="s">
        <v>900</v>
      </c>
      <c r="E389" s="11" t="s">
        <v>29</v>
      </c>
    </row>
    <row r="390">
      <c r="A390" s="48">
        <v>0.019444444444444445</v>
      </c>
      <c r="B390" s="62" t="s">
        <v>1053</v>
      </c>
      <c r="C390" s="57" t="s">
        <v>302</v>
      </c>
      <c r="D390" s="62" t="s">
        <v>1054</v>
      </c>
      <c r="E390" s="11" t="s">
        <v>33</v>
      </c>
    </row>
    <row r="391">
      <c r="A391" s="48">
        <v>0.029166666666666667</v>
      </c>
      <c r="B391" s="62" t="s">
        <v>900</v>
      </c>
      <c r="C391" s="57" t="s">
        <v>248</v>
      </c>
      <c r="D391" s="62" t="s">
        <v>1054</v>
      </c>
      <c r="E391" s="11" t="s">
        <v>29</v>
      </c>
    </row>
    <row r="392">
      <c r="A392" s="48">
        <v>0.029166666666666667</v>
      </c>
      <c r="B392" s="62" t="s">
        <v>1052</v>
      </c>
      <c r="C392" s="57" t="s">
        <v>208</v>
      </c>
      <c r="D392" s="62" t="s">
        <v>1053</v>
      </c>
      <c r="E392" s="11" t="s">
        <v>33</v>
      </c>
    </row>
    <row r="393">
      <c r="A393" s="48">
        <v>0.03958333333333333</v>
      </c>
      <c r="B393" s="62" t="s">
        <v>807</v>
      </c>
      <c r="C393" s="57" t="s">
        <v>323</v>
      </c>
      <c r="D393" s="62" t="s">
        <v>1054</v>
      </c>
      <c r="E393" s="11" t="s">
        <v>29</v>
      </c>
    </row>
    <row r="394">
      <c r="A394" s="48">
        <v>0.03958333333333333</v>
      </c>
      <c r="B394" s="62" t="s">
        <v>900</v>
      </c>
      <c r="C394" s="57" t="s">
        <v>177</v>
      </c>
      <c r="D394" s="62" t="s">
        <v>1052</v>
      </c>
      <c r="E394" s="11" t="s">
        <v>33</v>
      </c>
    </row>
    <row r="395">
      <c r="A395" s="48">
        <v>0.05</v>
      </c>
      <c r="B395" s="62" t="s">
        <v>807</v>
      </c>
      <c r="C395" s="57" t="s">
        <v>158</v>
      </c>
      <c r="D395" s="62" t="s">
        <v>1053</v>
      </c>
      <c r="E395" s="11" t="s">
        <v>29</v>
      </c>
    </row>
    <row r="396">
      <c r="A396" s="48">
        <v>0.05</v>
      </c>
      <c r="B396" s="62" t="s">
        <v>1054</v>
      </c>
      <c r="C396" s="57" t="s">
        <v>187</v>
      </c>
      <c r="D396" s="62" t="s">
        <v>1052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53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48">
        <v>0.0625</v>
      </c>
      <c r="B3" s="61" t="s">
        <v>811</v>
      </c>
      <c r="C3" s="45" t="s">
        <v>219</v>
      </c>
      <c r="D3" s="62" t="s">
        <v>596</v>
      </c>
      <c r="E3" s="11" t="s">
        <v>9</v>
      </c>
    </row>
    <row r="4">
      <c r="A4" s="48">
        <v>0.0625</v>
      </c>
      <c r="B4" s="61" t="s">
        <v>478</v>
      </c>
      <c r="C4" s="45" t="s">
        <v>338</v>
      </c>
      <c r="D4" s="61" t="s">
        <v>987</v>
      </c>
      <c r="E4" s="11" t="s">
        <v>13</v>
      </c>
    </row>
    <row r="5">
      <c r="A5" s="48">
        <v>0.07222222222222222</v>
      </c>
      <c r="B5" s="62" t="s">
        <v>478</v>
      </c>
      <c r="C5" s="45" t="s">
        <v>7</v>
      </c>
      <c r="D5" s="61" t="s">
        <v>596</v>
      </c>
      <c r="E5" s="11" t="s">
        <v>9</v>
      </c>
    </row>
    <row r="6">
      <c r="A6" s="48">
        <v>0.07222222222222222</v>
      </c>
      <c r="B6" s="61" t="s">
        <v>1055</v>
      </c>
      <c r="C6" s="45" t="s">
        <v>39</v>
      </c>
      <c r="D6" s="62" t="s">
        <v>987</v>
      </c>
      <c r="E6" s="11" t="s">
        <v>13</v>
      </c>
    </row>
    <row r="7">
      <c r="A7" s="48">
        <v>0.08263888888888889</v>
      </c>
      <c r="B7" s="62" t="s">
        <v>1055</v>
      </c>
      <c r="C7" s="45" t="s">
        <v>18</v>
      </c>
      <c r="D7" s="61" t="s">
        <v>478</v>
      </c>
      <c r="E7" s="11" t="s">
        <v>9</v>
      </c>
    </row>
    <row r="8">
      <c r="A8" s="48">
        <v>0.08263888888888889</v>
      </c>
      <c r="B8" s="61" t="s">
        <v>987</v>
      </c>
      <c r="C8" s="45" t="s">
        <v>547</v>
      </c>
      <c r="D8" s="61" t="s">
        <v>811</v>
      </c>
      <c r="E8" s="11" t="s">
        <v>13</v>
      </c>
    </row>
    <row r="9">
      <c r="A9" s="48">
        <v>0.09305555555555556</v>
      </c>
      <c r="B9" s="62" t="s">
        <v>1055</v>
      </c>
      <c r="C9" s="45" t="s">
        <v>233</v>
      </c>
      <c r="D9" s="62" t="s">
        <v>596</v>
      </c>
      <c r="E9" s="11" t="s">
        <v>9</v>
      </c>
    </row>
    <row r="10">
      <c r="A10" s="48">
        <v>0.09305555555555556</v>
      </c>
      <c r="B10" s="61" t="s">
        <v>811</v>
      </c>
      <c r="C10" s="45" t="s">
        <v>16</v>
      </c>
      <c r="D10" s="61" t="s">
        <v>478</v>
      </c>
      <c r="E10" s="11" t="s">
        <v>13</v>
      </c>
    </row>
    <row r="11">
      <c r="A11" s="48">
        <v>0.10277777777777777</v>
      </c>
      <c r="B11" s="62" t="s">
        <v>987</v>
      </c>
      <c r="C11" s="45" t="s">
        <v>245</v>
      </c>
      <c r="D11" s="61" t="s">
        <v>596</v>
      </c>
      <c r="E11" s="11" t="s">
        <v>9</v>
      </c>
    </row>
    <row r="12">
      <c r="A12" s="48">
        <v>0.10277777777777777</v>
      </c>
      <c r="B12" s="61" t="s">
        <v>811</v>
      </c>
      <c r="C12" s="45" t="s">
        <v>271</v>
      </c>
      <c r="D12" s="62" t="s">
        <v>1055</v>
      </c>
      <c r="E12" s="11" t="s">
        <v>13</v>
      </c>
    </row>
    <row r="13">
      <c r="A13" s="48">
        <v>0.11319444444444444</v>
      </c>
      <c r="B13" s="62" t="s">
        <v>596</v>
      </c>
      <c r="C13" s="45" t="s">
        <v>181</v>
      </c>
      <c r="D13" s="61" t="s">
        <v>811</v>
      </c>
      <c r="E13" s="11" t="s">
        <v>9</v>
      </c>
    </row>
    <row r="14">
      <c r="A14" s="48">
        <v>0.11319444444444444</v>
      </c>
      <c r="B14" s="61" t="s">
        <v>987</v>
      </c>
      <c r="C14" s="45" t="s">
        <v>194</v>
      </c>
      <c r="D14" s="61" t="s">
        <v>478</v>
      </c>
      <c r="E14" s="11" t="s">
        <v>13</v>
      </c>
    </row>
    <row r="15">
      <c r="A15" s="48">
        <v>0.12361111111111112</v>
      </c>
      <c r="B15" s="61" t="s">
        <v>596</v>
      </c>
      <c r="C15" s="45" t="s">
        <v>43</v>
      </c>
      <c r="D15" s="62" t="s">
        <v>478</v>
      </c>
      <c r="E15" s="11" t="s">
        <v>9</v>
      </c>
    </row>
    <row r="16">
      <c r="A16" s="48">
        <v>0.12361111111111112</v>
      </c>
      <c r="B16" s="62" t="s">
        <v>987</v>
      </c>
      <c r="C16" s="45" t="s">
        <v>344</v>
      </c>
      <c r="D16" s="61" t="s">
        <v>1055</v>
      </c>
      <c r="E16" s="11" t="s">
        <v>13</v>
      </c>
    </row>
    <row r="17">
      <c r="A17" s="48">
        <v>0.13333333333333333</v>
      </c>
      <c r="B17" s="61" t="s">
        <v>478</v>
      </c>
      <c r="C17" s="45" t="s">
        <v>229</v>
      </c>
      <c r="D17" s="62" t="s">
        <v>1055</v>
      </c>
      <c r="E17" s="11" t="s">
        <v>9</v>
      </c>
    </row>
    <row r="18">
      <c r="A18" s="48">
        <v>0.13333333333333333</v>
      </c>
      <c r="B18" s="61" t="s">
        <v>811</v>
      </c>
      <c r="C18" s="45" t="s">
        <v>155</v>
      </c>
      <c r="D18" s="61" t="s">
        <v>987</v>
      </c>
      <c r="E18" s="11" t="s">
        <v>13</v>
      </c>
    </row>
    <row r="19">
      <c r="A19" s="48">
        <v>0.14375</v>
      </c>
      <c r="B19" s="62" t="s">
        <v>596</v>
      </c>
      <c r="C19" s="45" t="s">
        <v>352</v>
      </c>
      <c r="D19" s="62" t="s">
        <v>1055</v>
      </c>
      <c r="E19" s="11" t="s">
        <v>9</v>
      </c>
    </row>
    <row r="20">
      <c r="A20" s="48">
        <v>0.14375</v>
      </c>
      <c r="B20" s="61" t="s">
        <v>478</v>
      </c>
      <c r="C20" s="45" t="s">
        <v>20</v>
      </c>
      <c r="D20" s="61" t="s">
        <v>811</v>
      </c>
      <c r="E20" s="11" t="s">
        <v>13</v>
      </c>
    </row>
    <row r="21">
      <c r="A21" s="48">
        <v>0.15416666666666667</v>
      </c>
      <c r="B21" s="61" t="s">
        <v>596</v>
      </c>
      <c r="C21" s="45" t="s">
        <v>545</v>
      </c>
      <c r="D21" s="62" t="s">
        <v>987</v>
      </c>
      <c r="E21" s="11" t="s">
        <v>9</v>
      </c>
    </row>
    <row r="22">
      <c r="A22" s="48">
        <v>0.15416666666666667</v>
      </c>
      <c r="B22" s="62" t="s">
        <v>1055</v>
      </c>
      <c r="C22" s="45" t="s">
        <v>279</v>
      </c>
      <c r="D22" s="61" t="s">
        <v>811</v>
      </c>
      <c r="E22" s="11" t="s">
        <v>13</v>
      </c>
    </row>
    <row r="23">
      <c r="A23" s="51"/>
      <c r="B23" s="1" t="s">
        <v>25</v>
      </c>
      <c r="C23" s="2"/>
      <c r="D23" s="3"/>
      <c r="E23" s="73"/>
    </row>
    <row r="24">
      <c r="A24" s="4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48">
        <v>0.0625</v>
      </c>
      <c r="B25" s="61" t="s">
        <v>483</v>
      </c>
      <c r="C25" s="45" t="s">
        <v>16</v>
      </c>
      <c r="D25" s="61" t="s">
        <v>710</v>
      </c>
      <c r="E25" s="11" t="s">
        <v>29</v>
      </c>
    </row>
    <row r="26">
      <c r="A26" s="48">
        <v>0.0625</v>
      </c>
      <c r="B26" s="61" t="s">
        <v>1056</v>
      </c>
      <c r="C26" s="45" t="s">
        <v>194</v>
      </c>
      <c r="D26" s="61" t="s">
        <v>1057</v>
      </c>
      <c r="E26" s="11" t="s">
        <v>33</v>
      </c>
    </row>
    <row r="27">
      <c r="A27" s="48">
        <v>0.07222222222222222</v>
      </c>
      <c r="B27" s="62" t="s">
        <v>1056</v>
      </c>
      <c r="C27" s="45" t="s">
        <v>344</v>
      </c>
      <c r="D27" s="62" t="s">
        <v>710</v>
      </c>
      <c r="E27" s="11" t="s">
        <v>29</v>
      </c>
    </row>
    <row r="28">
      <c r="A28" s="48">
        <v>0.07222222222222222</v>
      </c>
      <c r="B28" s="61" t="s">
        <v>1058</v>
      </c>
      <c r="C28" s="45" t="s">
        <v>14</v>
      </c>
      <c r="D28" s="61" t="s">
        <v>1057</v>
      </c>
      <c r="E28" s="11" t="s">
        <v>33</v>
      </c>
    </row>
    <row r="29">
      <c r="A29" s="48">
        <v>0.08263888888888889</v>
      </c>
      <c r="B29" s="62" t="s">
        <v>1058</v>
      </c>
      <c r="C29" s="45" t="s">
        <v>418</v>
      </c>
      <c r="D29" s="61" t="s">
        <v>1056</v>
      </c>
      <c r="E29" s="11" t="s">
        <v>29</v>
      </c>
    </row>
    <row r="30">
      <c r="A30" s="48">
        <v>0.08263888888888889</v>
      </c>
      <c r="B30" s="61" t="s">
        <v>1057</v>
      </c>
      <c r="C30" s="45" t="s">
        <v>342</v>
      </c>
      <c r="D30" s="61" t="s">
        <v>483</v>
      </c>
      <c r="E30" s="11" t="s">
        <v>33</v>
      </c>
    </row>
    <row r="31">
      <c r="A31" s="48">
        <v>0.09305555555555556</v>
      </c>
      <c r="B31" s="62" t="s">
        <v>1058</v>
      </c>
      <c r="C31" s="45" t="s">
        <v>1059</v>
      </c>
      <c r="D31" s="61" t="s">
        <v>710</v>
      </c>
      <c r="E31" s="11" t="s">
        <v>29</v>
      </c>
    </row>
    <row r="32">
      <c r="A32" s="48">
        <v>0.09305555555555556</v>
      </c>
      <c r="B32" s="61" t="s">
        <v>483</v>
      </c>
      <c r="C32" s="45" t="s">
        <v>565</v>
      </c>
      <c r="D32" s="62" t="s">
        <v>1056</v>
      </c>
      <c r="E32" s="11" t="s">
        <v>33</v>
      </c>
    </row>
    <row r="33">
      <c r="A33" s="48">
        <v>0.10277777777777777</v>
      </c>
      <c r="B33" s="61" t="s">
        <v>1057</v>
      </c>
      <c r="C33" s="45" t="s">
        <v>16</v>
      </c>
      <c r="D33" s="61" t="s">
        <v>710</v>
      </c>
      <c r="E33" s="11" t="s">
        <v>29</v>
      </c>
    </row>
    <row r="34">
      <c r="A34" s="48">
        <v>0.10277777777777777</v>
      </c>
      <c r="B34" s="61" t="s">
        <v>483</v>
      </c>
      <c r="C34" s="45" t="s">
        <v>197</v>
      </c>
      <c r="D34" s="61" t="s">
        <v>1058</v>
      </c>
      <c r="E34" s="11" t="s">
        <v>33</v>
      </c>
    </row>
    <row r="35">
      <c r="A35" s="48">
        <v>0.11319444444444444</v>
      </c>
      <c r="B35" s="61" t="s">
        <v>710</v>
      </c>
      <c r="C35" s="45" t="s">
        <v>24</v>
      </c>
      <c r="D35" s="61" t="s">
        <v>483</v>
      </c>
      <c r="E35" s="11" t="s">
        <v>29</v>
      </c>
    </row>
    <row r="36">
      <c r="A36" s="48">
        <v>0.11319444444444444</v>
      </c>
      <c r="B36" s="61" t="s">
        <v>1057</v>
      </c>
      <c r="C36" s="45" t="s">
        <v>508</v>
      </c>
      <c r="D36" s="61" t="s">
        <v>1056</v>
      </c>
      <c r="E36" s="11" t="s">
        <v>33</v>
      </c>
    </row>
    <row r="37">
      <c r="A37" s="48">
        <v>0.12361111111111112</v>
      </c>
      <c r="B37" s="62" t="s">
        <v>710</v>
      </c>
      <c r="C37" s="45" t="s">
        <v>18</v>
      </c>
      <c r="D37" s="62" t="s">
        <v>1056</v>
      </c>
      <c r="E37" s="11" t="s">
        <v>29</v>
      </c>
    </row>
    <row r="38">
      <c r="A38" s="48">
        <v>0.12361111111111112</v>
      </c>
      <c r="B38" s="61" t="s">
        <v>1057</v>
      </c>
      <c r="C38" s="45" t="s">
        <v>576</v>
      </c>
      <c r="D38" s="61" t="s">
        <v>1058</v>
      </c>
      <c r="E38" s="11" t="s">
        <v>33</v>
      </c>
    </row>
    <row r="39">
      <c r="A39" s="48">
        <v>0.13333333333333333</v>
      </c>
      <c r="B39" s="61" t="s">
        <v>1056</v>
      </c>
      <c r="C39" s="45" t="s">
        <v>173</v>
      </c>
      <c r="D39" s="62" t="s">
        <v>1058</v>
      </c>
      <c r="E39" s="11" t="s">
        <v>29</v>
      </c>
    </row>
    <row r="40">
      <c r="A40" s="48">
        <v>0.13333333333333333</v>
      </c>
      <c r="B40" s="61" t="s">
        <v>483</v>
      </c>
      <c r="C40" s="45" t="s">
        <v>7</v>
      </c>
      <c r="D40" s="61" t="s">
        <v>1057</v>
      </c>
      <c r="E40" s="11" t="s">
        <v>33</v>
      </c>
    </row>
    <row r="41">
      <c r="A41" s="48">
        <v>0.14375</v>
      </c>
      <c r="B41" s="61" t="s">
        <v>710</v>
      </c>
      <c r="C41" s="45" t="s">
        <v>477</v>
      </c>
      <c r="D41" s="62" t="s">
        <v>1058</v>
      </c>
      <c r="E41" s="11" t="s">
        <v>29</v>
      </c>
    </row>
    <row r="42">
      <c r="A42" s="48">
        <v>0.14375</v>
      </c>
      <c r="B42" s="62" t="s">
        <v>1056</v>
      </c>
      <c r="C42" s="45" t="s">
        <v>311</v>
      </c>
      <c r="D42" s="61" t="s">
        <v>483</v>
      </c>
      <c r="E42" s="11" t="s">
        <v>33</v>
      </c>
    </row>
    <row r="43">
      <c r="A43" s="48">
        <v>0.15416666666666667</v>
      </c>
      <c r="B43" s="61" t="s">
        <v>710</v>
      </c>
      <c r="C43" s="45" t="s">
        <v>14</v>
      </c>
      <c r="D43" s="61" t="s">
        <v>1057</v>
      </c>
      <c r="E43" s="11" t="s">
        <v>29</v>
      </c>
    </row>
    <row r="44">
      <c r="A44" s="48">
        <v>0.15416666666666667</v>
      </c>
      <c r="B44" s="61" t="s">
        <v>1058</v>
      </c>
      <c r="C44" s="45" t="s">
        <v>203</v>
      </c>
      <c r="D44" s="61" t="s">
        <v>483</v>
      </c>
      <c r="E44" s="11" t="s">
        <v>33</v>
      </c>
    </row>
    <row r="45">
      <c r="A45" s="51"/>
      <c r="B45" s="1" t="s">
        <v>45</v>
      </c>
      <c r="C45" s="2"/>
      <c r="D45" s="3"/>
      <c r="E45" s="18"/>
    </row>
    <row r="46">
      <c r="A46" s="47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48">
        <v>0.16666666666666666</v>
      </c>
      <c r="B47" s="61" t="s">
        <v>608</v>
      </c>
      <c r="C47" s="45" t="s">
        <v>42</v>
      </c>
      <c r="D47" s="61" t="s">
        <v>492</v>
      </c>
      <c r="E47" s="11" t="s">
        <v>9</v>
      </c>
    </row>
    <row r="48">
      <c r="A48" s="48">
        <v>0.16666666666666666</v>
      </c>
      <c r="B48" s="61" t="s">
        <v>912</v>
      </c>
      <c r="C48" s="45" t="s">
        <v>302</v>
      </c>
      <c r="D48" s="61" t="s">
        <v>1060</v>
      </c>
      <c r="E48" s="11" t="s">
        <v>13</v>
      </c>
    </row>
    <row r="49">
      <c r="A49" s="48">
        <v>0.1763888888888889</v>
      </c>
      <c r="B49" s="61" t="s">
        <v>912</v>
      </c>
      <c r="C49" s="45" t="s">
        <v>7</v>
      </c>
      <c r="D49" s="61" t="s">
        <v>492</v>
      </c>
      <c r="E49" s="11" t="s">
        <v>9</v>
      </c>
    </row>
    <row r="50">
      <c r="A50" s="48">
        <v>0.1763888888888889</v>
      </c>
      <c r="B50" s="61" t="s">
        <v>1061</v>
      </c>
      <c r="C50" s="45" t="s">
        <v>16</v>
      </c>
      <c r="D50" s="61" t="s">
        <v>1060</v>
      </c>
      <c r="E50" s="11" t="s">
        <v>13</v>
      </c>
    </row>
    <row r="51">
      <c r="A51" s="48">
        <v>0.18680555555555556</v>
      </c>
      <c r="B51" s="61" t="s">
        <v>1061</v>
      </c>
      <c r="C51" s="45" t="s">
        <v>195</v>
      </c>
      <c r="D51" s="61" t="s">
        <v>912</v>
      </c>
      <c r="E51" s="11" t="s">
        <v>9</v>
      </c>
    </row>
    <row r="52">
      <c r="A52" s="48">
        <v>0.18680555555555556</v>
      </c>
      <c r="B52" s="61" t="s">
        <v>1060</v>
      </c>
      <c r="C52" s="45" t="s">
        <v>162</v>
      </c>
      <c r="D52" s="61" t="s">
        <v>608</v>
      </c>
      <c r="E52" s="11" t="s">
        <v>13</v>
      </c>
    </row>
    <row r="53">
      <c r="A53" s="48">
        <v>0.19722222222222222</v>
      </c>
      <c r="B53" s="61" t="s">
        <v>1061</v>
      </c>
      <c r="C53" s="45" t="s">
        <v>464</v>
      </c>
      <c r="D53" s="61" t="s">
        <v>492</v>
      </c>
      <c r="E53" s="11" t="s">
        <v>9</v>
      </c>
    </row>
    <row r="54">
      <c r="A54" s="48">
        <v>0.19722222222222222</v>
      </c>
      <c r="B54" s="61" t="s">
        <v>608</v>
      </c>
      <c r="C54" s="45" t="s">
        <v>16</v>
      </c>
      <c r="D54" s="61" t="s">
        <v>912</v>
      </c>
      <c r="E54" s="11" t="s">
        <v>13</v>
      </c>
    </row>
    <row r="55">
      <c r="A55" s="48">
        <v>0.20694444444444443</v>
      </c>
      <c r="B55" s="61" t="s">
        <v>1060</v>
      </c>
      <c r="C55" s="45" t="s">
        <v>196</v>
      </c>
      <c r="D55" s="61" t="s">
        <v>492</v>
      </c>
      <c r="E55" s="11" t="s">
        <v>9</v>
      </c>
    </row>
    <row r="56">
      <c r="A56" s="48">
        <v>0.20694444444444443</v>
      </c>
      <c r="B56" s="61" t="s">
        <v>608</v>
      </c>
      <c r="C56" s="45" t="s">
        <v>910</v>
      </c>
      <c r="D56" s="61" t="s">
        <v>1061</v>
      </c>
      <c r="E56" s="11" t="s">
        <v>13</v>
      </c>
    </row>
    <row r="57">
      <c r="A57" s="48">
        <v>0.21736111111111112</v>
      </c>
      <c r="B57" s="61" t="s">
        <v>492</v>
      </c>
      <c r="C57" s="45" t="s">
        <v>158</v>
      </c>
      <c r="D57" s="61" t="s">
        <v>608</v>
      </c>
      <c r="E57" s="11" t="s">
        <v>9</v>
      </c>
    </row>
    <row r="58">
      <c r="A58" s="48">
        <v>0.21736111111111112</v>
      </c>
      <c r="B58" s="61" t="s">
        <v>1060</v>
      </c>
      <c r="C58" s="45" t="s">
        <v>194</v>
      </c>
      <c r="D58" s="61" t="s">
        <v>912</v>
      </c>
      <c r="E58" s="11" t="s">
        <v>13</v>
      </c>
    </row>
    <row r="59">
      <c r="A59" s="48">
        <v>0.22777777777777777</v>
      </c>
      <c r="B59" s="61" t="s">
        <v>492</v>
      </c>
      <c r="C59" s="45" t="s">
        <v>16</v>
      </c>
      <c r="D59" s="61" t="s">
        <v>912</v>
      </c>
      <c r="E59" s="11" t="s">
        <v>9</v>
      </c>
    </row>
    <row r="60">
      <c r="A60" s="48">
        <v>0.22777777777777777</v>
      </c>
      <c r="B60" s="61" t="s">
        <v>1060</v>
      </c>
      <c r="C60" s="45" t="s">
        <v>651</v>
      </c>
      <c r="D60" s="61" t="s">
        <v>1061</v>
      </c>
      <c r="E60" s="11" t="s">
        <v>13</v>
      </c>
    </row>
    <row r="61">
      <c r="A61" s="48">
        <v>0.2375</v>
      </c>
      <c r="B61" s="61" t="s">
        <v>912</v>
      </c>
      <c r="C61" s="45" t="s">
        <v>162</v>
      </c>
      <c r="D61" s="61" t="s">
        <v>1061</v>
      </c>
      <c r="E61" s="11" t="s">
        <v>9</v>
      </c>
    </row>
    <row r="62">
      <c r="A62" s="48">
        <v>0.2375</v>
      </c>
      <c r="B62" s="61" t="s">
        <v>608</v>
      </c>
      <c r="C62" s="45" t="s">
        <v>17</v>
      </c>
      <c r="D62" s="61" t="s">
        <v>1060</v>
      </c>
      <c r="E62" s="11" t="s">
        <v>13</v>
      </c>
    </row>
    <row r="63">
      <c r="A63" s="48">
        <v>0.24791666666666667</v>
      </c>
      <c r="B63" s="61" t="s">
        <v>492</v>
      </c>
      <c r="C63" s="45" t="s">
        <v>38</v>
      </c>
      <c r="D63" s="61" t="s">
        <v>1061</v>
      </c>
      <c r="E63" s="11" t="s">
        <v>9</v>
      </c>
    </row>
    <row r="64">
      <c r="A64" s="48">
        <v>0.24791666666666667</v>
      </c>
      <c r="B64" s="61" t="s">
        <v>912</v>
      </c>
      <c r="C64" s="45" t="s">
        <v>24</v>
      </c>
      <c r="D64" s="61" t="s">
        <v>608</v>
      </c>
      <c r="E64" s="11" t="s">
        <v>13</v>
      </c>
    </row>
    <row r="65">
      <c r="A65" s="48">
        <v>0.25833333333333336</v>
      </c>
      <c r="B65" s="61" t="s">
        <v>492</v>
      </c>
      <c r="C65" s="45" t="s">
        <v>173</v>
      </c>
      <c r="D65" s="61" t="s">
        <v>1060</v>
      </c>
      <c r="E65" s="11" t="s">
        <v>9</v>
      </c>
    </row>
    <row r="66">
      <c r="A66" s="48">
        <v>0.25833333333333336</v>
      </c>
      <c r="B66" s="61" t="s">
        <v>1061</v>
      </c>
      <c r="C66" s="45" t="s">
        <v>958</v>
      </c>
      <c r="D66" s="61" t="s">
        <v>608</v>
      </c>
      <c r="E66" s="11" t="s">
        <v>13</v>
      </c>
    </row>
    <row r="67">
      <c r="A67" s="1" t="s">
        <v>45</v>
      </c>
      <c r="B67" s="2"/>
      <c r="C67" s="2"/>
      <c r="D67" s="2"/>
      <c r="E67" s="3"/>
    </row>
    <row r="68">
      <c r="A68" s="47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48">
        <v>0.16666666666666666</v>
      </c>
      <c r="B69" s="61" t="s">
        <v>472</v>
      </c>
      <c r="C69" s="45" t="s">
        <v>292</v>
      </c>
      <c r="D69" s="61" t="s">
        <v>1062</v>
      </c>
      <c r="E69" s="11" t="s">
        <v>29</v>
      </c>
    </row>
    <row r="70">
      <c r="A70" s="48">
        <v>0.16666666666666666</v>
      </c>
      <c r="B70" s="61" t="s">
        <v>1063</v>
      </c>
      <c r="C70" s="45" t="s">
        <v>584</v>
      </c>
      <c r="D70" s="61" t="s">
        <v>1064</v>
      </c>
      <c r="E70" s="11" t="s">
        <v>33</v>
      </c>
    </row>
    <row r="71">
      <c r="A71" s="48">
        <v>0.1763888888888889</v>
      </c>
      <c r="B71" s="61" t="s">
        <v>1063</v>
      </c>
      <c r="C71" s="45" t="s">
        <v>193</v>
      </c>
      <c r="D71" s="61" t="s">
        <v>1062</v>
      </c>
      <c r="E71" s="11" t="s">
        <v>29</v>
      </c>
    </row>
    <row r="72">
      <c r="A72" s="48">
        <v>0.1763888888888889</v>
      </c>
      <c r="B72" s="61" t="s">
        <v>1065</v>
      </c>
      <c r="C72" s="45" t="s">
        <v>44</v>
      </c>
      <c r="D72" s="61" t="s">
        <v>1064</v>
      </c>
      <c r="E72" s="11" t="s">
        <v>33</v>
      </c>
    </row>
    <row r="73">
      <c r="A73" s="48">
        <v>0.18680555555555556</v>
      </c>
      <c r="B73" s="61" t="s">
        <v>1065</v>
      </c>
      <c r="C73" s="45" t="s">
        <v>219</v>
      </c>
      <c r="D73" s="61" t="s">
        <v>1063</v>
      </c>
      <c r="E73" s="11" t="s">
        <v>29</v>
      </c>
    </row>
    <row r="74">
      <c r="A74" s="48">
        <v>0.18680555555555556</v>
      </c>
      <c r="B74" s="61" t="s">
        <v>1064</v>
      </c>
      <c r="C74" s="45" t="s">
        <v>43</v>
      </c>
      <c r="D74" s="61" t="s">
        <v>472</v>
      </c>
      <c r="E74" s="11" t="s">
        <v>33</v>
      </c>
    </row>
    <row r="75">
      <c r="A75" s="48">
        <v>0.19722222222222222</v>
      </c>
      <c r="B75" s="61" t="s">
        <v>1065</v>
      </c>
      <c r="C75" s="45" t="s">
        <v>196</v>
      </c>
      <c r="D75" s="61" t="s">
        <v>1062</v>
      </c>
      <c r="E75" s="11" t="s">
        <v>29</v>
      </c>
    </row>
    <row r="76">
      <c r="A76" s="48">
        <v>0.19722222222222222</v>
      </c>
      <c r="B76" s="61" t="s">
        <v>472</v>
      </c>
      <c r="C76" s="45" t="s">
        <v>582</v>
      </c>
      <c r="D76" s="61" t="s">
        <v>1063</v>
      </c>
      <c r="E76" s="11" t="s">
        <v>33</v>
      </c>
    </row>
    <row r="77">
      <c r="A77" s="48">
        <v>0.20694444444444443</v>
      </c>
      <c r="B77" s="61" t="s">
        <v>1064</v>
      </c>
      <c r="C77" s="45" t="s">
        <v>219</v>
      </c>
      <c r="D77" s="61" t="s">
        <v>1062</v>
      </c>
      <c r="E77" s="11" t="s">
        <v>29</v>
      </c>
    </row>
    <row r="78">
      <c r="A78" s="48">
        <v>0.20694444444444443</v>
      </c>
      <c r="B78" s="61" t="s">
        <v>472</v>
      </c>
      <c r="C78" s="45" t="s">
        <v>163</v>
      </c>
      <c r="D78" s="61" t="s">
        <v>1065</v>
      </c>
      <c r="E78" s="11" t="s">
        <v>33</v>
      </c>
    </row>
    <row r="79">
      <c r="A79" s="48">
        <v>0.21736111111111112</v>
      </c>
      <c r="B79" s="61" t="s">
        <v>1062</v>
      </c>
      <c r="C79" s="45" t="s">
        <v>196</v>
      </c>
      <c r="D79" s="61" t="s">
        <v>472</v>
      </c>
      <c r="E79" s="11" t="s">
        <v>29</v>
      </c>
    </row>
    <row r="80">
      <c r="A80" s="48">
        <v>0.21736111111111112</v>
      </c>
      <c r="B80" s="61" t="s">
        <v>1064</v>
      </c>
      <c r="C80" s="45" t="s">
        <v>20</v>
      </c>
      <c r="D80" s="61" t="s">
        <v>1063</v>
      </c>
      <c r="E80" s="11" t="s">
        <v>33</v>
      </c>
    </row>
    <row r="81">
      <c r="A81" s="48">
        <v>0.22777777777777777</v>
      </c>
      <c r="B81" s="61" t="s">
        <v>1062</v>
      </c>
      <c r="C81" s="45" t="s">
        <v>248</v>
      </c>
      <c r="D81" s="61" t="s">
        <v>1063</v>
      </c>
      <c r="E81" s="11" t="s">
        <v>29</v>
      </c>
    </row>
    <row r="82">
      <c r="A82" s="48">
        <v>0.22777777777777777</v>
      </c>
      <c r="B82" s="61" t="s">
        <v>1064</v>
      </c>
      <c r="C82" s="45" t="s">
        <v>344</v>
      </c>
      <c r="D82" s="61" t="s">
        <v>1065</v>
      </c>
      <c r="E82" s="11" t="s">
        <v>33</v>
      </c>
    </row>
    <row r="83">
      <c r="A83" s="48">
        <v>0.2375</v>
      </c>
      <c r="B83" s="61" t="s">
        <v>1063</v>
      </c>
      <c r="C83" s="45" t="s">
        <v>524</v>
      </c>
      <c r="D83" s="61" t="s">
        <v>1065</v>
      </c>
      <c r="E83" s="11" t="s">
        <v>29</v>
      </c>
    </row>
    <row r="84">
      <c r="A84" s="48">
        <v>0.2375</v>
      </c>
      <c r="B84" s="61" t="s">
        <v>472</v>
      </c>
      <c r="C84" s="45" t="s">
        <v>219</v>
      </c>
      <c r="D84" s="61" t="s">
        <v>1064</v>
      </c>
      <c r="E84" s="11" t="s">
        <v>33</v>
      </c>
    </row>
    <row r="85">
      <c r="A85" s="48">
        <v>0.24791666666666667</v>
      </c>
      <c r="B85" s="61" t="s">
        <v>1062</v>
      </c>
      <c r="C85" s="45" t="s">
        <v>1066</v>
      </c>
      <c r="D85" s="61" t="s">
        <v>1065</v>
      </c>
      <c r="E85" s="11" t="s">
        <v>29</v>
      </c>
    </row>
    <row r="86">
      <c r="A86" s="48">
        <v>0.24791666666666667</v>
      </c>
      <c r="B86" s="61" t="s">
        <v>1063</v>
      </c>
      <c r="C86" s="45" t="s">
        <v>14</v>
      </c>
      <c r="D86" s="61" t="s">
        <v>472</v>
      </c>
      <c r="E86" s="11" t="s">
        <v>33</v>
      </c>
    </row>
    <row r="87">
      <c r="A87" s="48">
        <v>0.25833333333333336</v>
      </c>
      <c r="B87" s="61" t="s">
        <v>1062</v>
      </c>
      <c r="C87" s="45" t="s">
        <v>219</v>
      </c>
      <c r="D87" s="61" t="s">
        <v>1064</v>
      </c>
      <c r="E87" s="11" t="s">
        <v>29</v>
      </c>
    </row>
    <row r="88">
      <c r="A88" s="48">
        <v>0.25833333333333336</v>
      </c>
      <c r="B88" s="61" t="s">
        <v>1065</v>
      </c>
      <c r="C88" s="45" t="s">
        <v>194</v>
      </c>
      <c r="D88" s="61" t="s">
        <v>472</v>
      </c>
      <c r="E88" s="74" t="s">
        <v>33</v>
      </c>
    </row>
    <row r="89">
      <c r="A89" s="1"/>
      <c r="B89" s="1" t="s">
        <v>56</v>
      </c>
      <c r="C89" s="2"/>
      <c r="D89" s="2"/>
      <c r="E89" s="2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1067</v>
      </c>
      <c r="C91" s="45" t="s">
        <v>17</v>
      </c>
      <c r="D91" s="61" t="s">
        <v>1068</v>
      </c>
      <c r="E91" s="11" t="s">
        <v>9</v>
      </c>
    </row>
    <row r="92">
      <c r="A92" s="48">
        <v>0.3333333333333333</v>
      </c>
      <c r="B92" s="61" t="s">
        <v>1069</v>
      </c>
      <c r="C92" s="45" t="s">
        <v>181</v>
      </c>
      <c r="D92" s="61" t="s">
        <v>1070</v>
      </c>
      <c r="E92" s="11" t="s">
        <v>13</v>
      </c>
    </row>
    <row r="93">
      <c r="A93" s="48">
        <v>0.34305555555555556</v>
      </c>
      <c r="B93" s="61" t="s">
        <v>1069</v>
      </c>
      <c r="C93" s="54" t="s">
        <v>24</v>
      </c>
      <c r="D93" s="61" t="s">
        <v>1068</v>
      </c>
      <c r="E93" s="11" t="s">
        <v>9</v>
      </c>
    </row>
    <row r="94">
      <c r="A94" s="48">
        <v>0.34305555555555556</v>
      </c>
      <c r="B94" s="61" t="s">
        <v>922</v>
      </c>
      <c r="C94" s="45" t="s">
        <v>268</v>
      </c>
      <c r="D94" s="61" t="s">
        <v>1070</v>
      </c>
      <c r="E94" s="11" t="s">
        <v>13</v>
      </c>
    </row>
    <row r="95">
      <c r="A95" s="48">
        <v>0.35347222222222224</v>
      </c>
      <c r="B95" s="61" t="s">
        <v>922</v>
      </c>
      <c r="C95" s="45" t="s">
        <v>301</v>
      </c>
      <c r="D95" s="61" t="s">
        <v>1069</v>
      </c>
      <c r="E95" s="11" t="s">
        <v>9</v>
      </c>
    </row>
    <row r="96">
      <c r="A96" s="48">
        <v>0.35347222222222224</v>
      </c>
      <c r="B96" s="61" t="s">
        <v>1070</v>
      </c>
      <c r="C96" s="45" t="s">
        <v>219</v>
      </c>
      <c r="D96" s="61" t="s">
        <v>1067</v>
      </c>
      <c r="E96" s="11" t="s">
        <v>13</v>
      </c>
    </row>
    <row r="97">
      <c r="A97" s="48">
        <v>0.3638888888888889</v>
      </c>
      <c r="B97" s="61" t="s">
        <v>922</v>
      </c>
      <c r="C97" s="45" t="s">
        <v>280</v>
      </c>
      <c r="D97" s="61" t="s">
        <v>1068</v>
      </c>
      <c r="E97" s="11" t="s">
        <v>9</v>
      </c>
    </row>
    <row r="98">
      <c r="A98" s="48">
        <v>0.3638888888888889</v>
      </c>
      <c r="B98" s="61" t="s">
        <v>1067</v>
      </c>
      <c r="C98" s="45" t="s">
        <v>177</v>
      </c>
      <c r="D98" s="61" t="s">
        <v>1069</v>
      </c>
      <c r="E98" s="11" t="s">
        <v>13</v>
      </c>
    </row>
    <row r="99">
      <c r="A99" s="48">
        <v>0.3736111111111111</v>
      </c>
      <c r="B99" s="61" t="s">
        <v>1070</v>
      </c>
      <c r="C99" s="45" t="s">
        <v>327</v>
      </c>
      <c r="D99" s="61" t="s">
        <v>1068</v>
      </c>
      <c r="E99" s="11" t="s">
        <v>9</v>
      </c>
    </row>
    <row r="100">
      <c r="A100" s="48">
        <v>0.3736111111111111</v>
      </c>
      <c r="B100" s="61" t="s">
        <v>1067</v>
      </c>
      <c r="C100" s="45" t="s">
        <v>184</v>
      </c>
      <c r="D100" s="61" t="s">
        <v>922</v>
      </c>
      <c r="E100" s="11" t="s">
        <v>13</v>
      </c>
    </row>
    <row r="101">
      <c r="A101" s="48">
        <v>0.3840277777777778</v>
      </c>
      <c r="B101" s="61" t="s">
        <v>1068</v>
      </c>
      <c r="C101" s="45" t="s">
        <v>212</v>
      </c>
      <c r="D101" s="61" t="s">
        <v>1067</v>
      </c>
      <c r="E101" s="11" t="s">
        <v>9</v>
      </c>
    </row>
    <row r="102">
      <c r="A102" s="48">
        <v>0.3840277777777778</v>
      </c>
      <c r="B102" s="61" t="s">
        <v>1070</v>
      </c>
      <c r="C102" s="45" t="s">
        <v>38</v>
      </c>
      <c r="D102" s="61" t="s">
        <v>1069</v>
      </c>
      <c r="E102" s="11" t="s">
        <v>13</v>
      </c>
    </row>
    <row r="103">
      <c r="A103" s="48">
        <v>0.39444444444444443</v>
      </c>
      <c r="B103" s="61" t="s">
        <v>1068</v>
      </c>
      <c r="C103" s="45" t="s">
        <v>281</v>
      </c>
      <c r="D103" s="61" t="s">
        <v>1069</v>
      </c>
      <c r="E103" s="11" t="s">
        <v>9</v>
      </c>
    </row>
    <row r="104">
      <c r="A104" s="48">
        <v>0.39444444444444443</v>
      </c>
      <c r="B104" s="61" t="s">
        <v>1070</v>
      </c>
      <c r="C104" s="45" t="s">
        <v>517</v>
      </c>
      <c r="D104" s="61" t="s">
        <v>922</v>
      </c>
      <c r="E104" s="11" t="s">
        <v>13</v>
      </c>
    </row>
    <row r="105">
      <c r="A105" s="48">
        <v>0.4041666666666667</v>
      </c>
      <c r="B105" s="61" t="s">
        <v>1069</v>
      </c>
      <c r="C105" s="45" t="s">
        <v>165</v>
      </c>
      <c r="D105" s="61" t="s">
        <v>922</v>
      </c>
      <c r="E105" s="11" t="s">
        <v>9</v>
      </c>
    </row>
    <row r="106">
      <c r="A106" s="48">
        <v>0.4041666666666667</v>
      </c>
      <c r="B106" s="61" t="s">
        <v>1067</v>
      </c>
      <c r="C106" s="45" t="s">
        <v>219</v>
      </c>
      <c r="D106" s="61" t="s">
        <v>1070</v>
      </c>
      <c r="E106" s="11" t="s">
        <v>13</v>
      </c>
    </row>
    <row r="107">
      <c r="A107" s="48">
        <v>0.41458333333333336</v>
      </c>
      <c r="B107" s="61" t="s">
        <v>1068</v>
      </c>
      <c r="C107" s="45" t="s">
        <v>208</v>
      </c>
      <c r="D107" s="61" t="s">
        <v>922</v>
      </c>
      <c r="E107" s="11" t="s">
        <v>9</v>
      </c>
      <c r="G107" s="75"/>
    </row>
    <row r="108">
      <c r="A108" s="48">
        <v>0.41458333333333336</v>
      </c>
      <c r="B108" s="61" t="s">
        <v>1069</v>
      </c>
      <c r="C108" s="45" t="s">
        <v>248</v>
      </c>
      <c r="D108" s="61" t="s">
        <v>1067</v>
      </c>
      <c r="E108" s="11" t="s">
        <v>13</v>
      </c>
    </row>
    <row r="109">
      <c r="A109" s="48">
        <v>0.425</v>
      </c>
      <c r="B109" s="61" t="s">
        <v>1068</v>
      </c>
      <c r="C109" s="45" t="s">
        <v>173</v>
      </c>
      <c r="D109" s="61" t="s">
        <v>1070</v>
      </c>
      <c r="E109" s="11" t="s">
        <v>9</v>
      </c>
    </row>
    <row r="110">
      <c r="A110" s="48">
        <v>0.425</v>
      </c>
      <c r="B110" s="61" t="s">
        <v>922</v>
      </c>
      <c r="C110" s="45" t="s">
        <v>36</v>
      </c>
      <c r="D110" s="61" t="s">
        <v>1067</v>
      </c>
      <c r="E110" s="11" t="s">
        <v>13</v>
      </c>
    </row>
    <row r="111">
      <c r="A111" s="1"/>
      <c r="B111" s="1" t="s">
        <v>56</v>
      </c>
      <c r="C111" s="2"/>
      <c r="D111" s="2"/>
      <c r="E111" s="2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61" t="s">
        <v>1071</v>
      </c>
      <c r="C113" s="45" t="s">
        <v>17</v>
      </c>
      <c r="D113" s="61" t="s">
        <v>1072</v>
      </c>
      <c r="E113" s="11" t="s">
        <v>29</v>
      </c>
    </row>
    <row r="114">
      <c r="A114" s="30">
        <v>0.3333333333333333</v>
      </c>
      <c r="B114" s="61" t="s">
        <v>1073</v>
      </c>
      <c r="C114" s="45" t="s">
        <v>193</v>
      </c>
      <c r="D114" s="61" t="s">
        <v>1074</v>
      </c>
      <c r="E114" s="11" t="s">
        <v>33</v>
      </c>
    </row>
    <row r="115">
      <c r="A115" s="30">
        <v>0.34305555555555556</v>
      </c>
      <c r="B115" s="61" t="s">
        <v>1073</v>
      </c>
      <c r="C115" s="45" t="s">
        <v>219</v>
      </c>
      <c r="D115" s="61" t="s">
        <v>1072</v>
      </c>
      <c r="E115" s="11" t="s">
        <v>29</v>
      </c>
    </row>
    <row r="116">
      <c r="A116" s="30">
        <v>0.34305555555555556</v>
      </c>
      <c r="B116" s="61" t="s">
        <v>1075</v>
      </c>
      <c r="C116" s="45" t="s">
        <v>231</v>
      </c>
      <c r="D116" s="61" t="s">
        <v>1074</v>
      </c>
      <c r="E116" s="11" t="s">
        <v>33</v>
      </c>
    </row>
    <row r="117">
      <c r="A117" s="30">
        <v>0.35347222222222224</v>
      </c>
      <c r="B117" s="61" t="s">
        <v>1075</v>
      </c>
      <c r="C117" s="45" t="s">
        <v>196</v>
      </c>
      <c r="D117" s="61" t="s">
        <v>1073</v>
      </c>
      <c r="E117" s="11" t="s">
        <v>29</v>
      </c>
    </row>
    <row r="118">
      <c r="A118" s="30">
        <v>0.35347222222222224</v>
      </c>
      <c r="B118" s="61" t="s">
        <v>1074</v>
      </c>
      <c r="C118" s="45" t="s">
        <v>17</v>
      </c>
      <c r="D118" s="61" t="s">
        <v>1071</v>
      </c>
      <c r="E118" s="11" t="s">
        <v>33</v>
      </c>
    </row>
    <row r="119">
      <c r="A119" s="30">
        <v>0.3638888888888889</v>
      </c>
      <c r="B119" s="61" t="s">
        <v>1075</v>
      </c>
      <c r="C119" s="45" t="s">
        <v>193</v>
      </c>
      <c r="D119" s="61" t="s">
        <v>1072</v>
      </c>
      <c r="E119" s="11" t="s">
        <v>29</v>
      </c>
    </row>
    <row r="120">
      <c r="A120" s="30">
        <v>0.3638888888888889</v>
      </c>
      <c r="B120" s="61" t="s">
        <v>1071</v>
      </c>
      <c r="C120" s="45" t="s">
        <v>24</v>
      </c>
      <c r="D120" s="61" t="s">
        <v>1073</v>
      </c>
      <c r="E120" s="11" t="s">
        <v>33</v>
      </c>
    </row>
    <row r="121">
      <c r="A121" s="30">
        <v>0.3736111111111111</v>
      </c>
      <c r="B121" s="61" t="s">
        <v>1074</v>
      </c>
      <c r="C121" s="45" t="s">
        <v>688</v>
      </c>
      <c r="D121" s="61" t="s">
        <v>1072</v>
      </c>
      <c r="E121" s="11" t="s">
        <v>29</v>
      </c>
    </row>
    <row r="122">
      <c r="A122" s="30">
        <v>0.3736111111111111</v>
      </c>
      <c r="B122" s="61" t="s">
        <v>1071</v>
      </c>
      <c r="C122" s="45" t="s">
        <v>344</v>
      </c>
      <c r="D122" s="61" t="s">
        <v>1075</v>
      </c>
      <c r="E122" s="11" t="s">
        <v>33</v>
      </c>
    </row>
    <row r="123">
      <c r="A123" s="30">
        <v>0.3840277777777778</v>
      </c>
      <c r="B123" s="61" t="s">
        <v>1072</v>
      </c>
      <c r="C123" s="45" t="s">
        <v>158</v>
      </c>
      <c r="D123" s="61" t="s">
        <v>1071</v>
      </c>
      <c r="E123" s="11" t="s">
        <v>29</v>
      </c>
    </row>
    <row r="124">
      <c r="A124" s="30">
        <v>0.3840277777777778</v>
      </c>
      <c r="B124" s="61" t="s">
        <v>1074</v>
      </c>
      <c r="C124" s="45" t="s">
        <v>162</v>
      </c>
      <c r="D124" s="61" t="s">
        <v>1073</v>
      </c>
      <c r="E124" s="11" t="s">
        <v>33</v>
      </c>
    </row>
    <row r="125">
      <c r="A125" s="30">
        <v>0.39444444444444443</v>
      </c>
      <c r="B125" s="61" t="s">
        <v>1072</v>
      </c>
      <c r="C125" s="45" t="s">
        <v>20</v>
      </c>
      <c r="D125" s="61" t="s">
        <v>1073</v>
      </c>
      <c r="E125" s="11" t="s">
        <v>29</v>
      </c>
    </row>
    <row r="126">
      <c r="A126" s="30">
        <v>0.39444444444444443</v>
      </c>
      <c r="B126" s="61" t="s">
        <v>1074</v>
      </c>
      <c r="C126" s="45" t="s">
        <v>23</v>
      </c>
      <c r="D126" s="61" t="s">
        <v>1075</v>
      </c>
      <c r="E126" s="11" t="s">
        <v>33</v>
      </c>
    </row>
    <row r="127">
      <c r="A127" s="30">
        <v>0.4041666666666667</v>
      </c>
      <c r="B127" s="61" t="s">
        <v>1073</v>
      </c>
      <c r="C127" s="45" t="s">
        <v>291</v>
      </c>
      <c r="D127" s="61" t="s">
        <v>1075</v>
      </c>
      <c r="E127" s="11" t="s">
        <v>29</v>
      </c>
    </row>
    <row r="128">
      <c r="A128" s="30">
        <v>0.4041666666666667</v>
      </c>
      <c r="B128" s="61" t="s">
        <v>1071</v>
      </c>
      <c r="C128" s="45" t="s">
        <v>233</v>
      </c>
      <c r="D128" s="61" t="s">
        <v>1074</v>
      </c>
      <c r="E128" s="11" t="s">
        <v>33</v>
      </c>
    </row>
    <row r="129">
      <c r="A129" s="30">
        <v>0.41458333333333336</v>
      </c>
      <c r="B129" s="61" t="s">
        <v>1072</v>
      </c>
      <c r="C129" s="45" t="s">
        <v>193</v>
      </c>
      <c r="D129" s="61" t="s">
        <v>1075</v>
      </c>
      <c r="E129" s="11" t="s">
        <v>29</v>
      </c>
    </row>
    <row r="130">
      <c r="A130" s="30">
        <v>0.41458333333333336</v>
      </c>
      <c r="B130" s="61" t="s">
        <v>1073</v>
      </c>
      <c r="C130" s="45" t="s">
        <v>218</v>
      </c>
      <c r="D130" s="61" t="s">
        <v>1071</v>
      </c>
      <c r="E130" s="11" t="s">
        <v>33</v>
      </c>
    </row>
    <row r="131">
      <c r="A131" s="30">
        <v>0.425</v>
      </c>
      <c r="B131" s="61" t="s">
        <v>1072</v>
      </c>
      <c r="C131" s="45" t="s">
        <v>158</v>
      </c>
      <c r="D131" s="61" t="s">
        <v>1074</v>
      </c>
      <c r="E131" s="11" t="s">
        <v>29</v>
      </c>
    </row>
    <row r="132">
      <c r="A132" s="30">
        <v>0.425</v>
      </c>
      <c r="B132" s="61" t="s">
        <v>1075</v>
      </c>
      <c r="C132" s="45" t="s">
        <v>632</v>
      </c>
      <c r="D132" s="61" t="s">
        <v>1071</v>
      </c>
      <c r="E132" s="11" t="s">
        <v>33</v>
      </c>
    </row>
    <row r="133">
      <c r="A133" s="1"/>
      <c r="B133" s="1" t="s">
        <v>67</v>
      </c>
      <c r="C133" s="2"/>
      <c r="D133" s="2"/>
      <c r="E133" s="2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740</v>
      </c>
      <c r="C135" s="57" t="s">
        <v>162</v>
      </c>
      <c r="D135" s="61" t="s">
        <v>1076</v>
      </c>
      <c r="E135" s="11" t="s">
        <v>9</v>
      </c>
    </row>
    <row r="136">
      <c r="A136" s="48">
        <v>0.4375</v>
      </c>
      <c r="B136" s="61" t="s">
        <v>1077</v>
      </c>
      <c r="C136" s="57" t="s">
        <v>43</v>
      </c>
      <c r="D136" s="61" t="s">
        <v>1012</v>
      </c>
      <c r="E136" s="11" t="s">
        <v>13</v>
      </c>
    </row>
    <row r="137">
      <c r="A137" s="48">
        <v>0.44722222222222224</v>
      </c>
      <c r="B137" s="61" t="s">
        <v>1077</v>
      </c>
      <c r="C137" s="57" t="s">
        <v>210</v>
      </c>
      <c r="D137" s="61" t="s">
        <v>1076</v>
      </c>
      <c r="E137" s="11" t="s">
        <v>9</v>
      </c>
    </row>
    <row r="138">
      <c r="A138" s="48">
        <v>0.44722222222222224</v>
      </c>
      <c r="B138" s="61" t="s">
        <v>1078</v>
      </c>
      <c r="C138" s="57" t="s">
        <v>23</v>
      </c>
      <c r="D138" s="61" t="s">
        <v>1012</v>
      </c>
      <c r="E138" s="11" t="s">
        <v>13</v>
      </c>
    </row>
    <row r="139">
      <c r="A139" s="48">
        <v>0.4576388888888889</v>
      </c>
      <c r="B139" s="61" t="s">
        <v>1078</v>
      </c>
      <c r="C139" s="57" t="s">
        <v>464</v>
      </c>
      <c r="D139" s="61" t="s">
        <v>1077</v>
      </c>
      <c r="E139" s="11" t="s">
        <v>9</v>
      </c>
    </row>
    <row r="140">
      <c r="A140" s="48">
        <v>0.4576388888888889</v>
      </c>
      <c r="B140" s="61" t="s">
        <v>1012</v>
      </c>
      <c r="C140" s="57" t="s">
        <v>161</v>
      </c>
      <c r="D140" s="61" t="s">
        <v>740</v>
      </c>
      <c r="E140" s="11" t="s">
        <v>13</v>
      </c>
    </row>
    <row r="141">
      <c r="A141" s="48">
        <v>0.46805555555555556</v>
      </c>
      <c r="B141" s="61" t="s">
        <v>1078</v>
      </c>
      <c r="C141" s="57" t="s">
        <v>20</v>
      </c>
      <c r="D141" s="61" t="s">
        <v>1076</v>
      </c>
      <c r="E141" s="11" t="s">
        <v>9</v>
      </c>
    </row>
    <row r="142">
      <c r="A142" s="48">
        <v>0.46805555555555556</v>
      </c>
      <c r="B142" s="61" t="s">
        <v>740</v>
      </c>
      <c r="C142" s="57" t="s">
        <v>218</v>
      </c>
      <c r="D142" s="61" t="s">
        <v>1077</v>
      </c>
      <c r="E142" s="11" t="s">
        <v>13</v>
      </c>
    </row>
    <row r="143">
      <c r="A143" s="48">
        <v>0.4777777777777778</v>
      </c>
      <c r="B143" s="61" t="s">
        <v>1012</v>
      </c>
      <c r="C143" s="57" t="s">
        <v>289</v>
      </c>
      <c r="D143" s="61" t="s">
        <v>1076</v>
      </c>
      <c r="E143" s="11" t="s">
        <v>9</v>
      </c>
    </row>
    <row r="144">
      <c r="A144" s="48">
        <v>0.4777777777777778</v>
      </c>
      <c r="B144" s="61" t="s">
        <v>740</v>
      </c>
      <c r="C144" s="57" t="s">
        <v>19</v>
      </c>
      <c r="D144" s="61" t="s">
        <v>1078</v>
      </c>
      <c r="E144" s="11" t="s">
        <v>13</v>
      </c>
    </row>
    <row r="145">
      <c r="A145" s="48">
        <v>0.48819444444444443</v>
      </c>
      <c r="B145" s="61" t="s">
        <v>1076</v>
      </c>
      <c r="C145" s="57" t="s">
        <v>218</v>
      </c>
      <c r="D145" s="61" t="s">
        <v>740</v>
      </c>
      <c r="E145" s="11" t="s">
        <v>9</v>
      </c>
    </row>
    <row r="146">
      <c r="A146" s="48">
        <v>0.48819444444444443</v>
      </c>
      <c r="B146" s="61" t="s">
        <v>1012</v>
      </c>
      <c r="C146" s="57" t="s">
        <v>7</v>
      </c>
      <c r="D146" s="61" t="s">
        <v>1077</v>
      </c>
      <c r="E146" s="11" t="s">
        <v>13</v>
      </c>
    </row>
    <row r="147">
      <c r="A147" s="48">
        <v>0.4986111111111111</v>
      </c>
      <c r="B147" s="61" t="s">
        <v>1076</v>
      </c>
      <c r="C147" s="45" t="s">
        <v>1079</v>
      </c>
      <c r="D147" s="61" t="s">
        <v>1077</v>
      </c>
      <c r="E147" s="11" t="s">
        <v>9</v>
      </c>
    </row>
    <row r="148">
      <c r="A148" s="48">
        <v>0.4986111111111111</v>
      </c>
      <c r="B148" s="61" t="s">
        <v>1012</v>
      </c>
      <c r="C148" s="45" t="s">
        <v>23</v>
      </c>
      <c r="D148" s="61" t="s">
        <v>1078</v>
      </c>
      <c r="E148" s="11" t="s">
        <v>13</v>
      </c>
    </row>
    <row r="149">
      <c r="A149" s="48">
        <v>0.5083333333333333</v>
      </c>
      <c r="B149" s="61" t="s">
        <v>1077</v>
      </c>
      <c r="C149" s="45" t="s">
        <v>182</v>
      </c>
      <c r="D149" s="61" t="s">
        <v>1078</v>
      </c>
      <c r="E149" s="11" t="s">
        <v>9</v>
      </c>
    </row>
    <row r="150">
      <c r="A150" s="48">
        <v>0.5083333333333333</v>
      </c>
      <c r="B150" s="61" t="s">
        <v>740</v>
      </c>
      <c r="C150" s="45" t="s">
        <v>181</v>
      </c>
      <c r="D150" s="61" t="s">
        <v>1012</v>
      </c>
      <c r="E150" s="11" t="s">
        <v>13</v>
      </c>
    </row>
    <row r="151">
      <c r="A151" s="48">
        <v>0.51875</v>
      </c>
      <c r="B151" s="61" t="s">
        <v>1076</v>
      </c>
      <c r="C151" s="45" t="s">
        <v>18</v>
      </c>
      <c r="D151" s="61" t="s">
        <v>1078</v>
      </c>
      <c r="E151" s="11" t="s">
        <v>9</v>
      </c>
    </row>
    <row r="152">
      <c r="A152" s="48">
        <v>0.51875</v>
      </c>
      <c r="B152" s="61" t="s">
        <v>1077</v>
      </c>
      <c r="C152" s="45" t="s">
        <v>211</v>
      </c>
      <c r="D152" s="61" t="s">
        <v>740</v>
      </c>
      <c r="E152" s="11" t="s">
        <v>13</v>
      </c>
    </row>
    <row r="153">
      <c r="A153" s="48">
        <v>0.5291666666666667</v>
      </c>
      <c r="B153" s="61" t="s">
        <v>1076</v>
      </c>
      <c r="C153" s="45" t="s">
        <v>245</v>
      </c>
      <c r="D153" s="61" t="s">
        <v>1012</v>
      </c>
      <c r="E153" s="11" t="s">
        <v>9</v>
      </c>
    </row>
    <row r="154">
      <c r="A154" s="48">
        <v>0.5291666666666667</v>
      </c>
      <c r="B154" s="61" t="s">
        <v>1078</v>
      </c>
      <c r="C154" s="45" t="s">
        <v>248</v>
      </c>
      <c r="D154" s="61" t="s">
        <v>740</v>
      </c>
      <c r="E154" s="11" t="s">
        <v>13</v>
      </c>
    </row>
    <row r="155">
      <c r="A155" s="1"/>
      <c r="B155" s="1" t="s">
        <v>67</v>
      </c>
      <c r="C155" s="2"/>
      <c r="D155" s="2"/>
      <c r="E155" s="2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1080</v>
      </c>
      <c r="C157" s="45" t="s">
        <v>193</v>
      </c>
      <c r="D157" s="61" t="s">
        <v>1081</v>
      </c>
      <c r="E157" s="11" t="s">
        <v>29</v>
      </c>
    </row>
    <row r="158">
      <c r="A158" s="48">
        <v>0.4375</v>
      </c>
      <c r="B158" s="61" t="s">
        <v>1082</v>
      </c>
      <c r="C158" s="45" t="s">
        <v>17</v>
      </c>
      <c r="D158" s="61" t="s">
        <v>1083</v>
      </c>
      <c r="E158" s="11" t="s">
        <v>33</v>
      </c>
    </row>
    <row r="159">
      <c r="A159" s="48">
        <v>0.44722222222222224</v>
      </c>
      <c r="B159" s="61" t="s">
        <v>1082</v>
      </c>
      <c r="C159" s="45" t="s">
        <v>196</v>
      </c>
      <c r="D159" s="61" t="s">
        <v>1081</v>
      </c>
      <c r="E159" s="11" t="s">
        <v>29</v>
      </c>
    </row>
    <row r="160">
      <c r="A160" s="48">
        <v>0.44722222222222224</v>
      </c>
      <c r="B160" s="61" t="s">
        <v>1084</v>
      </c>
      <c r="C160" s="45" t="s">
        <v>314</v>
      </c>
      <c r="D160" s="61" t="s">
        <v>1083</v>
      </c>
      <c r="E160" s="11" t="s">
        <v>33</v>
      </c>
    </row>
    <row r="161">
      <c r="A161" s="48">
        <v>0.4576388888888889</v>
      </c>
      <c r="B161" s="61" t="s">
        <v>1084</v>
      </c>
      <c r="C161" s="45" t="s">
        <v>16</v>
      </c>
      <c r="D161" s="61" t="s">
        <v>1082</v>
      </c>
      <c r="E161" s="11" t="s">
        <v>29</v>
      </c>
    </row>
    <row r="162">
      <c r="A162" s="48">
        <v>0.4576388888888889</v>
      </c>
      <c r="B162" s="61" t="s">
        <v>1083</v>
      </c>
      <c r="C162" s="45" t="s">
        <v>958</v>
      </c>
      <c r="D162" s="61" t="s">
        <v>1080</v>
      </c>
      <c r="E162" s="11" t="s">
        <v>33</v>
      </c>
    </row>
    <row r="163">
      <c r="A163" s="48">
        <v>0.46805555555555556</v>
      </c>
      <c r="B163" s="61" t="s">
        <v>1084</v>
      </c>
      <c r="C163" s="45" t="s">
        <v>42</v>
      </c>
      <c r="D163" s="61" t="s">
        <v>1081</v>
      </c>
      <c r="E163" s="11" t="s">
        <v>29</v>
      </c>
    </row>
    <row r="164">
      <c r="A164" s="48">
        <v>0.46805555555555556</v>
      </c>
      <c r="B164" s="61" t="s">
        <v>1080</v>
      </c>
      <c r="C164" s="45" t="s">
        <v>264</v>
      </c>
      <c r="D164" s="61" t="s">
        <v>1082</v>
      </c>
      <c r="E164" s="11" t="s">
        <v>33</v>
      </c>
    </row>
    <row r="165">
      <c r="A165" s="48">
        <v>0.4777777777777778</v>
      </c>
      <c r="B165" s="61" t="s">
        <v>1083</v>
      </c>
      <c r="C165" s="45" t="s">
        <v>366</v>
      </c>
      <c r="D165" s="61" t="s">
        <v>1081</v>
      </c>
      <c r="E165" s="11" t="s">
        <v>29</v>
      </c>
    </row>
    <row r="166">
      <c r="A166" s="48">
        <v>0.4777777777777778</v>
      </c>
      <c r="B166" s="61" t="s">
        <v>1080</v>
      </c>
      <c r="C166" s="45" t="s">
        <v>289</v>
      </c>
      <c r="D166" s="61" t="s">
        <v>1084</v>
      </c>
      <c r="E166" s="11" t="s">
        <v>33</v>
      </c>
    </row>
    <row r="167">
      <c r="A167" s="48">
        <v>0.48819444444444443</v>
      </c>
      <c r="B167" s="61" t="s">
        <v>1081</v>
      </c>
      <c r="C167" s="45" t="s">
        <v>289</v>
      </c>
      <c r="D167" s="61" t="s">
        <v>1080</v>
      </c>
      <c r="E167" s="11" t="s">
        <v>29</v>
      </c>
    </row>
    <row r="168">
      <c r="A168" s="48">
        <v>0.48819444444444443</v>
      </c>
      <c r="B168" s="61" t="s">
        <v>1083</v>
      </c>
      <c r="C168" s="45" t="s">
        <v>1085</v>
      </c>
      <c r="D168" s="61" t="s">
        <v>1082</v>
      </c>
      <c r="E168" s="11" t="s">
        <v>33</v>
      </c>
    </row>
    <row r="169">
      <c r="A169" s="48">
        <v>0.4986111111111111</v>
      </c>
      <c r="B169" s="61" t="s">
        <v>1081</v>
      </c>
      <c r="C169" s="45" t="s">
        <v>324</v>
      </c>
      <c r="D169" s="61" t="s">
        <v>1082</v>
      </c>
      <c r="E169" s="11" t="s">
        <v>29</v>
      </c>
    </row>
    <row r="170">
      <c r="A170" s="48">
        <v>0.4986111111111111</v>
      </c>
      <c r="B170" s="61" t="s">
        <v>1083</v>
      </c>
      <c r="C170" s="45" t="s">
        <v>220</v>
      </c>
      <c r="D170" s="61" t="s">
        <v>1084</v>
      </c>
      <c r="E170" s="11" t="s">
        <v>33</v>
      </c>
    </row>
    <row r="171">
      <c r="A171" s="48">
        <v>0.5083333333333333</v>
      </c>
      <c r="B171" s="61" t="s">
        <v>1082</v>
      </c>
      <c r="C171" s="45" t="s">
        <v>209</v>
      </c>
      <c r="D171" s="61" t="s">
        <v>1084</v>
      </c>
      <c r="E171" s="11" t="s">
        <v>29</v>
      </c>
    </row>
    <row r="172">
      <c r="A172" s="48">
        <v>0.5083333333333333</v>
      </c>
      <c r="B172" s="61" t="s">
        <v>1080</v>
      </c>
      <c r="C172" s="45" t="s">
        <v>39</v>
      </c>
      <c r="D172" s="61" t="s">
        <v>1083</v>
      </c>
      <c r="E172" s="11" t="s">
        <v>33</v>
      </c>
    </row>
    <row r="173">
      <c r="A173" s="48">
        <v>0.51875</v>
      </c>
      <c r="B173" s="61" t="s">
        <v>1081</v>
      </c>
      <c r="C173" s="45" t="s">
        <v>210</v>
      </c>
      <c r="D173" s="61" t="s">
        <v>1084</v>
      </c>
      <c r="E173" s="11" t="s">
        <v>29</v>
      </c>
      <c r="K173" s="50"/>
    </row>
    <row r="174">
      <c r="A174" s="48">
        <v>0.51875</v>
      </c>
      <c r="B174" s="61" t="s">
        <v>1082</v>
      </c>
      <c r="C174" s="45" t="s">
        <v>164</v>
      </c>
      <c r="D174" s="61" t="s">
        <v>1080</v>
      </c>
      <c r="E174" s="11" t="s">
        <v>33</v>
      </c>
    </row>
    <row r="175">
      <c r="A175" s="48">
        <v>0.5291666666666667</v>
      </c>
      <c r="B175" s="61" t="s">
        <v>1081</v>
      </c>
      <c r="C175" s="45" t="s">
        <v>271</v>
      </c>
      <c r="D175" s="61" t="s">
        <v>1083</v>
      </c>
      <c r="E175" s="11" t="s">
        <v>29</v>
      </c>
    </row>
    <row r="176">
      <c r="A176" s="48">
        <v>0.5291666666666667</v>
      </c>
      <c r="B176" s="61" t="s">
        <v>1084</v>
      </c>
      <c r="C176" s="45" t="s">
        <v>408</v>
      </c>
      <c r="D176" s="61" t="s">
        <v>1080</v>
      </c>
      <c r="E176" s="11" t="s">
        <v>33</v>
      </c>
    </row>
    <row r="177">
      <c r="A177" s="1"/>
      <c r="B177" s="1" t="s">
        <v>78</v>
      </c>
      <c r="C177" s="2"/>
      <c r="D177" s="2"/>
      <c r="E177" s="2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795</v>
      </c>
      <c r="C179" s="45" t="s">
        <v>176</v>
      </c>
      <c r="D179" s="61" t="s">
        <v>1086</v>
      </c>
      <c r="E179" s="11" t="s">
        <v>9</v>
      </c>
    </row>
    <row r="180">
      <c r="A180" s="48">
        <v>0.5416666666666666</v>
      </c>
      <c r="B180" s="61" t="s">
        <v>1087</v>
      </c>
      <c r="C180" s="45" t="s">
        <v>1015</v>
      </c>
      <c r="D180" s="61" t="s">
        <v>1070</v>
      </c>
      <c r="E180" s="11" t="s">
        <v>13</v>
      </c>
    </row>
    <row r="181">
      <c r="A181" s="48">
        <v>0.5513888888888889</v>
      </c>
      <c r="B181" s="61" t="s">
        <v>1087</v>
      </c>
      <c r="C181" s="45" t="s">
        <v>27</v>
      </c>
      <c r="D181" s="61" t="s">
        <v>1086</v>
      </c>
      <c r="E181" s="11" t="s">
        <v>9</v>
      </c>
    </row>
    <row r="182">
      <c r="A182" s="48">
        <v>0.5513888888888889</v>
      </c>
      <c r="B182" s="61" t="s">
        <v>860</v>
      </c>
      <c r="C182" s="45" t="s">
        <v>43</v>
      </c>
      <c r="D182" s="61" t="s">
        <v>1070</v>
      </c>
      <c r="E182" s="11" t="s">
        <v>13</v>
      </c>
    </row>
    <row r="183">
      <c r="A183" s="48">
        <v>0.5618055555555556</v>
      </c>
      <c r="B183" s="61" t="s">
        <v>860</v>
      </c>
      <c r="C183" s="45" t="s">
        <v>220</v>
      </c>
      <c r="D183" s="61" t="s">
        <v>1087</v>
      </c>
      <c r="E183" s="11" t="s">
        <v>9</v>
      </c>
    </row>
    <row r="184">
      <c r="A184" s="48">
        <v>0.5618055555555556</v>
      </c>
      <c r="B184" s="61" t="s">
        <v>1070</v>
      </c>
      <c r="C184" s="45" t="s">
        <v>158</v>
      </c>
      <c r="D184" s="61" t="s">
        <v>795</v>
      </c>
      <c r="E184" s="11" t="s">
        <v>13</v>
      </c>
    </row>
    <row r="185">
      <c r="A185" s="48">
        <v>0.5722222222222222</v>
      </c>
      <c r="B185" s="61" t="s">
        <v>860</v>
      </c>
      <c r="C185" s="45" t="s">
        <v>248</v>
      </c>
      <c r="D185" s="61" t="s">
        <v>1086</v>
      </c>
      <c r="E185" s="11" t="s">
        <v>9</v>
      </c>
    </row>
    <row r="186">
      <c r="A186" s="48">
        <v>0.5722222222222222</v>
      </c>
      <c r="B186" s="61" t="s">
        <v>795</v>
      </c>
      <c r="C186" s="45" t="s">
        <v>173</v>
      </c>
      <c r="D186" s="61" t="s">
        <v>1087</v>
      </c>
      <c r="E186" s="11" t="s">
        <v>13</v>
      </c>
    </row>
    <row r="187">
      <c r="A187" s="48">
        <v>0.5819444444444445</v>
      </c>
      <c r="B187" s="61" t="s">
        <v>1070</v>
      </c>
      <c r="C187" s="45" t="s">
        <v>16</v>
      </c>
      <c r="D187" s="61" t="s">
        <v>1086</v>
      </c>
      <c r="E187" s="11" t="s">
        <v>9</v>
      </c>
    </row>
    <row r="188">
      <c r="A188" s="48">
        <v>0.5819444444444445</v>
      </c>
      <c r="B188" s="61" t="s">
        <v>795</v>
      </c>
      <c r="C188" s="45" t="s">
        <v>324</v>
      </c>
      <c r="D188" s="61" t="s">
        <v>860</v>
      </c>
      <c r="E188" s="11" t="s">
        <v>13</v>
      </c>
    </row>
    <row r="189">
      <c r="A189" s="48">
        <v>0.5923611111111111</v>
      </c>
      <c r="B189" s="61" t="s">
        <v>1086</v>
      </c>
      <c r="C189" s="45" t="s">
        <v>193</v>
      </c>
      <c r="D189" s="61" t="s">
        <v>795</v>
      </c>
      <c r="E189" s="11" t="s">
        <v>9</v>
      </c>
    </row>
    <row r="190">
      <c r="A190" s="48">
        <v>0.5923611111111111</v>
      </c>
      <c r="B190" s="61" t="s">
        <v>1070</v>
      </c>
      <c r="C190" s="45" t="s">
        <v>19</v>
      </c>
      <c r="D190" s="61" t="s">
        <v>1087</v>
      </c>
      <c r="E190" s="11" t="s">
        <v>13</v>
      </c>
    </row>
    <row r="191">
      <c r="A191" s="48">
        <v>0.6027777777777777</v>
      </c>
      <c r="B191" s="61" t="s">
        <v>1086</v>
      </c>
      <c r="C191" s="45" t="s">
        <v>193</v>
      </c>
      <c r="D191" s="61" t="s">
        <v>1087</v>
      </c>
      <c r="E191" s="11" t="s">
        <v>9</v>
      </c>
    </row>
    <row r="192">
      <c r="A192" s="48">
        <v>0.6027777777777777</v>
      </c>
      <c r="B192" s="61" t="s">
        <v>1070</v>
      </c>
      <c r="C192" s="45" t="s">
        <v>181</v>
      </c>
      <c r="D192" s="61" t="s">
        <v>860</v>
      </c>
      <c r="E192" s="11" t="s">
        <v>13</v>
      </c>
    </row>
    <row r="193">
      <c r="A193" s="48">
        <v>0.6125</v>
      </c>
      <c r="B193" s="61" t="s">
        <v>1087</v>
      </c>
      <c r="C193" s="45" t="s">
        <v>301</v>
      </c>
      <c r="D193" s="61" t="s">
        <v>860</v>
      </c>
      <c r="E193" s="11" t="s">
        <v>9</v>
      </c>
    </row>
    <row r="194">
      <c r="A194" s="48">
        <v>0.6125</v>
      </c>
      <c r="B194" s="61" t="s">
        <v>795</v>
      </c>
      <c r="C194" s="45" t="s">
        <v>17</v>
      </c>
      <c r="D194" s="61" t="s">
        <v>1070</v>
      </c>
      <c r="E194" s="11" t="s">
        <v>13</v>
      </c>
    </row>
    <row r="195">
      <c r="A195" s="48">
        <v>0.6229166666666667</v>
      </c>
      <c r="B195" s="61" t="s">
        <v>1086</v>
      </c>
      <c r="C195" s="45" t="s">
        <v>18</v>
      </c>
      <c r="D195" s="61" t="s">
        <v>860</v>
      </c>
      <c r="E195" s="11" t="s">
        <v>9</v>
      </c>
    </row>
    <row r="196">
      <c r="A196" s="48">
        <v>0.6229166666666667</v>
      </c>
      <c r="B196" s="61" t="s">
        <v>1087</v>
      </c>
      <c r="C196" s="45" t="s">
        <v>158</v>
      </c>
      <c r="D196" s="61" t="s">
        <v>795</v>
      </c>
      <c r="E196" s="11" t="s">
        <v>13</v>
      </c>
    </row>
    <row r="197">
      <c r="A197" s="48">
        <v>0.6333333333333333</v>
      </c>
      <c r="B197" s="61" t="s">
        <v>1086</v>
      </c>
      <c r="C197" s="45" t="s">
        <v>158</v>
      </c>
      <c r="D197" s="61" t="s">
        <v>1070</v>
      </c>
      <c r="E197" s="11" t="s">
        <v>9</v>
      </c>
    </row>
    <row r="198">
      <c r="A198" s="48">
        <v>0.6333333333333333</v>
      </c>
      <c r="B198" s="61" t="s">
        <v>860</v>
      </c>
      <c r="C198" s="45" t="s">
        <v>290</v>
      </c>
      <c r="D198" s="61" t="s">
        <v>795</v>
      </c>
      <c r="E198" s="11" t="s">
        <v>13</v>
      </c>
    </row>
    <row r="199">
      <c r="A199" s="1"/>
      <c r="B199" s="1" t="s">
        <v>78</v>
      </c>
      <c r="C199" s="2"/>
      <c r="D199" s="2"/>
      <c r="E199" s="2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1088</v>
      </c>
      <c r="C201" s="45" t="s">
        <v>442</v>
      </c>
      <c r="D201" s="61" t="s">
        <v>1089</v>
      </c>
      <c r="E201" s="11" t="s">
        <v>29</v>
      </c>
    </row>
    <row r="202">
      <c r="A202" s="48">
        <v>0.5416666666666666</v>
      </c>
      <c r="B202" s="61" t="s">
        <v>1020</v>
      </c>
      <c r="C202" s="45" t="s">
        <v>166</v>
      </c>
      <c r="D202" s="61" t="s">
        <v>1090</v>
      </c>
      <c r="E202" s="11" t="s">
        <v>33</v>
      </c>
    </row>
    <row r="203">
      <c r="A203" s="48">
        <v>0.5513888888888889</v>
      </c>
      <c r="B203" s="61" t="s">
        <v>1020</v>
      </c>
      <c r="C203" s="45" t="s">
        <v>43</v>
      </c>
      <c r="D203" s="61" t="s">
        <v>1089</v>
      </c>
      <c r="E203" s="11" t="s">
        <v>29</v>
      </c>
    </row>
    <row r="204">
      <c r="A204" s="48">
        <v>0.5513888888888889</v>
      </c>
      <c r="B204" s="61" t="s">
        <v>944</v>
      </c>
      <c r="C204" s="45" t="s">
        <v>20</v>
      </c>
      <c r="D204" s="61" t="s">
        <v>1090</v>
      </c>
      <c r="E204" s="11" t="s">
        <v>33</v>
      </c>
    </row>
    <row r="205">
      <c r="A205" s="48">
        <v>0.5618055555555556</v>
      </c>
      <c r="B205" s="61" t="s">
        <v>944</v>
      </c>
      <c r="C205" s="45" t="s">
        <v>158</v>
      </c>
      <c r="D205" s="61" t="s">
        <v>1020</v>
      </c>
      <c r="E205" s="11" t="s">
        <v>29</v>
      </c>
    </row>
    <row r="206">
      <c r="A206" s="48">
        <v>0.5618055555555556</v>
      </c>
      <c r="B206" s="61" t="s">
        <v>1090</v>
      </c>
      <c r="C206" s="45" t="s">
        <v>164</v>
      </c>
      <c r="D206" s="61" t="s">
        <v>1088</v>
      </c>
      <c r="E206" s="11" t="s">
        <v>33</v>
      </c>
    </row>
    <row r="207">
      <c r="A207" s="48">
        <v>0.5722222222222222</v>
      </c>
      <c r="B207" s="61" t="s">
        <v>944</v>
      </c>
      <c r="C207" s="45" t="s">
        <v>41</v>
      </c>
      <c r="D207" s="61" t="s">
        <v>1089</v>
      </c>
      <c r="E207" s="11" t="s">
        <v>29</v>
      </c>
    </row>
    <row r="208">
      <c r="A208" s="48">
        <v>0.5722222222222222</v>
      </c>
      <c r="B208" s="61" t="s">
        <v>1088</v>
      </c>
      <c r="C208" s="45" t="s">
        <v>1091</v>
      </c>
      <c r="D208" s="61" t="s">
        <v>1020</v>
      </c>
      <c r="E208" s="11" t="s">
        <v>33</v>
      </c>
    </row>
    <row r="209">
      <c r="A209" s="48">
        <v>0.5819444444444445</v>
      </c>
      <c r="B209" s="61" t="s">
        <v>1090</v>
      </c>
      <c r="C209" s="45" t="s">
        <v>302</v>
      </c>
      <c r="D209" s="61" t="s">
        <v>1089</v>
      </c>
      <c r="E209" s="11" t="s">
        <v>29</v>
      </c>
    </row>
    <row r="210">
      <c r="A210" s="48">
        <v>0.5819444444444445</v>
      </c>
      <c r="B210" s="61" t="s">
        <v>1088</v>
      </c>
      <c r="C210" s="45" t="s">
        <v>219</v>
      </c>
      <c r="D210" s="61" t="s">
        <v>944</v>
      </c>
      <c r="E210" s="11" t="s">
        <v>33</v>
      </c>
    </row>
    <row r="211">
      <c r="A211" s="48">
        <v>0.5923611111111111</v>
      </c>
      <c r="B211" s="61" t="s">
        <v>1089</v>
      </c>
      <c r="C211" s="45" t="s">
        <v>229</v>
      </c>
      <c r="D211" s="61" t="s">
        <v>1088</v>
      </c>
      <c r="E211" s="11" t="s">
        <v>29</v>
      </c>
    </row>
    <row r="212">
      <c r="A212" s="48">
        <v>0.5923611111111111</v>
      </c>
      <c r="B212" s="61" t="s">
        <v>1090</v>
      </c>
      <c r="C212" s="45" t="s">
        <v>42</v>
      </c>
      <c r="D212" s="61" t="s">
        <v>1020</v>
      </c>
      <c r="E212" s="11" t="s">
        <v>33</v>
      </c>
      <c r="H212" s="50"/>
    </row>
    <row r="213">
      <c r="A213" s="48">
        <v>0.6027777777777777</v>
      </c>
      <c r="B213" s="61" t="s">
        <v>1089</v>
      </c>
      <c r="C213" s="45" t="s">
        <v>193</v>
      </c>
      <c r="D213" s="61" t="s">
        <v>1020</v>
      </c>
      <c r="E213" s="11" t="s">
        <v>29</v>
      </c>
    </row>
    <row r="214">
      <c r="A214" s="48">
        <v>0.6027777777777777</v>
      </c>
      <c r="B214" s="61" t="s">
        <v>1090</v>
      </c>
      <c r="C214" s="45" t="s">
        <v>16</v>
      </c>
      <c r="D214" s="61" t="s">
        <v>944</v>
      </c>
      <c r="E214" s="11" t="s">
        <v>33</v>
      </c>
    </row>
    <row r="215">
      <c r="A215" s="48">
        <v>0.6125</v>
      </c>
      <c r="B215" s="61" t="s">
        <v>1020</v>
      </c>
      <c r="C215" s="45" t="s">
        <v>43</v>
      </c>
      <c r="D215" s="61" t="s">
        <v>944</v>
      </c>
      <c r="E215" s="11" t="s">
        <v>29</v>
      </c>
    </row>
    <row r="216">
      <c r="A216" s="48">
        <v>0.6125</v>
      </c>
      <c r="B216" s="61" t="s">
        <v>1088</v>
      </c>
      <c r="C216" s="45" t="s">
        <v>17</v>
      </c>
      <c r="D216" s="61" t="s">
        <v>1090</v>
      </c>
      <c r="E216" s="11" t="s">
        <v>33</v>
      </c>
    </row>
    <row r="217">
      <c r="A217" s="48">
        <v>0.6229166666666667</v>
      </c>
      <c r="B217" s="61" t="s">
        <v>1089</v>
      </c>
      <c r="C217" s="45" t="s">
        <v>18</v>
      </c>
      <c r="D217" s="61" t="s">
        <v>944</v>
      </c>
      <c r="E217" s="11" t="s">
        <v>29</v>
      </c>
    </row>
    <row r="218">
      <c r="A218" s="48">
        <v>0.6229166666666667</v>
      </c>
      <c r="B218" s="61" t="s">
        <v>1020</v>
      </c>
      <c r="C218" s="45" t="s">
        <v>18</v>
      </c>
      <c r="D218" s="61" t="s">
        <v>1088</v>
      </c>
      <c r="E218" s="11" t="s">
        <v>33</v>
      </c>
    </row>
    <row r="219">
      <c r="A219" s="48">
        <v>0.6333333333333333</v>
      </c>
      <c r="B219" s="61" t="s">
        <v>1089</v>
      </c>
      <c r="C219" s="45" t="s">
        <v>220</v>
      </c>
      <c r="D219" s="61" t="s">
        <v>1090</v>
      </c>
      <c r="E219" s="11" t="s">
        <v>29</v>
      </c>
    </row>
    <row r="220">
      <c r="A220" s="48">
        <v>0.6333333333333333</v>
      </c>
      <c r="B220" s="61" t="s">
        <v>944</v>
      </c>
      <c r="C220" s="45" t="s">
        <v>517</v>
      </c>
      <c r="D220" s="61" t="s">
        <v>1088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1092</v>
      </c>
      <c r="C223" s="57" t="s">
        <v>20</v>
      </c>
      <c r="D223" s="62" t="s">
        <v>948</v>
      </c>
      <c r="E223" s="11" t="s">
        <v>9</v>
      </c>
    </row>
    <row r="224">
      <c r="A224" s="48">
        <v>0.6458333333333334</v>
      </c>
      <c r="B224" s="62" t="s">
        <v>1028</v>
      </c>
      <c r="C224" s="57" t="s">
        <v>7</v>
      </c>
      <c r="D224" s="62" t="s">
        <v>1093</v>
      </c>
      <c r="E224" s="11" t="s">
        <v>13</v>
      </c>
    </row>
    <row r="225">
      <c r="A225" s="48">
        <v>0.6555555555555556</v>
      </c>
      <c r="B225" s="62" t="s">
        <v>1028</v>
      </c>
      <c r="C225" s="57" t="s">
        <v>352</v>
      </c>
      <c r="D225" s="62" t="s">
        <v>948</v>
      </c>
      <c r="E225" s="11" t="s">
        <v>9</v>
      </c>
    </row>
    <row r="226">
      <c r="A226" s="48">
        <v>0.6555555555555556</v>
      </c>
      <c r="B226" s="62" t="s">
        <v>1094</v>
      </c>
      <c r="C226" s="57" t="s">
        <v>16</v>
      </c>
      <c r="D226" s="62" t="s">
        <v>1093</v>
      </c>
      <c r="E226" s="11" t="s">
        <v>13</v>
      </c>
    </row>
    <row r="227">
      <c r="A227" s="48">
        <v>0.6659722222222222</v>
      </c>
      <c r="B227" s="62" t="s">
        <v>1094</v>
      </c>
      <c r="C227" s="57" t="s">
        <v>23</v>
      </c>
      <c r="D227" s="62" t="s">
        <v>1028</v>
      </c>
      <c r="E227" s="11" t="s">
        <v>9</v>
      </c>
    </row>
    <row r="228">
      <c r="A228" s="48">
        <v>0.6659722222222222</v>
      </c>
      <c r="B228" s="62" t="s">
        <v>1093</v>
      </c>
      <c r="C228" s="57" t="s">
        <v>42</v>
      </c>
      <c r="D228" s="62" t="s">
        <v>1092</v>
      </c>
      <c r="E228" s="11" t="s">
        <v>13</v>
      </c>
    </row>
    <row r="229">
      <c r="A229" s="48">
        <v>0.6763888888888889</v>
      </c>
      <c r="B229" s="62" t="s">
        <v>1094</v>
      </c>
      <c r="C229" s="57" t="s">
        <v>313</v>
      </c>
      <c r="D229" s="62" t="s">
        <v>948</v>
      </c>
      <c r="E229" s="11" t="s">
        <v>9</v>
      </c>
    </row>
    <row r="230">
      <c r="A230" s="48">
        <v>0.6763888888888889</v>
      </c>
      <c r="B230" s="62" t="s">
        <v>1092</v>
      </c>
      <c r="C230" s="57" t="s">
        <v>164</v>
      </c>
      <c r="D230" s="62" t="s">
        <v>1028</v>
      </c>
      <c r="E230" s="11" t="s">
        <v>13</v>
      </c>
    </row>
    <row r="231">
      <c r="A231" s="48">
        <v>0.6861111111111111</v>
      </c>
      <c r="B231" s="62" t="s">
        <v>1093</v>
      </c>
      <c r="C231" s="57" t="s">
        <v>19</v>
      </c>
      <c r="D231" s="62" t="s">
        <v>948</v>
      </c>
      <c r="E231" s="11" t="s">
        <v>9</v>
      </c>
    </row>
    <row r="232">
      <c r="A232" s="48">
        <v>0.6861111111111111</v>
      </c>
      <c r="B232" s="62" t="s">
        <v>1092</v>
      </c>
      <c r="C232" s="57" t="s">
        <v>184</v>
      </c>
      <c r="D232" s="62" t="s">
        <v>1094</v>
      </c>
      <c r="E232" s="11" t="s">
        <v>13</v>
      </c>
    </row>
    <row r="233">
      <c r="A233" s="48">
        <v>0.6965277777777777</v>
      </c>
      <c r="B233" s="62" t="s">
        <v>948</v>
      </c>
      <c r="C233" s="57" t="s">
        <v>383</v>
      </c>
      <c r="D233" s="62" t="s">
        <v>1092</v>
      </c>
      <c r="E233" s="11" t="s">
        <v>9</v>
      </c>
    </row>
    <row r="234">
      <c r="A234" s="48">
        <v>0.6965277777777777</v>
      </c>
      <c r="B234" s="62" t="s">
        <v>1093</v>
      </c>
      <c r="C234" s="57" t="s">
        <v>173</v>
      </c>
      <c r="D234" s="62" t="s">
        <v>1028</v>
      </c>
      <c r="E234" s="11" t="s">
        <v>13</v>
      </c>
    </row>
    <row r="235">
      <c r="A235" s="48">
        <v>0.7069444444444445</v>
      </c>
      <c r="B235" s="62" t="s">
        <v>948</v>
      </c>
      <c r="C235" s="45" t="s">
        <v>38</v>
      </c>
      <c r="D235" s="62" t="s">
        <v>1028</v>
      </c>
      <c r="E235" s="11" t="s">
        <v>9</v>
      </c>
    </row>
    <row r="236">
      <c r="A236" s="48">
        <v>0.7069444444444445</v>
      </c>
      <c r="B236" s="62" t="s">
        <v>1093</v>
      </c>
      <c r="C236" s="45" t="s">
        <v>161</v>
      </c>
      <c r="D236" s="62" t="s">
        <v>1094</v>
      </c>
      <c r="E236" s="11" t="s">
        <v>13</v>
      </c>
    </row>
    <row r="237">
      <c r="A237" s="48">
        <v>0.7166666666666667</v>
      </c>
      <c r="B237" s="62" t="s">
        <v>1028</v>
      </c>
      <c r="C237" s="45" t="s">
        <v>41</v>
      </c>
      <c r="D237" s="62" t="s">
        <v>1094</v>
      </c>
      <c r="E237" s="11" t="s">
        <v>9</v>
      </c>
    </row>
    <row r="238">
      <c r="A238" s="48">
        <v>0.7166666666666667</v>
      </c>
      <c r="B238" s="62" t="s">
        <v>1092</v>
      </c>
      <c r="C238" s="45" t="s">
        <v>43</v>
      </c>
      <c r="D238" s="62" t="s">
        <v>1093</v>
      </c>
      <c r="E238" s="11" t="s">
        <v>13</v>
      </c>
    </row>
    <row r="239">
      <c r="A239" s="48">
        <v>0.7270833333333333</v>
      </c>
      <c r="B239" s="62" t="s">
        <v>948</v>
      </c>
      <c r="C239" s="45" t="s">
        <v>203</v>
      </c>
      <c r="D239" s="62" t="s">
        <v>1094</v>
      </c>
      <c r="E239" s="11" t="s">
        <v>9</v>
      </c>
    </row>
    <row r="240">
      <c r="A240" s="48">
        <v>0.7270833333333333</v>
      </c>
      <c r="B240" s="62" t="s">
        <v>1028</v>
      </c>
      <c r="C240" s="45" t="s">
        <v>42</v>
      </c>
      <c r="D240" s="62" t="s">
        <v>1092</v>
      </c>
      <c r="E240" s="11" t="s">
        <v>13</v>
      </c>
    </row>
    <row r="241">
      <c r="A241" s="48">
        <v>0.7375</v>
      </c>
      <c r="B241" s="62" t="s">
        <v>948</v>
      </c>
      <c r="C241" s="45" t="s">
        <v>940</v>
      </c>
      <c r="D241" s="62" t="s">
        <v>1093</v>
      </c>
      <c r="E241" s="11" t="s">
        <v>9</v>
      </c>
    </row>
    <row r="242">
      <c r="A242" s="48">
        <v>0.7375</v>
      </c>
      <c r="B242" s="62" t="s">
        <v>1094</v>
      </c>
      <c r="C242" s="45" t="s">
        <v>193</v>
      </c>
      <c r="D242" s="62" t="s">
        <v>1092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1095</v>
      </c>
      <c r="C245" s="45" t="s">
        <v>327</v>
      </c>
      <c r="D245" s="62" t="s">
        <v>1096</v>
      </c>
      <c r="E245" s="11" t="s">
        <v>29</v>
      </c>
    </row>
    <row r="246">
      <c r="A246" s="48">
        <v>0.6458333333333334</v>
      </c>
      <c r="B246" s="62" t="s">
        <v>661</v>
      </c>
      <c r="C246" s="45" t="s">
        <v>366</v>
      </c>
      <c r="D246" s="62" t="s">
        <v>1097</v>
      </c>
      <c r="E246" s="11" t="s">
        <v>33</v>
      </c>
    </row>
    <row r="247">
      <c r="A247" s="48">
        <v>0.6555555555555556</v>
      </c>
      <c r="B247" s="62" t="s">
        <v>661</v>
      </c>
      <c r="C247" s="45" t="s">
        <v>216</v>
      </c>
      <c r="D247" s="62" t="s">
        <v>1096</v>
      </c>
      <c r="E247" s="11" t="s">
        <v>29</v>
      </c>
    </row>
    <row r="248">
      <c r="A248" s="48">
        <v>0.6555555555555556</v>
      </c>
      <c r="B248" s="62" t="s">
        <v>951</v>
      </c>
      <c r="C248" s="45" t="s">
        <v>248</v>
      </c>
      <c r="D248" s="62" t="s">
        <v>1097</v>
      </c>
      <c r="E248" s="11" t="s">
        <v>33</v>
      </c>
    </row>
    <row r="249">
      <c r="A249" s="48">
        <v>0.6659722222222222</v>
      </c>
      <c r="B249" s="62" t="s">
        <v>951</v>
      </c>
      <c r="C249" s="45" t="s">
        <v>216</v>
      </c>
      <c r="D249" s="62" t="s">
        <v>661</v>
      </c>
      <c r="E249" s="11" t="s">
        <v>29</v>
      </c>
    </row>
    <row r="250">
      <c r="A250" s="48">
        <v>0.6659722222222222</v>
      </c>
      <c r="B250" s="62" t="s">
        <v>1097</v>
      </c>
      <c r="C250" s="45" t="s">
        <v>18</v>
      </c>
      <c r="D250" s="62" t="s">
        <v>1095</v>
      </c>
      <c r="E250" s="11" t="s">
        <v>33</v>
      </c>
    </row>
    <row r="251">
      <c r="A251" s="48">
        <v>0.6763888888888889</v>
      </c>
      <c r="B251" s="62" t="s">
        <v>951</v>
      </c>
      <c r="C251" s="45" t="s">
        <v>464</v>
      </c>
      <c r="D251" s="62" t="s">
        <v>1096</v>
      </c>
      <c r="E251" s="11" t="s">
        <v>29</v>
      </c>
    </row>
    <row r="252">
      <c r="A252" s="48">
        <v>0.6763888888888889</v>
      </c>
      <c r="B252" s="62" t="s">
        <v>1095</v>
      </c>
      <c r="C252" s="45" t="s">
        <v>1098</v>
      </c>
      <c r="D252" s="62" t="s">
        <v>661</v>
      </c>
      <c r="E252" s="11" t="s">
        <v>33</v>
      </c>
    </row>
    <row r="253">
      <c r="A253" s="48">
        <v>0.6861111111111111</v>
      </c>
      <c r="B253" s="62" t="s">
        <v>1097</v>
      </c>
      <c r="C253" s="45" t="s">
        <v>41</v>
      </c>
      <c r="D253" s="62" t="s">
        <v>1096</v>
      </c>
      <c r="E253" s="11" t="s">
        <v>29</v>
      </c>
    </row>
    <row r="254">
      <c r="A254" s="48">
        <v>0.6861111111111111</v>
      </c>
      <c r="B254" s="62" t="s">
        <v>1095</v>
      </c>
      <c r="C254" s="45" t="s">
        <v>324</v>
      </c>
      <c r="D254" s="62" t="s">
        <v>951</v>
      </c>
      <c r="E254" s="11" t="s">
        <v>33</v>
      </c>
    </row>
    <row r="255">
      <c r="A255" s="48">
        <v>0.6965277777777777</v>
      </c>
      <c r="B255" s="62" t="s">
        <v>1096</v>
      </c>
      <c r="C255" s="45" t="s">
        <v>289</v>
      </c>
      <c r="D255" s="62" t="s">
        <v>1095</v>
      </c>
      <c r="E255" s="11" t="s">
        <v>29</v>
      </c>
    </row>
    <row r="256">
      <c r="A256" s="48">
        <v>0.6965277777777777</v>
      </c>
      <c r="B256" s="62" t="s">
        <v>1097</v>
      </c>
      <c r="C256" s="45" t="s">
        <v>41</v>
      </c>
      <c r="D256" s="62" t="s">
        <v>661</v>
      </c>
      <c r="E256" s="11" t="s">
        <v>33</v>
      </c>
    </row>
    <row r="257">
      <c r="A257" s="48">
        <v>0.7069444444444445</v>
      </c>
      <c r="B257" s="62" t="s">
        <v>1096</v>
      </c>
      <c r="C257" s="45" t="s">
        <v>383</v>
      </c>
      <c r="D257" s="62" t="s">
        <v>661</v>
      </c>
      <c r="E257" s="11" t="s">
        <v>29</v>
      </c>
    </row>
    <row r="258">
      <c r="A258" s="48">
        <v>0.7069444444444445</v>
      </c>
      <c r="B258" s="62" t="s">
        <v>1097</v>
      </c>
      <c r="C258" s="45" t="s">
        <v>18</v>
      </c>
      <c r="D258" s="62" t="s">
        <v>951</v>
      </c>
      <c r="E258" s="11" t="s">
        <v>33</v>
      </c>
    </row>
    <row r="259">
      <c r="A259" s="48">
        <v>0.7166666666666667</v>
      </c>
      <c r="B259" s="62" t="s">
        <v>661</v>
      </c>
      <c r="C259" s="45" t="s">
        <v>688</v>
      </c>
      <c r="D259" s="62" t="s">
        <v>951</v>
      </c>
      <c r="E259" s="11" t="s">
        <v>29</v>
      </c>
    </row>
    <row r="260">
      <c r="A260" s="48">
        <v>0.7166666666666667</v>
      </c>
      <c r="B260" s="62" t="s">
        <v>1095</v>
      </c>
      <c r="C260" s="45" t="s">
        <v>354</v>
      </c>
      <c r="D260" s="62" t="s">
        <v>1097</v>
      </c>
      <c r="E260" s="11" t="s">
        <v>33</v>
      </c>
    </row>
    <row r="261">
      <c r="A261" s="48">
        <v>0.7270833333333333</v>
      </c>
      <c r="B261" s="62" t="s">
        <v>1096</v>
      </c>
      <c r="C261" s="45" t="s">
        <v>291</v>
      </c>
      <c r="D261" s="62" t="s">
        <v>951</v>
      </c>
      <c r="E261" s="11" t="s">
        <v>29</v>
      </c>
    </row>
    <row r="262">
      <c r="A262" s="48">
        <v>0.7270833333333333</v>
      </c>
      <c r="B262" s="62" t="s">
        <v>661</v>
      </c>
      <c r="C262" s="45" t="s">
        <v>279</v>
      </c>
      <c r="D262" s="62" t="s">
        <v>1095</v>
      </c>
      <c r="E262" s="11" t="s">
        <v>33</v>
      </c>
    </row>
    <row r="263">
      <c r="A263" s="48">
        <v>0.7375</v>
      </c>
      <c r="B263" s="62" t="s">
        <v>1096</v>
      </c>
      <c r="C263" s="45" t="s">
        <v>16</v>
      </c>
      <c r="D263" s="62" t="s">
        <v>1097</v>
      </c>
      <c r="E263" s="11" t="s">
        <v>29</v>
      </c>
    </row>
    <row r="264">
      <c r="A264" s="48">
        <v>0.7375</v>
      </c>
      <c r="B264" s="62" t="s">
        <v>951</v>
      </c>
      <c r="C264" s="45" t="s">
        <v>164</v>
      </c>
      <c r="D264" s="62" t="s">
        <v>1095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1099</v>
      </c>
      <c r="C267" s="45" t="s">
        <v>344</v>
      </c>
      <c r="D267" s="62" t="s">
        <v>1100</v>
      </c>
      <c r="E267" s="11" t="s">
        <v>9</v>
      </c>
    </row>
    <row r="268">
      <c r="A268" s="48">
        <v>0.75</v>
      </c>
      <c r="B268" s="62" t="s">
        <v>777</v>
      </c>
      <c r="C268" s="45" t="s">
        <v>225</v>
      </c>
      <c r="D268" s="62" t="s">
        <v>1101</v>
      </c>
      <c r="E268" s="11" t="s">
        <v>13</v>
      </c>
    </row>
    <row r="269">
      <c r="A269" s="48">
        <v>0.7597222222222222</v>
      </c>
      <c r="B269" s="62" t="s">
        <v>777</v>
      </c>
      <c r="C269" s="45" t="s">
        <v>171</v>
      </c>
      <c r="D269" s="62" t="s">
        <v>1100</v>
      </c>
      <c r="E269" s="11" t="s">
        <v>9</v>
      </c>
    </row>
    <row r="270">
      <c r="A270" s="48">
        <v>0.7597222222222222</v>
      </c>
      <c r="B270" s="62" t="s">
        <v>1034</v>
      </c>
      <c r="C270" s="45" t="s">
        <v>278</v>
      </c>
      <c r="D270" s="62" t="s">
        <v>1101</v>
      </c>
      <c r="E270" s="11" t="s">
        <v>13</v>
      </c>
    </row>
    <row r="271">
      <c r="A271" s="48">
        <v>0.7701388888888889</v>
      </c>
      <c r="B271" s="62" t="s">
        <v>1034</v>
      </c>
      <c r="C271" s="45" t="s">
        <v>269</v>
      </c>
      <c r="D271" s="62" t="s">
        <v>777</v>
      </c>
      <c r="E271" s="11" t="s">
        <v>9</v>
      </c>
    </row>
    <row r="272">
      <c r="A272" s="48">
        <v>0.7701388888888889</v>
      </c>
      <c r="B272" s="62" t="s">
        <v>1101</v>
      </c>
      <c r="C272" s="45" t="s">
        <v>218</v>
      </c>
      <c r="D272" s="62" t="s">
        <v>1099</v>
      </c>
      <c r="E272" s="11" t="s">
        <v>13</v>
      </c>
    </row>
    <row r="273">
      <c r="A273" s="48">
        <v>0.7805555555555556</v>
      </c>
      <c r="B273" s="62" t="s">
        <v>1034</v>
      </c>
      <c r="C273" s="45" t="s">
        <v>209</v>
      </c>
      <c r="D273" s="62" t="s">
        <v>1100</v>
      </c>
      <c r="E273" s="11" t="s">
        <v>9</v>
      </c>
    </row>
    <row r="274">
      <c r="A274" s="48">
        <v>0.7805555555555556</v>
      </c>
      <c r="B274" s="62" t="s">
        <v>1099</v>
      </c>
      <c r="C274" s="45" t="s">
        <v>20</v>
      </c>
      <c r="D274" s="62" t="s">
        <v>777</v>
      </c>
      <c r="E274" s="11" t="s">
        <v>13</v>
      </c>
    </row>
    <row r="275">
      <c r="A275" s="48">
        <v>0.7902777777777777</v>
      </c>
      <c r="B275" s="62" t="s">
        <v>1101</v>
      </c>
      <c r="C275" s="45" t="s">
        <v>181</v>
      </c>
      <c r="D275" s="62" t="s">
        <v>1100</v>
      </c>
      <c r="E275" s="11" t="s">
        <v>9</v>
      </c>
    </row>
    <row r="276">
      <c r="A276" s="48">
        <v>0.7902777777777777</v>
      </c>
      <c r="B276" s="62" t="s">
        <v>1099</v>
      </c>
      <c r="C276" s="45" t="s">
        <v>193</v>
      </c>
      <c r="D276" s="62" t="s">
        <v>1034</v>
      </c>
      <c r="E276" s="11" t="s">
        <v>13</v>
      </c>
    </row>
    <row r="277">
      <c r="A277" s="48">
        <v>0.8006944444444445</v>
      </c>
      <c r="B277" s="62" t="s">
        <v>1100</v>
      </c>
      <c r="C277" s="45" t="s">
        <v>39</v>
      </c>
      <c r="D277" s="62" t="s">
        <v>1099</v>
      </c>
      <c r="E277" s="11" t="s">
        <v>9</v>
      </c>
    </row>
    <row r="278">
      <c r="A278" s="48">
        <v>0.8006944444444445</v>
      </c>
      <c r="B278" s="62" t="s">
        <v>1101</v>
      </c>
      <c r="C278" s="45" t="s">
        <v>162</v>
      </c>
      <c r="D278" s="62" t="s">
        <v>777</v>
      </c>
      <c r="E278" s="11" t="s">
        <v>13</v>
      </c>
    </row>
    <row r="279">
      <c r="A279" s="48">
        <v>0.8111111111111111</v>
      </c>
      <c r="B279" s="62" t="s">
        <v>1100</v>
      </c>
      <c r="C279" s="45" t="s">
        <v>712</v>
      </c>
      <c r="D279" s="62" t="s">
        <v>777</v>
      </c>
      <c r="E279" s="11" t="s">
        <v>9</v>
      </c>
    </row>
    <row r="280">
      <c r="A280" s="48">
        <v>0.8111111111111111</v>
      </c>
      <c r="B280" s="62" t="s">
        <v>1101</v>
      </c>
      <c r="C280" s="45" t="s">
        <v>464</v>
      </c>
      <c r="D280" s="62" t="s">
        <v>1034</v>
      </c>
      <c r="E280" s="11" t="s">
        <v>13</v>
      </c>
    </row>
    <row r="281">
      <c r="A281" s="48">
        <v>0.8208333333333333</v>
      </c>
      <c r="B281" s="62" t="s">
        <v>777</v>
      </c>
      <c r="C281" s="45" t="s">
        <v>7</v>
      </c>
      <c r="D281" s="62" t="s">
        <v>1034</v>
      </c>
      <c r="E281" s="11" t="s">
        <v>9</v>
      </c>
    </row>
    <row r="282">
      <c r="A282" s="48">
        <v>0.8208333333333333</v>
      </c>
      <c r="B282" s="62" t="s">
        <v>1099</v>
      </c>
      <c r="C282" s="45" t="s">
        <v>219</v>
      </c>
      <c r="D282" s="62" t="s">
        <v>1101</v>
      </c>
      <c r="E282" s="11" t="s">
        <v>13</v>
      </c>
    </row>
    <row r="283">
      <c r="A283" s="48">
        <v>0.83125</v>
      </c>
      <c r="B283" s="62" t="s">
        <v>1100</v>
      </c>
      <c r="C283" s="45" t="s">
        <v>43</v>
      </c>
      <c r="D283" s="62" t="s">
        <v>1034</v>
      </c>
      <c r="E283" s="11" t="s">
        <v>9</v>
      </c>
    </row>
    <row r="284">
      <c r="A284" s="48">
        <v>0.83125</v>
      </c>
      <c r="B284" s="62" t="s">
        <v>777</v>
      </c>
      <c r="C284" s="45" t="s">
        <v>18</v>
      </c>
      <c r="D284" s="62" t="s">
        <v>1099</v>
      </c>
      <c r="E284" s="11" t="s">
        <v>13</v>
      </c>
    </row>
    <row r="285">
      <c r="A285" s="48">
        <v>0.8416666666666667</v>
      </c>
      <c r="B285" s="62" t="s">
        <v>1100</v>
      </c>
      <c r="C285" s="45" t="s">
        <v>18</v>
      </c>
      <c r="D285" s="62" t="s">
        <v>1101</v>
      </c>
      <c r="E285" s="11" t="s">
        <v>9</v>
      </c>
    </row>
    <row r="286">
      <c r="A286" s="48">
        <v>0.8416666666666667</v>
      </c>
      <c r="B286" s="62" t="s">
        <v>1034</v>
      </c>
      <c r="C286" s="45" t="s">
        <v>256</v>
      </c>
      <c r="D286" s="62" t="s">
        <v>1099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1102</v>
      </c>
      <c r="C289" s="45" t="s">
        <v>164</v>
      </c>
      <c r="D289" s="62" t="s">
        <v>1103</v>
      </c>
      <c r="E289" s="11" t="s">
        <v>29</v>
      </c>
    </row>
    <row r="290">
      <c r="A290" s="48">
        <v>0.75</v>
      </c>
      <c r="B290" s="62" t="s">
        <v>782</v>
      </c>
      <c r="C290" s="45" t="s">
        <v>354</v>
      </c>
      <c r="D290" s="62" t="s">
        <v>1104</v>
      </c>
      <c r="E290" s="11" t="s">
        <v>33</v>
      </c>
    </row>
    <row r="291">
      <c r="A291" s="48">
        <v>0.7597222222222222</v>
      </c>
      <c r="B291" s="62" t="s">
        <v>782</v>
      </c>
      <c r="C291" s="45" t="s">
        <v>1105</v>
      </c>
      <c r="D291" s="62" t="s">
        <v>1103</v>
      </c>
      <c r="E291" s="11" t="s">
        <v>29</v>
      </c>
    </row>
    <row r="292">
      <c r="A292" s="48">
        <v>0.7597222222222222</v>
      </c>
      <c r="B292" s="62" t="s">
        <v>1106</v>
      </c>
      <c r="C292" s="45" t="s">
        <v>251</v>
      </c>
      <c r="D292" s="62" t="s">
        <v>1104</v>
      </c>
      <c r="E292" s="11" t="s">
        <v>33</v>
      </c>
    </row>
    <row r="293">
      <c r="A293" s="48">
        <v>0.7701388888888889</v>
      </c>
      <c r="B293" s="62" t="s">
        <v>1106</v>
      </c>
      <c r="C293" s="45" t="s">
        <v>466</v>
      </c>
      <c r="D293" s="62" t="s">
        <v>782</v>
      </c>
      <c r="E293" s="11" t="s">
        <v>29</v>
      </c>
    </row>
    <row r="294">
      <c r="A294" s="48">
        <v>0.7701388888888889</v>
      </c>
      <c r="B294" s="62" t="s">
        <v>1104</v>
      </c>
      <c r="C294" s="45" t="s">
        <v>43</v>
      </c>
      <c r="D294" s="62" t="s">
        <v>1102</v>
      </c>
      <c r="E294" s="11" t="s">
        <v>33</v>
      </c>
    </row>
    <row r="295">
      <c r="A295" s="48">
        <v>0.7805555555555556</v>
      </c>
      <c r="B295" s="62" t="s">
        <v>1106</v>
      </c>
      <c r="C295" s="45" t="s">
        <v>1049</v>
      </c>
      <c r="D295" s="62" t="s">
        <v>1103</v>
      </c>
      <c r="E295" s="11" t="s">
        <v>29</v>
      </c>
    </row>
    <row r="296">
      <c r="A296" s="48">
        <v>0.7805555555555556</v>
      </c>
      <c r="B296" s="62" t="s">
        <v>1102</v>
      </c>
      <c r="C296" s="45" t="s">
        <v>18</v>
      </c>
      <c r="D296" s="62" t="s">
        <v>782</v>
      </c>
      <c r="E296" s="11" t="s">
        <v>33</v>
      </c>
    </row>
    <row r="297">
      <c r="A297" s="48">
        <v>0.7902777777777777</v>
      </c>
      <c r="B297" s="62" t="s">
        <v>1104</v>
      </c>
      <c r="C297" s="45" t="s">
        <v>279</v>
      </c>
      <c r="D297" s="62" t="s">
        <v>1103</v>
      </c>
      <c r="E297" s="11" t="s">
        <v>29</v>
      </c>
    </row>
    <row r="298">
      <c r="A298" s="48">
        <v>0.7902777777777777</v>
      </c>
      <c r="B298" s="62" t="s">
        <v>1102</v>
      </c>
      <c r="C298" s="45" t="s">
        <v>244</v>
      </c>
      <c r="D298" s="62" t="s">
        <v>1106</v>
      </c>
      <c r="E298" s="11" t="s">
        <v>33</v>
      </c>
    </row>
    <row r="299">
      <c r="A299" s="48">
        <v>0.8006944444444445</v>
      </c>
      <c r="B299" s="62" t="s">
        <v>1103</v>
      </c>
      <c r="C299" s="45" t="s">
        <v>1015</v>
      </c>
      <c r="D299" s="62" t="s">
        <v>1102</v>
      </c>
      <c r="E299" s="60" t="str">
        <f>HYPERLINK("https://youtu.be/H4oqRkCcgXk?t=4437","channel 3")</f>
        <v>channel 3</v>
      </c>
    </row>
    <row r="300">
      <c r="A300" s="48">
        <v>0.8006944444444445</v>
      </c>
      <c r="B300" s="62" t="s">
        <v>1104</v>
      </c>
      <c r="C300" s="45" t="s">
        <v>206</v>
      </c>
      <c r="D300" s="62" t="s">
        <v>782</v>
      </c>
      <c r="E300" s="11" t="s">
        <v>33</v>
      </c>
    </row>
    <row r="301">
      <c r="A301" s="48">
        <v>0.8111111111111111</v>
      </c>
      <c r="B301" s="62" t="s">
        <v>1103</v>
      </c>
      <c r="C301" s="45" t="s">
        <v>1107</v>
      </c>
      <c r="D301" s="62" t="s">
        <v>782</v>
      </c>
      <c r="E301" s="11" t="s">
        <v>29</v>
      </c>
    </row>
    <row r="302">
      <c r="A302" s="48">
        <v>0.8111111111111111</v>
      </c>
      <c r="B302" s="62" t="s">
        <v>1104</v>
      </c>
      <c r="C302" s="45" t="s">
        <v>651</v>
      </c>
      <c r="D302" s="62" t="s">
        <v>1106</v>
      </c>
      <c r="E302" s="11" t="s">
        <v>33</v>
      </c>
    </row>
    <row r="303">
      <c r="A303" s="48">
        <v>0.8208333333333333</v>
      </c>
      <c r="B303" s="62" t="s">
        <v>782</v>
      </c>
      <c r="C303" s="45" t="s">
        <v>1108</v>
      </c>
      <c r="D303" s="62" t="s">
        <v>1106</v>
      </c>
      <c r="E303" s="11" t="s">
        <v>29</v>
      </c>
    </row>
    <row r="304">
      <c r="A304" s="48">
        <v>0.8208333333333333</v>
      </c>
      <c r="B304" s="62" t="s">
        <v>1102</v>
      </c>
      <c r="C304" s="45" t="s">
        <v>1109</v>
      </c>
      <c r="D304" s="62" t="s">
        <v>1104</v>
      </c>
      <c r="E304" s="11" t="s">
        <v>33</v>
      </c>
    </row>
    <row r="305">
      <c r="A305" s="48">
        <v>0.83125</v>
      </c>
      <c r="B305" s="62" t="s">
        <v>1103</v>
      </c>
      <c r="C305" s="45" t="s">
        <v>207</v>
      </c>
      <c r="D305" s="62" t="s">
        <v>1106</v>
      </c>
      <c r="E305" s="11" t="s">
        <v>29</v>
      </c>
    </row>
    <row r="306">
      <c r="A306" s="48">
        <v>0.83125</v>
      </c>
      <c r="B306" s="62" t="s">
        <v>782</v>
      </c>
      <c r="C306" s="45" t="s">
        <v>17</v>
      </c>
      <c r="D306" s="62" t="s">
        <v>1102</v>
      </c>
      <c r="E306" s="11" t="s">
        <v>33</v>
      </c>
    </row>
    <row r="307">
      <c r="A307" s="48">
        <v>0.8416666666666667</v>
      </c>
      <c r="B307" s="62" t="s">
        <v>1103</v>
      </c>
      <c r="C307" s="45" t="s">
        <v>227</v>
      </c>
      <c r="D307" s="62" t="s">
        <v>1104</v>
      </c>
      <c r="E307" s="11" t="s">
        <v>29</v>
      </c>
    </row>
    <row r="308">
      <c r="A308" s="48">
        <v>0.8416666666666667</v>
      </c>
      <c r="B308" s="62" t="s">
        <v>1106</v>
      </c>
      <c r="C308" s="45" t="s">
        <v>186</v>
      </c>
      <c r="D308" s="62" t="s">
        <v>1102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639</v>
      </c>
      <c r="C311" s="57" t="s">
        <v>394</v>
      </c>
      <c r="D311" s="62" t="s">
        <v>1110</v>
      </c>
      <c r="E311" s="11" t="s">
        <v>9</v>
      </c>
    </row>
    <row r="312">
      <c r="A312" s="48">
        <v>0.8541666666666666</v>
      </c>
      <c r="B312" s="62" t="s">
        <v>642</v>
      </c>
      <c r="C312" s="57" t="s">
        <v>640</v>
      </c>
      <c r="D312" s="66" t="s">
        <v>1111</v>
      </c>
      <c r="E312" s="11" t="s">
        <v>13</v>
      </c>
    </row>
    <row r="313">
      <c r="A313" s="48">
        <v>0.8638888888888889</v>
      </c>
      <c r="B313" s="62" t="s">
        <v>642</v>
      </c>
      <c r="C313" s="57" t="s">
        <v>534</v>
      </c>
      <c r="D313" s="62" t="s">
        <v>1110</v>
      </c>
      <c r="E313" s="11" t="s">
        <v>9</v>
      </c>
    </row>
    <row r="314">
      <c r="A314" s="48">
        <v>0.8638888888888889</v>
      </c>
      <c r="B314" s="62" t="s">
        <v>1112</v>
      </c>
      <c r="C314" s="57" t="s">
        <v>534</v>
      </c>
      <c r="D314" s="62" t="s">
        <v>1111</v>
      </c>
      <c r="E314" s="11" t="s">
        <v>13</v>
      </c>
    </row>
    <row r="315">
      <c r="A315" s="48">
        <v>0.8743055555555556</v>
      </c>
      <c r="B315" s="62" t="s">
        <v>1112</v>
      </c>
      <c r="C315" s="57" t="s">
        <v>251</v>
      </c>
      <c r="D315" s="62" t="s">
        <v>642</v>
      </c>
      <c r="E315" s="11" t="s">
        <v>9</v>
      </c>
    </row>
    <row r="316">
      <c r="A316" s="48">
        <v>0.8743055555555556</v>
      </c>
      <c r="B316" s="62" t="s">
        <v>1111</v>
      </c>
      <c r="C316" s="57" t="s">
        <v>166</v>
      </c>
      <c r="D316" s="62" t="s">
        <v>639</v>
      </c>
      <c r="E316" s="11" t="s">
        <v>13</v>
      </c>
    </row>
    <row r="317">
      <c r="A317" s="48">
        <v>0.8847222222222222</v>
      </c>
      <c r="B317" s="62" t="s">
        <v>1112</v>
      </c>
      <c r="C317" s="57" t="s">
        <v>14</v>
      </c>
      <c r="D317" s="62" t="s">
        <v>1110</v>
      </c>
      <c r="E317" s="11" t="s">
        <v>9</v>
      </c>
    </row>
    <row r="318">
      <c r="A318" s="48">
        <v>0.8847222222222222</v>
      </c>
      <c r="B318" s="62" t="s">
        <v>639</v>
      </c>
      <c r="C318" s="57" t="s">
        <v>18</v>
      </c>
      <c r="D318" s="62" t="s">
        <v>642</v>
      </c>
      <c r="E318" s="11" t="s">
        <v>13</v>
      </c>
    </row>
    <row r="319">
      <c r="A319" s="48">
        <v>0.8944444444444445</v>
      </c>
      <c r="B319" s="62" t="s">
        <v>1111</v>
      </c>
      <c r="C319" s="57" t="s">
        <v>443</v>
      </c>
      <c r="D319" s="62" t="s">
        <v>1110</v>
      </c>
      <c r="E319" s="11" t="s">
        <v>9</v>
      </c>
    </row>
    <row r="320">
      <c r="A320" s="48">
        <v>0.8944444444444445</v>
      </c>
      <c r="B320" s="62" t="s">
        <v>639</v>
      </c>
      <c r="C320" s="57" t="s">
        <v>23</v>
      </c>
      <c r="D320" s="62" t="s">
        <v>1112</v>
      </c>
      <c r="E320" s="11" t="s">
        <v>13</v>
      </c>
    </row>
    <row r="321">
      <c r="A321" s="48">
        <v>0.9048611111111111</v>
      </c>
      <c r="B321" s="62" t="s">
        <v>1110</v>
      </c>
      <c r="C321" s="57" t="s">
        <v>327</v>
      </c>
      <c r="D321" s="62" t="s">
        <v>639</v>
      </c>
      <c r="E321" s="11" t="s">
        <v>9</v>
      </c>
    </row>
    <row r="322">
      <c r="A322" s="48">
        <v>0.9048611111111111</v>
      </c>
      <c r="B322" s="62" t="s">
        <v>1111</v>
      </c>
      <c r="C322" s="57" t="s">
        <v>574</v>
      </c>
      <c r="D322" s="62" t="s">
        <v>642</v>
      </c>
      <c r="E322" s="11" t="s">
        <v>13</v>
      </c>
    </row>
    <row r="323">
      <c r="A323" s="48">
        <v>0.9152777777777777</v>
      </c>
      <c r="B323" s="62" t="s">
        <v>1110</v>
      </c>
      <c r="C323" s="45" t="s">
        <v>342</v>
      </c>
      <c r="D323" s="62" t="s">
        <v>642</v>
      </c>
      <c r="E323" s="11" t="s">
        <v>9</v>
      </c>
    </row>
    <row r="324">
      <c r="A324" s="48">
        <v>0.9152777777777777</v>
      </c>
      <c r="B324" s="62" t="s">
        <v>1111</v>
      </c>
      <c r="C324" s="45" t="s">
        <v>279</v>
      </c>
      <c r="D324" s="62" t="s">
        <v>1112</v>
      </c>
      <c r="E324" s="11" t="s">
        <v>13</v>
      </c>
    </row>
    <row r="325">
      <c r="A325" s="48">
        <v>0.925</v>
      </c>
      <c r="B325" s="62" t="s">
        <v>642</v>
      </c>
      <c r="C325" s="45" t="s">
        <v>173</v>
      </c>
      <c r="D325" s="62" t="s">
        <v>1112</v>
      </c>
      <c r="E325" s="11" t="s">
        <v>9</v>
      </c>
    </row>
    <row r="326">
      <c r="A326" s="48">
        <v>0.925</v>
      </c>
      <c r="B326" s="62" t="s">
        <v>639</v>
      </c>
      <c r="C326" s="45" t="s">
        <v>977</v>
      </c>
      <c r="D326" s="62" t="s">
        <v>1111</v>
      </c>
      <c r="E326" s="11" t="s">
        <v>13</v>
      </c>
    </row>
    <row r="327">
      <c r="A327" s="48">
        <v>0.9354166666666667</v>
      </c>
      <c r="B327" s="62" t="s">
        <v>1110</v>
      </c>
      <c r="C327" s="45" t="s">
        <v>1015</v>
      </c>
      <c r="D327" s="62" t="s">
        <v>1112</v>
      </c>
      <c r="E327" s="11" t="s">
        <v>9</v>
      </c>
    </row>
    <row r="328">
      <c r="A328" s="48">
        <v>0.9354166666666667</v>
      </c>
      <c r="B328" s="62" t="s">
        <v>642</v>
      </c>
      <c r="C328" s="45" t="s">
        <v>303</v>
      </c>
      <c r="D328" s="62" t="s">
        <v>639</v>
      </c>
      <c r="E328" s="11" t="s">
        <v>13</v>
      </c>
    </row>
    <row r="329">
      <c r="A329" s="48">
        <v>0.9458333333333333</v>
      </c>
      <c r="B329" s="62" t="s">
        <v>1110</v>
      </c>
      <c r="C329" s="45" t="s">
        <v>208</v>
      </c>
      <c r="D329" s="62" t="s">
        <v>1111</v>
      </c>
      <c r="E329" s="11" t="s">
        <v>9</v>
      </c>
    </row>
    <row r="330">
      <c r="A330" s="48">
        <v>0.9458333333333333</v>
      </c>
      <c r="B330" s="62" t="s">
        <v>1112</v>
      </c>
      <c r="C330" s="45" t="s">
        <v>344</v>
      </c>
      <c r="D330" s="62" t="s">
        <v>639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1113</v>
      </c>
      <c r="C333" s="45" t="s">
        <v>1114</v>
      </c>
      <c r="D333" s="62" t="s">
        <v>1115</v>
      </c>
      <c r="E333" s="11" t="s">
        <v>29</v>
      </c>
    </row>
    <row r="334">
      <c r="A334" s="48">
        <v>0.8541666666666666</v>
      </c>
      <c r="B334" s="62" t="s">
        <v>1116</v>
      </c>
      <c r="C334" s="45" t="s">
        <v>776</v>
      </c>
      <c r="D334" s="62" t="s">
        <v>1117</v>
      </c>
      <c r="E334" s="11" t="s">
        <v>33</v>
      </c>
    </row>
    <row r="335">
      <c r="A335" s="48">
        <v>0.8638888888888889</v>
      </c>
      <c r="B335" s="62" t="s">
        <v>1116</v>
      </c>
      <c r="C335" s="45" t="s">
        <v>454</v>
      </c>
      <c r="D335" s="62" t="s">
        <v>1115</v>
      </c>
      <c r="E335" s="11" t="s">
        <v>29</v>
      </c>
    </row>
    <row r="336">
      <c r="A336" s="48">
        <v>0.8638888888888889</v>
      </c>
      <c r="B336" s="62" t="s">
        <v>1118</v>
      </c>
      <c r="C336" s="45" t="s">
        <v>23</v>
      </c>
      <c r="D336" s="62" t="s">
        <v>1117</v>
      </c>
      <c r="E336" s="11" t="s">
        <v>33</v>
      </c>
    </row>
    <row r="337">
      <c r="A337" s="48">
        <v>0.8743055555555556</v>
      </c>
      <c r="B337" s="62" t="s">
        <v>1118</v>
      </c>
      <c r="C337" s="45" t="s">
        <v>1119</v>
      </c>
      <c r="D337" s="62" t="s">
        <v>1116</v>
      </c>
      <c r="E337" s="11" t="s">
        <v>29</v>
      </c>
    </row>
    <row r="338">
      <c r="A338" s="48">
        <v>0.8743055555555556</v>
      </c>
      <c r="B338" s="62" t="s">
        <v>1117</v>
      </c>
      <c r="C338" s="45" t="s">
        <v>220</v>
      </c>
      <c r="D338" s="62" t="s">
        <v>1113</v>
      </c>
      <c r="E338" s="11" t="s">
        <v>33</v>
      </c>
    </row>
    <row r="339">
      <c r="A339" s="48">
        <v>0.8847222222222222</v>
      </c>
      <c r="B339" s="62" t="s">
        <v>1118</v>
      </c>
      <c r="C339" s="45" t="s">
        <v>158</v>
      </c>
      <c r="D339" s="62" t="s">
        <v>1115</v>
      </c>
      <c r="E339" s="11" t="s">
        <v>29</v>
      </c>
    </row>
    <row r="340">
      <c r="A340" s="48">
        <v>0.8847222222222222</v>
      </c>
      <c r="B340" s="62" t="s">
        <v>1113</v>
      </c>
      <c r="C340" s="45" t="s">
        <v>336</v>
      </c>
      <c r="D340" s="62" t="s">
        <v>1116</v>
      </c>
      <c r="E340" s="11" t="s">
        <v>33</v>
      </c>
    </row>
    <row r="341">
      <c r="A341" s="48">
        <v>0.8944444444444445</v>
      </c>
      <c r="B341" s="62" t="s">
        <v>1117</v>
      </c>
      <c r="C341" s="45" t="s">
        <v>247</v>
      </c>
      <c r="D341" s="62" t="s">
        <v>1115</v>
      </c>
      <c r="E341" s="11" t="s">
        <v>29</v>
      </c>
    </row>
    <row r="342">
      <c r="A342" s="48">
        <v>0.8944444444444445</v>
      </c>
      <c r="B342" s="62" t="s">
        <v>1113</v>
      </c>
      <c r="C342" s="45" t="s">
        <v>575</v>
      </c>
      <c r="D342" s="62" t="s">
        <v>1118</v>
      </c>
      <c r="E342" s="11" t="s">
        <v>33</v>
      </c>
    </row>
    <row r="343">
      <c r="A343" s="48">
        <v>0.9048611111111111</v>
      </c>
      <c r="B343" s="62" t="s">
        <v>1115</v>
      </c>
      <c r="C343" s="45" t="s">
        <v>40</v>
      </c>
      <c r="D343" s="62" t="s">
        <v>1113</v>
      </c>
      <c r="E343" s="11" t="s">
        <v>29</v>
      </c>
    </row>
    <row r="344">
      <c r="A344" s="48">
        <v>0.9048611111111111</v>
      </c>
      <c r="B344" s="62" t="s">
        <v>1117</v>
      </c>
      <c r="C344" s="45" t="s">
        <v>41</v>
      </c>
      <c r="D344" s="62" t="s">
        <v>1116</v>
      </c>
      <c r="E344" s="11" t="s">
        <v>33</v>
      </c>
    </row>
    <row r="345">
      <c r="A345" s="48">
        <v>0.9152777777777777</v>
      </c>
      <c r="B345" s="62" t="s">
        <v>1115</v>
      </c>
      <c r="C345" s="45" t="s">
        <v>244</v>
      </c>
      <c r="D345" s="62" t="s">
        <v>1116</v>
      </c>
      <c r="E345" s="11" t="s">
        <v>29</v>
      </c>
    </row>
    <row r="346">
      <c r="A346" s="48">
        <v>0.9152777777777777</v>
      </c>
      <c r="B346" s="62" t="s">
        <v>1117</v>
      </c>
      <c r="C346" s="45" t="s">
        <v>464</v>
      </c>
      <c r="D346" s="62" t="s">
        <v>1118</v>
      </c>
      <c r="E346" s="11" t="s">
        <v>33</v>
      </c>
    </row>
    <row r="347">
      <c r="A347" s="48">
        <v>0.925</v>
      </c>
      <c r="B347" s="62" t="s">
        <v>1116</v>
      </c>
      <c r="C347" s="45" t="s">
        <v>534</v>
      </c>
      <c r="D347" s="62" t="s">
        <v>1118</v>
      </c>
      <c r="E347" s="11" t="s">
        <v>29</v>
      </c>
    </row>
    <row r="348">
      <c r="A348" s="48">
        <v>0.925</v>
      </c>
      <c r="B348" s="62" t="s">
        <v>1113</v>
      </c>
      <c r="C348" s="45" t="s">
        <v>162</v>
      </c>
      <c r="D348" s="62" t="s">
        <v>1117</v>
      </c>
      <c r="E348" s="11" t="s">
        <v>33</v>
      </c>
    </row>
    <row r="349">
      <c r="A349" s="48">
        <v>0.9354166666666667</v>
      </c>
      <c r="B349" s="62" t="s">
        <v>1115</v>
      </c>
      <c r="C349" s="45" t="s">
        <v>248</v>
      </c>
      <c r="D349" s="62" t="s">
        <v>1118</v>
      </c>
      <c r="E349" s="11" t="s">
        <v>29</v>
      </c>
    </row>
    <row r="350">
      <c r="A350" s="48">
        <v>0.9354166666666667</v>
      </c>
      <c r="B350" s="62" t="s">
        <v>1116</v>
      </c>
      <c r="C350" s="45" t="s">
        <v>1120</v>
      </c>
      <c r="D350" s="62" t="s">
        <v>1113</v>
      </c>
      <c r="E350" s="11" t="s">
        <v>33</v>
      </c>
    </row>
    <row r="351">
      <c r="A351" s="48">
        <v>0.9458333333333333</v>
      </c>
      <c r="B351" s="62" t="s">
        <v>1115</v>
      </c>
      <c r="C351" s="45" t="s">
        <v>248</v>
      </c>
      <c r="D351" s="62" t="s">
        <v>1117</v>
      </c>
      <c r="E351" s="11" t="s">
        <v>29</v>
      </c>
    </row>
    <row r="352">
      <c r="A352" s="48">
        <v>0.9458333333333333</v>
      </c>
      <c r="B352" s="62" t="s">
        <v>1118</v>
      </c>
      <c r="C352" s="45" t="s">
        <v>219</v>
      </c>
      <c r="D352" s="62" t="s">
        <v>1113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595</v>
      </c>
      <c r="C355" s="45" t="s">
        <v>16</v>
      </c>
      <c r="D355" s="62" t="s">
        <v>699</v>
      </c>
      <c r="E355" s="11" t="s">
        <v>9</v>
      </c>
    </row>
    <row r="356">
      <c r="A356" s="48">
        <v>0.9583333333333334</v>
      </c>
      <c r="B356" s="62" t="s">
        <v>981</v>
      </c>
      <c r="C356" s="45" t="s">
        <v>248</v>
      </c>
      <c r="D356" s="62" t="s">
        <v>897</v>
      </c>
      <c r="E356" s="11" t="s">
        <v>13</v>
      </c>
    </row>
    <row r="357">
      <c r="A357" s="48">
        <v>0.9680555555555556</v>
      </c>
      <c r="B357" s="62" t="s">
        <v>981</v>
      </c>
      <c r="C357" s="45" t="s">
        <v>158</v>
      </c>
      <c r="D357" s="62" t="s">
        <v>699</v>
      </c>
      <c r="E357" s="11" t="s">
        <v>9</v>
      </c>
    </row>
    <row r="358">
      <c r="A358" s="48">
        <v>0.9680555555555556</v>
      </c>
      <c r="B358" s="62" t="s">
        <v>592</v>
      </c>
      <c r="C358" s="45" t="s">
        <v>18</v>
      </c>
      <c r="D358" s="62" t="s">
        <v>897</v>
      </c>
      <c r="E358" s="11" t="s">
        <v>13</v>
      </c>
    </row>
    <row r="359">
      <c r="A359" s="48">
        <v>0.9784722222222222</v>
      </c>
      <c r="B359" s="62" t="s">
        <v>592</v>
      </c>
      <c r="C359" s="45" t="s">
        <v>44</v>
      </c>
      <c r="D359" s="62" t="s">
        <v>981</v>
      </c>
      <c r="E359" s="11" t="s">
        <v>9</v>
      </c>
    </row>
    <row r="360">
      <c r="A360" s="48">
        <v>0.9784722222222222</v>
      </c>
      <c r="B360" s="62" t="s">
        <v>897</v>
      </c>
      <c r="C360" s="45" t="s">
        <v>1121</v>
      </c>
      <c r="D360" s="62" t="s">
        <v>595</v>
      </c>
      <c r="E360" s="11" t="s">
        <v>13</v>
      </c>
    </row>
    <row r="361">
      <c r="A361" s="48">
        <v>0.9888888888888889</v>
      </c>
      <c r="B361" s="62" t="s">
        <v>592</v>
      </c>
      <c r="C361" s="45" t="s">
        <v>14</v>
      </c>
      <c r="D361" s="62" t="s">
        <v>699</v>
      </c>
      <c r="E361" s="11" t="s">
        <v>9</v>
      </c>
    </row>
    <row r="362">
      <c r="A362" s="48">
        <v>0.9888888888888889</v>
      </c>
      <c r="B362" s="62" t="s">
        <v>595</v>
      </c>
      <c r="C362" s="45" t="s">
        <v>1122</v>
      </c>
      <c r="D362" s="62" t="s">
        <v>981</v>
      </c>
      <c r="E362" s="11" t="s">
        <v>13</v>
      </c>
    </row>
    <row r="363">
      <c r="A363" s="48">
        <v>0.9986111111111111</v>
      </c>
      <c r="B363" s="62" t="s">
        <v>897</v>
      </c>
      <c r="C363" s="45" t="s">
        <v>203</v>
      </c>
      <c r="D363" s="62" t="s">
        <v>699</v>
      </c>
      <c r="E363" s="11" t="s">
        <v>9</v>
      </c>
    </row>
    <row r="364">
      <c r="A364" s="48">
        <v>0.9986111111111111</v>
      </c>
      <c r="B364" s="62" t="s">
        <v>595</v>
      </c>
      <c r="C364" s="45" t="s">
        <v>155</v>
      </c>
      <c r="D364" s="62" t="s">
        <v>592</v>
      </c>
      <c r="E364" s="11" t="s">
        <v>13</v>
      </c>
    </row>
    <row r="365">
      <c r="A365" s="48">
        <v>0.009027777777777777</v>
      </c>
      <c r="B365" s="62" t="s">
        <v>699</v>
      </c>
      <c r="C365" s="45" t="s">
        <v>158</v>
      </c>
      <c r="D365" s="62" t="s">
        <v>595</v>
      </c>
      <c r="E365" s="11" t="s">
        <v>9</v>
      </c>
    </row>
    <row r="366">
      <c r="A366" s="48">
        <v>0.009027777777777777</v>
      </c>
      <c r="B366" s="62" t="s">
        <v>897</v>
      </c>
      <c r="C366" s="45" t="s">
        <v>7</v>
      </c>
      <c r="D366" s="62" t="s">
        <v>981</v>
      </c>
      <c r="E366" s="11" t="s">
        <v>13</v>
      </c>
    </row>
    <row r="367">
      <c r="A367" s="48">
        <v>0.019444444444444445</v>
      </c>
      <c r="B367" s="62" t="s">
        <v>699</v>
      </c>
      <c r="C367" s="45" t="s">
        <v>219</v>
      </c>
      <c r="D367" s="62" t="s">
        <v>981</v>
      </c>
      <c r="E367" s="11" t="s">
        <v>9</v>
      </c>
    </row>
    <row r="368">
      <c r="A368" s="48">
        <v>0.019444444444444445</v>
      </c>
      <c r="B368" s="62" t="s">
        <v>897</v>
      </c>
      <c r="C368" s="45" t="s">
        <v>173</v>
      </c>
      <c r="D368" s="62" t="s">
        <v>592</v>
      </c>
      <c r="E368" s="11" t="s">
        <v>13</v>
      </c>
    </row>
    <row r="369">
      <c r="A369" s="48">
        <v>0.029166666666666667</v>
      </c>
      <c r="B369" s="62" t="s">
        <v>981</v>
      </c>
      <c r="C369" s="45" t="s">
        <v>173</v>
      </c>
      <c r="D369" s="62" t="s">
        <v>592</v>
      </c>
      <c r="E369" s="11" t="s">
        <v>9</v>
      </c>
    </row>
    <row r="370">
      <c r="A370" s="48">
        <v>0.029166666666666667</v>
      </c>
      <c r="B370" s="62" t="s">
        <v>595</v>
      </c>
      <c r="C370" s="45" t="s">
        <v>158</v>
      </c>
      <c r="D370" s="62" t="s">
        <v>897</v>
      </c>
      <c r="E370" s="11" t="s">
        <v>13</v>
      </c>
    </row>
    <row r="371">
      <c r="A371" s="48">
        <v>0.03958333333333333</v>
      </c>
      <c r="B371" s="62" t="s">
        <v>699</v>
      </c>
      <c r="C371" s="45" t="s">
        <v>545</v>
      </c>
      <c r="D371" s="62" t="s">
        <v>592</v>
      </c>
      <c r="E371" s="11" t="s">
        <v>9</v>
      </c>
    </row>
    <row r="372">
      <c r="A372" s="48">
        <v>0.03958333333333333</v>
      </c>
      <c r="B372" s="62" t="s">
        <v>981</v>
      </c>
      <c r="C372" s="45" t="s">
        <v>158</v>
      </c>
      <c r="D372" s="62" t="s">
        <v>595</v>
      </c>
      <c r="E372" s="11" t="s">
        <v>13</v>
      </c>
    </row>
    <row r="373">
      <c r="A373" s="48">
        <v>0.05</v>
      </c>
      <c r="B373" s="62" t="s">
        <v>699</v>
      </c>
      <c r="C373" s="45" t="s">
        <v>1123</v>
      </c>
      <c r="D373" s="62" t="s">
        <v>897</v>
      </c>
      <c r="E373" s="11" t="s">
        <v>9</v>
      </c>
    </row>
    <row r="374">
      <c r="A374" s="48">
        <v>0.05</v>
      </c>
      <c r="B374" s="62" t="s">
        <v>592</v>
      </c>
      <c r="C374" s="45" t="s">
        <v>245</v>
      </c>
      <c r="D374" s="62" t="s">
        <v>595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1124</v>
      </c>
      <c r="C377" s="45" t="s">
        <v>7</v>
      </c>
      <c r="D377" s="62" t="s">
        <v>704</v>
      </c>
      <c r="E377" s="11" t="s">
        <v>29</v>
      </c>
    </row>
    <row r="378">
      <c r="A378" s="48">
        <v>0.9583333333333334</v>
      </c>
      <c r="B378" s="62" t="s">
        <v>808</v>
      </c>
      <c r="C378" s="45" t="s">
        <v>185</v>
      </c>
      <c r="D378" s="62" t="s">
        <v>985</v>
      </c>
      <c r="E378" s="11" t="s">
        <v>33</v>
      </c>
    </row>
    <row r="379">
      <c r="A379" s="48">
        <v>0.9680555555555556</v>
      </c>
      <c r="B379" s="62" t="s">
        <v>808</v>
      </c>
      <c r="C379" s="45" t="s">
        <v>229</v>
      </c>
      <c r="D379" s="62" t="s">
        <v>704</v>
      </c>
      <c r="E379" s="11" t="s">
        <v>29</v>
      </c>
    </row>
    <row r="380">
      <c r="A380" s="48">
        <v>0.9680555555555556</v>
      </c>
      <c r="B380" s="62" t="s">
        <v>1125</v>
      </c>
      <c r="C380" s="45" t="s">
        <v>267</v>
      </c>
      <c r="D380" s="62" t="s">
        <v>985</v>
      </c>
      <c r="E380" s="11" t="s">
        <v>33</v>
      </c>
    </row>
    <row r="381">
      <c r="A381" s="48">
        <v>0.9784722222222222</v>
      </c>
      <c r="B381" s="62" t="s">
        <v>1125</v>
      </c>
      <c r="C381" s="45" t="s">
        <v>17</v>
      </c>
      <c r="D381" s="62" t="s">
        <v>808</v>
      </c>
      <c r="E381" s="11" t="s">
        <v>29</v>
      </c>
    </row>
    <row r="382">
      <c r="A382" s="48">
        <v>0.9784722222222222</v>
      </c>
      <c r="B382" s="62" t="s">
        <v>985</v>
      </c>
      <c r="C382" s="45" t="s">
        <v>315</v>
      </c>
      <c r="D382" s="62" t="s">
        <v>1124</v>
      </c>
      <c r="E382" s="11" t="s">
        <v>33</v>
      </c>
    </row>
    <row r="383">
      <c r="A383" s="48">
        <v>0.9888888888888889</v>
      </c>
      <c r="B383" s="62" t="s">
        <v>1125</v>
      </c>
      <c r="C383" s="45" t="s">
        <v>22</v>
      </c>
      <c r="D383" s="62" t="s">
        <v>704</v>
      </c>
      <c r="E383" s="11" t="s">
        <v>29</v>
      </c>
    </row>
    <row r="384">
      <c r="A384" s="48">
        <v>0.9888888888888889</v>
      </c>
      <c r="B384" s="62" t="s">
        <v>1124</v>
      </c>
      <c r="C384" s="45" t="s">
        <v>164</v>
      </c>
      <c r="D384" s="62" t="s">
        <v>808</v>
      </c>
      <c r="E384" s="11" t="s">
        <v>33</v>
      </c>
    </row>
    <row r="385">
      <c r="A385" s="48">
        <v>0.9986111111111111</v>
      </c>
      <c r="B385" s="62" t="s">
        <v>985</v>
      </c>
      <c r="C385" s="45" t="s">
        <v>381</v>
      </c>
      <c r="D385" s="62" t="s">
        <v>704</v>
      </c>
      <c r="E385" s="11" t="s">
        <v>29</v>
      </c>
    </row>
    <row r="386">
      <c r="A386" s="48">
        <v>0.9986111111111111</v>
      </c>
      <c r="B386" s="62" t="s">
        <v>1124</v>
      </c>
      <c r="C386" s="45" t="s">
        <v>302</v>
      </c>
      <c r="D386" s="62" t="s">
        <v>1125</v>
      </c>
      <c r="E386" s="11" t="s">
        <v>33</v>
      </c>
    </row>
    <row r="387">
      <c r="A387" s="48">
        <v>0.009027777777777777</v>
      </c>
      <c r="B387" s="62" t="s">
        <v>704</v>
      </c>
      <c r="C387" s="45" t="s">
        <v>750</v>
      </c>
      <c r="D387" s="62" t="s">
        <v>1124</v>
      </c>
      <c r="E387" s="11" t="s">
        <v>29</v>
      </c>
    </row>
    <row r="388">
      <c r="A388" s="48">
        <v>0.009027777777777777</v>
      </c>
      <c r="B388" s="62" t="s">
        <v>985</v>
      </c>
      <c r="C388" s="45" t="s">
        <v>357</v>
      </c>
      <c r="D388" s="62" t="s">
        <v>808</v>
      </c>
      <c r="E388" s="11" t="s">
        <v>33</v>
      </c>
    </row>
    <row r="389">
      <c r="A389" s="48">
        <v>0.019444444444444445</v>
      </c>
      <c r="B389" s="62" t="s">
        <v>704</v>
      </c>
      <c r="C389" s="45" t="s">
        <v>248</v>
      </c>
      <c r="D389" s="62" t="s">
        <v>808</v>
      </c>
      <c r="E389" s="11" t="s">
        <v>29</v>
      </c>
    </row>
    <row r="390">
      <c r="A390" s="48">
        <v>0.019444444444444445</v>
      </c>
      <c r="B390" s="62" t="s">
        <v>985</v>
      </c>
      <c r="C390" s="45" t="s">
        <v>155</v>
      </c>
      <c r="D390" s="62" t="s">
        <v>1125</v>
      </c>
      <c r="E390" s="11" t="s">
        <v>33</v>
      </c>
    </row>
    <row r="391">
      <c r="A391" s="48">
        <v>0.029166666666666667</v>
      </c>
      <c r="B391" s="62" t="s">
        <v>808</v>
      </c>
      <c r="C391" s="45" t="s">
        <v>43</v>
      </c>
      <c r="D391" s="62" t="s">
        <v>1125</v>
      </c>
      <c r="E391" s="11" t="s">
        <v>29</v>
      </c>
    </row>
    <row r="392">
      <c r="A392" s="48">
        <v>0.029166666666666667</v>
      </c>
      <c r="B392" s="62" t="s">
        <v>1124</v>
      </c>
      <c r="C392" s="45" t="s">
        <v>327</v>
      </c>
      <c r="D392" s="62" t="s">
        <v>985</v>
      </c>
      <c r="E392" s="11" t="s">
        <v>33</v>
      </c>
    </row>
    <row r="393">
      <c r="A393" s="48">
        <v>0.03958333333333333</v>
      </c>
      <c r="B393" s="62" t="s">
        <v>704</v>
      </c>
      <c r="C393" s="45" t="s">
        <v>477</v>
      </c>
      <c r="D393" s="62" t="s">
        <v>1125</v>
      </c>
      <c r="E393" s="11" t="s">
        <v>29</v>
      </c>
    </row>
    <row r="394">
      <c r="A394" s="48">
        <v>0.03958333333333333</v>
      </c>
      <c r="B394" s="62" t="s">
        <v>808</v>
      </c>
      <c r="C394" s="45" t="s">
        <v>171</v>
      </c>
      <c r="D394" s="62" t="s">
        <v>1124</v>
      </c>
      <c r="E394" s="11" t="s">
        <v>33</v>
      </c>
    </row>
    <row r="395">
      <c r="A395" s="48">
        <v>0.05</v>
      </c>
      <c r="B395" s="62" t="s">
        <v>704</v>
      </c>
      <c r="C395" s="45" t="s">
        <v>225</v>
      </c>
      <c r="D395" s="62" t="s">
        <v>985</v>
      </c>
      <c r="E395" s="11" t="s">
        <v>29</v>
      </c>
    </row>
    <row r="396">
      <c r="A396" s="48">
        <v>0.05</v>
      </c>
      <c r="B396" s="62" t="s">
        <v>1125</v>
      </c>
      <c r="C396" s="45" t="s">
        <v>23</v>
      </c>
      <c r="D396" s="62" t="s">
        <v>1124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53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48">
        <v>0.0625</v>
      </c>
      <c r="B3" s="61" t="s">
        <v>1126</v>
      </c>
      <c r="C3" s="57" t="s">
        <v>632</v>
      </c>
      <c r="D3" s="62" t="s">
        <v>134</v>
      </c>
      <c r="E3" s="11" t="s">
        <v>9</v>
      </c>
    </row>
    <row r="4">
      <c r="A4" s="48">
        <v>0.0625</v>
      </c>
      <c r="B4" s="61" t="s">
        <v>359</v>
      </c>
      <c r="C4" s="57" t="s">
        <v>158</v>
      </c>
      <c r="D4" s="61" t="s">
        <v>1127</v>
      </c>
      <c r="E4" s="11" t="s">
        <v>13</v>
      </c>
    </row>
    <row r="5">
      <c r="A5" s="48">
        <v>0.07222222222222222</v>
      </c>
      <c r="B5" s="62" t="s">
        <v>359</v>
      </c>
      <c r="C5" s="57" t="s">
        <v>334</v>
      </c>
      <c r="D5" s="61" t="s">
        <v>134</v>
      </c>
      <c r="E5" s="11" t="s">
        <v>9</v>
      </c>
    </row>
    <row r="6">
      <c r="A6" s="48">
        <v>0.07222222222222222</v>
      </c>
      <c r="B6" s="61" t="s">
        <v>1128</v>
      </c>
      <c r="C6" s="57" t="s">
        <v>181</v>
      </c>
      <c r="D6" s="62" t="s">
        <v>1127</v>
      </c>
      <c r="E6" s="11" t="s">
        <v>13</v>
      </c>
    </row>
    <row r="7">
      <c r="A7" s="48">
        <v>0.08263888888888889</v>
      </c>
      <c r="B7" s="62" t="s">
        <v>1128</v>
      </c>
      <c r="C7" s="57" t="s">
        <v>166</v>
      </c>
      <c r="D7" s="61" t="s">
        <v>359</v>
      </c>
      <c r="E7" s="11" t="s">
        <v>9</v>
      </c>
    </row>
    <row r="8">
      <c r="A8" s="48">
        <v>0.08263888888888889</v>
      </c>
      <c r="B8" s="61" t="s">
        <v>1127</v>
      </c>
      <c r="C8" s="57" t="s">
        <v>24</v>
      </c>
      <c r="D8" s="70" t="s">
        <v>1126</v>
      </c>
      <c r="E8" s="11" t="s">
        <v>13</v>
      </c>
    </row>
    <row r="9">
      <c r="A9" s="48">
        <v>0.09305555555555556</v>
      </c>
      <c r="B9" s="62" t="s">
        <v>1128</v>
      </c>
      <c r="C9" s="57" t="s">
        <v>18</v>
      </c>
      <c r="D9" s="62" t="s">
        <v>134</v>
      </c>
      <c r="E9" s="11" t="s">
        <v>9</v>
      </c>
    </row>
    <row r="10">
      <c r="A10" s="48">
        <v>0.09305555555555556</v>
      </c>
      <c r="B10" s="61" t="s">
        <v>1126</v>
      </c>
      <c r="C10" s="57" t="s">
        <v>23</v>
      </c>
      <c r="D10" s="61" t="s">
        <v>359</v>
      </c>
      <c r="E10" s="11" t="s">
        <v>13</v>
      </c>
    </row>
    <row r="11">
      <c r="A11" s="48">
        <v>0.10277777777777777</v>
      </c>
      <c r="B11" s="62" t="s">
        <v>1127</v>
      </c>
      <c r="C11" s="57" t="s">
        <v>220</v>
      </c>
      <c r="D11" s="61" t="s">
        <v>134</v>
      </c>
      <c r="E11" s="11" t="s">
        <v>9</v>
      </c>
    </row>
    <row r="12">
      <c r="A12" s="48">
        <v>0.10277777777777777</v>
      </c>
      <c r="B12" s="61" t="s">
        <v>1126</v>
      </c>
      <c r="C12" s="57" t="s">
        <v>182</v>
      </c>
      <c r="D12" s="62" t="s">
        <v>1128</v>
      </c>
      <c r="E12" s="11" t="s">
        <v>13</v>
      </c>
    </row>
    <row r="13">
      <c r="A13" s="48">
        <v>0.11319444444444444</v>
      </c>
      <c r="B13" s="62" t="s">
        <v>134</v>
      </c>
      <c r="C13" s="57" t="s">
        <v>173</v>
      </c>
      <c r="D13" s="61" t="s">
        <v>1126</v>
      </c>
      <c r="E13" s="11" t="s">
        <v>9</v>
      </c>
    </row>
    <row r="14">
      <c r="A14" s="48">
        <v>0.11319444444444444</v>
      </c>
      <c r="B14" s="61" t="s">
        <v>1127</v>
      </c>
      <c r="C14" s="57" t="s">
        <v>7</v>
      </c>
      <c r="D14" s="61" t="s">
        <v>359</v>
      </c>
      <c r="E14" s="11" t="s">
        <v>13</v>
      </c>
    </row>
    <row r="15">
      <c r="A15" s="48">
        <v>0.12361111111111112</v>
      </c>
      <c r="B15" s="61" t="s">
        <v>134</v>
      </c>
      <c r="C15" s="45" t="s">
        <v>344</v>
      </c>
      <c r="D15" s="62" t="s">
        <v>359</v>
      </c>
      <c r="E15" s="11" t="s">
        <v>9</v>
      </c>
    </row>
    <row r="16">
      <c r="A16" s="48">
        <v>0.12361111111111112</v>
      </c>
      <c r="B16" s="62" t="s">
        <v>1127</v>
      </c>
      <c r="C16" s="45" t="s">
        <v>181</v>
      </c>
      <c r="D16" s="61" t="s">
        <v>1128</v>
      </c>
      <c r="E16" s="11" t="s">
        <v>13</v>
      </c>
    </row>
    <row r="17">
      <c r="A17" s="48">
        <v>0.13333333333333333</v>
      </c>
      <c r="B17" s="61" t="s">
        <v>359</v>
      </c>
      <c r="C17" s="45" t="s">
        <v>534</v>
      </c>
      <c r="D17" s="62" t="s">
        <v>1128</v>
      </c>
      <c r="E17" s="11" t="s">
        <v>9</v>
      </c>
    </row>
    <row r="18">
      <c r="A18" s="48">
        <v>0.13333333333333333</v>
      </c>
      <c r="B18" s="61" t="s">
        <v>1126</v>
      </c>
      <c r="C18" s="45" t="s">
        <v>366</v>
      </c>
      <c r="D18" s="61" t="s">
        <v>1127</v>
      </c>
      <c r="E18" s="11" t="s">
        <v>13</v>
      </c>
    </row>
    <row r="19">
      <c r="A19" s="48">
        <v>0.14375</v>
      </c>
      <c r="B19" s="62" t="s">
        <v>134</v>
      </c>
      <c r="C19" s="45" t="s">
        <v>351</v>
      </c>
      <c r="D19" s="62" t="s">
        <v>1128</v>
      </c>
      <c r="E19" s="11" t="s">
        <v>9</v>
      </c>
    </row>
    <row r="20">
      <c r="A20" s="48">
        <v>0.14375</v>
      </c>
      <c r="B20" s="61" t="s">
        <v>359</v>
      </c>
      <c r="C20" s="45" t="s">
        <v>20</v>
      </c>
      <c r="D20" s="61" t="s">
        <v>1126</v>
      </c>
      <c r="E20" s="11" t="s">
        <v>13</v>
      </c>
    </row>
    <row r="21">
      <c r="A21" s="48">
        <v>0.15416666666666667</v>
      </c>
      <c r="B21" s="61" t="s">
        <v>134</v>
      </c>
      <c r="C21" s="45" t="s">
        <v>209</v>
      </c>
      <c r="D21" s="62" t="s">
        <v>1127</v>
      </c>
      <c r="E21" s="11" t="s">
        <v>9</v>
      </c>
    </row>
    <row r="22">
      <c r="A22" s="48">
        <v>0.15416666666666667</v>
      </c>
      <c r="B22" s="62" t="s">
        <v>1128</v>
      </c>
      <c r="C22" s="45" t="s">
        <v>323</v>
      </c>
      <c r="D22" s="61" t="s">
        <v>1126</v>
      </c>
      <c r="E22" s="11" t="s">
        <v>13</v>
      </c>
    </row>
    <row r="23">
      <c r="A23" s="51"/>
      <c r="B23" s="1" t="s">
        <v>25</v>
      </c>
      <c r="C23" s="2"/>
      <c r="D23" s="3"/>
      <c r="E23" s="73"/>
    </row>
    <row r="24">
      <c r="A24" s="4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48">
        <v>0.0625</v>
      </c>
      <c r="B25" s="61" t="s">
        <v>1129</v>
      </c>
      <c r="C25" s="57" t="s">
        <v>194</v>
      </c>
      <c r="D25" s="61" t="s">
        <v>169</v>
      </c>
      <c r="E25" s="11" t="s">
        <v>29</v>
      </c>
    </row>
    <row r="26">
      <c r="A26" s="48">
        <v>0.0625</v>
      </c>
      <c r="B26" s="61" t="s">
        <v>1130</v>
      </c>
      <c r="C26" s="57" t="s">
        <v>220</v>
      </c>
      <c r="D26" s="61" t="s">
        <v>814</v>
      </c>
      <c r="E26" s="11" t="s">
        <v>33</v>
      </c>
    </row>
    <row r="27">
      <c r="A27" s="48">
        <v>0.07222222222222222</v>
      </c>
      <c r="B27" s="62" t="s">
        <v>1130</v>
      </c>
      <c r="C27" s="57" t="s">
        <v>362</v>
      </c>
      <c r="D27" s="62" t="s">
        <v>169</v>
      </c>
      <c r="E27" s="11" t="s">
        <v>29</v>
      </c>
    </row>
    <row r="28">
      <c r="A28" s="48">
        <v>0.07222222222222222</v>
      </c>
      <c r="B28" s="61" t="s">
        <v>1131</v>
      </c>
      <c r="C28" s="57" t="s">
        <v>18</v>
      </c>
      <c r="D28" s="61" t="s">
        <v>814</v>
      </c>
      <c r="E28" s="11" t="s">
        <v>33</v>
      </c>
    </row>
    <row r="29">
      <c r="A29" s="48">
        <v>0.08263888888888889</v>
      </c>
      <c r="B29" s="62" t="s">
        <v>1131</v>
      </c>
      <c r="C29" s="57" t="s">
        <v>43</v>
      </c>
      <c r="D29" s="61" t="s">
        <v>1130</v>
      </c>
      <c r="E29" s="11" t="s">
        <v>29</v>
      </c>
    </row>
    <row r="30">
      <c r="A30" s="48">
        <v>0.08263888888888889</v>
      </c>
      <c r="B30" s="61" t="s">
        <v>814</v>
      </c>
      <c r="C30" s="57" t="s">
        <v>17</v>
      </c>
      <c r="D30" s="61" t="s">
        <v>1129</v>
      </c>
      <c r="E30" s="11" t="s">
        <v>33</v>
      </c>
    </row>
    <row r="31">
      <c r="A31" s="48">
        <v>0.09305555555555556</v>
      </c>
      <c r="B31" s="62" t="s">
        <v>1131</v>
      </c>
      <c r="C31" s="57" t="s">
        <v>185</v>
      </c>
      <c r="D31" s="61" t="s">
        <v>169</v>
      </c>
      <c r="E31" s="11" t="s">
        <v>29</v>
      </c>
    </row>
    <row r="32">
      <c r="A32" s="48">
        <v>0.09305555555555556</v>
      </c>
      <c r="B32" s="61" t="s">
        <v>1129</v>
      </c>
      <c r="C32" s="57" t="s">
        <v>230</v>
      </c>
      <c r="D32" s="62" t="s">
        <v>1130</v>
      </c>
      <c r="E32" s="11" t="s">
        <v>33</v>
      </c>
    </row>
    <row r="33">
      <c r="A33" s="48">
        <v>0.10277777777777777</v>
      </c>
      <c r="B33" s="61" t="s">
        <v>814</v>
      </c>
      <c r="C33" s="57" t="s">
        <v>209</v>
      </c>
      <c r="D33" s="61" t="s">
        <v>169</v>
      </c>
      <c r="E33" s="11" t="s">
        <v>29</v>
      </c>
    </row>
    <row r="34">
      <c r="A34" s="48">
        <v>0.10277777777777777</v>
      </c>
      <c r="B34" s="61" t="s">
        <v>1129</v>
      </c>
      <c r="C34" s="57" t="s">
        <v>194</v>
      </c>
      <c r="D34" s="61" t="s">
        <v>1131</v>
      </c>
      <c r="E34" s="11" t="s">
        <v>33</v>
      </c>
    </row>
    <row r="35">
      <c r="A35" s="48">
        <v>0.11319444444444444</v>
      </c>
      <c r="B35" s="61" t="s">
        <v>169</v>
      </c>
      <c r="C35" s="57" t="s">
        <v>181</v>
      </c>
      <c r="D35" s="61" t="s">
        <v>1129</v>
      </c>
      <c r="E35" s="11" t="s">
        <v>29</v>
      </c>
    </row>
    <row r="36">
      <c r="A36" s="48">
        <v>0.11319444444444444</v>
      </c>
      <c r="B36" s="61" t="s">
        <v>814</v>
      </c>
      <c r="C36" s="57" t="s">
        <v>351</v>
      </c>
      <c r="D36" s="61" t="s">
        <v>1130</v>
      </c>
      <c r="E36" s="11" t="s">
        <v>33</v>
      </c>
    </row>
    <row r="37">
      <c r="A37" s="48">
        <v>0.12361111111111112</v>
      </c>
      <c r="B37" s="62" t="s">
        <v>169</v>
      </c>
      <c r="C37" s="57" t="s">
        <v>279</v>
      </c>
      <c r="D37" s="62" t="s">
        <v>1130</v>
      </c>
      <c r="E37" s="11" t="s">
        <v>29</v>
      </c>
    </row>
    <row r="38">
      <c r="A38" s="48">
        <v>0.12361111111111112</v>
      </c>
      <c r="B38" s="61" t="s">
        <v>814</v>
      </c>
      <c r="C38" s="57" t="s">
        <v>155</v>
      </c>
      <c r="D38" s="61" t="s">
        <v>1131</v>
      </c>
      <c r="E38" s="11" t="s">
        <v>33</v>
      </c>
    </row>
    <row r="39">
      <c r="A39" s="48">
        <v>0.13333333333333333</v>
      </c>
      <c r="B39" s="61" t="s">
        <v>1130</v>
      </c>
      <c r="C39" s="57" t="s">
        <v>688</v>
      </c>
      <c r="D39" s="62" t="s">
        <v>1131</v>
      </c>
      <c r="E39" s="11" t="s">
        <v>29</v>
      </c>
    </row>
    <row r="40">
      <c r="A40" s="48">
        <v>0.13333333333333333</v>
      </c>
      <c r="B40" s="61" t="s">
        <v>1129</v>
      </c>
      <c r="C40" s="57" t="s">
        <v>195</v>
      </c>
      <c r="D40" s="61" t="s">
        <v>814</v>
      </c>
      <c r="E40" s="11" t="s">
        <v>33</v>
      </c>
    </row>
    <row r="41">
      <c r="A41" s="48">
        <v>0.14375</v>
      </c>
      <c r="B41" s="61" t="s">
        <v>169</v>
      </c>
      <c r="C41" s="57" t="s">
        <v>394</v>
      </c>
      <c r="D41" s="62" t="s">
        <v>1131</v>
      </c>
      <c r="E41" s="11" t="s">
        <v>29</v>
      </c>
    </row>
    <row r="42">
      <c r="A42" s="48">
        <v>0.14375</v>
      </c>
      <c r="B42" s="62" t="s">
        <v>1130</v>
      </c>
      <c r="C42" s="57" t="s">
        <v>209</v>
      </c>
      <c r="D42" s="61" t="s">
        <v>1129</v>
      </c>
      <c r="E42" s="11" t="s">
        <v>33</v>
      </c>
    </row>
    <row r="43">
      <c r="A43" s="48">
        <v>0.15416666666666667</v>
      </c>
      <c r="B43" s="61" t="s">
        <v>169</v>
      </c>
      <c r="C43" s="57" t="s">
        <v>36</v>
      </c>
      <c r="D43" s="61" t="s">
        <v>814</v>
      </c>
      <c r="E43" s="11" t="s">
        <v>29</v>
      </c>
    </row>
    <row r="44">
      <c r="A44" s="48">
        <v>0.15416666666666667</v>
      </c>
      <c r="B44" s="61" t="s">
        <v>1131</v>
      </c>
      <c r="C44" s="57" t="s">
        <v>220</v>
      </c>
      <c r="D44" s="61" t="s">
        <v>1129</v>
      </c>
      <c r="E44" s="11" t="s">
        <v>33</v>
      </c>
    </row>
    <row r="45">
      <c r="A45" s="51"/>
      <c r="B45" s="1" t="s">
        <v>45</v>
      </c>
      <c r="C45" s="2"/>
      <c r="D45" s="3"/>
      <c r="E45" s="18"/>
    </row>
    <row r="46">
      <c r="A46" s="47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48">
        <v>0.16666666666666666</v>
      </c>
      <c r="B47" s="61" t="s">
        <v>1132</v>
      </c>
      <c r="C47" s="45" t="s">
        <v>17</v>
      </c>
      <c r="D47" s="61" t="s">
        <v>1133</v>
      </c>
      <c r="E47" s="11" t="s">
        <v>9</v>
      </c>
    </row>
    <row r="48">
      <c r="A48" s="48">
        <v>0.16666666666666666</v>
      </c>
      <c r="B48" s="61" t="s">
        <v>981</v>
      </c>
      <c r="C48" s="45" t="s">
        <v>185</v>
      </c>
      <c r="D48" s="61" t="s">
        <v>1134</v>
      </c>
      <c r="E48" s="11" t="s">
        <v>13</v>
      </c>
    </row>
    <row r="49">
      <c r="A49" s="48">
        <v>0.1763888888888889</v>
      </c>
      <c r="B49" s="61" t="s">
        <v>981</v>
      </c>
      <c r="C49" s="45" t="s">
        <v>155</v>
      </c>
      <c r="D49" s="61" t="s">
        <v>1133</v>
      </c>
      <c r="E49" s="11" t="s">
        <v>9</v>
      </c>
    </row>
    <row r="50">
      <c r="A50" s="48">
        <v>0.1763888888888889</v>
      </c>
      <c r="B50" s="61" t="s">
        <v>1135</v>
      </c>
      <c r="C50" s="45" t="s">
        <v>195</v>
      </c>
      <c r="D50" s="61" t="s">
        <v>1134</v>
      </c>
      <c r="E50" s="11" t="s">
        <v>13</v>
      </c>
    </row>
    <row r="51">
      <c r="A51" s="48">
        <v>0.18680555555555556</v>
      </c>
      <c r="B51" s="61" t="s">
        <v>1135</v>
      </c>
      <c r="C51" s="45" t="s">
        <v>164</v>
      </c>
      <c r="D51" s="61" t="s">
        <v>981</v>
      </c>
      <c r="E51" s="11" t="s">
        <v>9</v>
      </c>
    </row>
    <row r="52">
      <c r="A52" s="48">
        <v>0.18680555555555556</v>
      </c>
      <c r="B52" s="61" t="s">
        <v>1134</v>
      </c>
      <c r="C52" s="45" t="s">
        <v>17</v>
      </c>
      <c r="D52" s="61" t="s">
        <v>1132</v>
      </c>
      <c r="E52" s="11" t="s">
        <v>13</v>
      </c>
    </row>
    <row r="53">
      <c r="A53" s="48">
        <v>0.19722222222222222</v>
      </c>
      <c r="B53" s="61" t="s">
        <v>1135</v>
      </c>
      <c r="C53" s="45" t="s">
        <v>43</v>
      </c>
      <c r="D53" s="61" t="s">
        <v>1133</v>
      </c>
      <c r="E53" s="11" t="s">
        <v>9</v>
      </c>
    </row>
    <row r="54">
      <c r="A54" s="48">
        <v>0.19722222222222222</v>
      </c>
      <c r="B54" s="61" t="s">
        <v>1132</v>
      </c>
      <c r="C54" s="45" t="s">
        <v>19</v>
      </c>
      <c r="D54" s="61" t="s">
        <v>981</v>
      </c>
      <c r="E54" s="11" t="s">
        <v>13</v>
      </c>
    </row>
    <row r="55">
      <c r="A55" s="48">
        <v>0.20694444444444443</v>
      </c>
      <c r="B55" s="61" t="s">
        <v>1134</v>
      </c>
      <c r="C55" s="45" t="s">
        <v>16</v>
      </c>
      <c r="D55" s="61" t="s">
        <v>1133</v>
      </c>
      <c r="E55" s="11" t="s">
        <v>9</v>
      </c>
    </row>
    <row r="56">
      <c r="A56" s="48">
        <v>0.20694444444444443</v>
      </c>
      <c r="B56" s="61" t="s">
        <v>1132</v>
      </c>
      <c r="C56" s="45" t="s">
        <v>352</v>
      </c>
      <c r="D56" s="61" t="s">
        <v>1135</v>
      </c>
      <c r="E56" s="11" t="s">
        <v>13</v>
      </c>
    </row>
    <row r="57">
      <c r="A57" s="48">
        <v>0.21736111111111112</v>
      </c>
      <c r="B57" s="61" t="s">
        <v>1133</v>
      </c>
      <c r="C57" s="45" t="s">
        <v>248</v>
      </c>
      <c r="D57" s="61" t="s">
        <v>1132</v>
      </c>
      <c r="E57" s="11" t="s">
        <v>9</v>
      </c>
    </row>
    <row r="58">
      <c r="A58" s="48">
        <v>0.21736111111111112</v>
      </c>
      <c r="B58" s="61" t="s">
        <v>1134</v>
      </c>
      <c r="C58" s="45" t="s">
        <v>525</v>
      </c>
      <c r="D58" s="61" t="s">
        <v>981</v>
      </c>
      <c r="E58" s="11" t="s">
        <v>13</v>
      </c>
    </row>
    <row r="59">
      <c r="A59" s="48">
        <v>0.22777777777777777</v>
      </c>
      <c r="B59" s="61" t="s">
        <v>1133</v>
      </c>
      <c r="C59" s="45" t="s">
        <v>16</v>
      </c>
      <c r="D59" s="61" t="s">
        <v>981</v>
      </c>
      <c r="E59" s="11" t="s">
        <v>9</v>
      </c>
    </row>
    <row r="60">
      <c r="A60" s="48">
        <v>0.22777777777777777</v>
      </c>
      <c r="B60" s="61" t="s">
        <v>1134</v>
      </c>
      <c r="C60" s="45" t="s">
        <v>27</v>
      </c>
      <c r="D60" s="61" t="s">
        <v>1135</v>
      </c>
      <c r="E60" s="11" t="s">
        <v>13</v>
      </c>
    </row>
    <row r="61">
      <c r="A61" s="48">
        <v>0.2375</v>
      </c>
      <c r="B61" s="61" t="s">
        <v>981</v>
      </c>
      <c r="C61" s="45" t="s">
        <v>195</v>
      </c>
      <c r="D61" s="61" t="s">
        <v>1135</v>
      </c>
      <c r="E61" s="11" t="s">
        <v>9</v>
      </c>
    </row>
    <row r="62">
      <c r="A62" s="48">
        <v>0.2375</v>
      </c>
      <c r="B62" s="61" t="s">
        <v>1132</v>
      </c>
      <c r="C62" s="45" t="s">
        <v>380</v>
      </c>
      <c r="D62" s="61" t="s">
        <v>1134</v>
      </c>
      <c r="E62" s="11" t="s">
        <v>13</v>
      </c>
    </row>
    <row r="63">
      <c r="A63" s="48">
        <v>0.24791666666666667</v>
      </c>
      <c r="B63" s="61" t="s">
        <v>1133</v>
      </c>
      <c r="C63" s="45" t="s">
        <v>351</v>
      </c>
      <c r="D63" s="61" t="s">
        <v>1135</v>
      </c>
      <c r="E63" s="11" t="s">
        <v>9</v>
      </c>
    </row>
    <row r="64">
      <c r="A64" s="48">
        <v>0.24791666666666667</v>
      </c>
      <c r="B64" s="61" t="s">
        <v>981</v>
      </c>
      <c r="C64" s="45" t="s">
        <v>302</v>
      </c>
      <c r="D64" s="61" t="s">
        <v>1132</v>
      </c>
      <c r="E64" s="11" t="s">
        <v>13</v>
      </c>
    </row>
    <row r="65">
      <c r="A65" s="48">
        <v>0.25833333333333336</v>
      </c>
      <c r="B65" s="61" t="s">
        <v>1133</v>
      </c>
      <c r="C65" s="45" t="s">
        <v>351</v>
      </c>
      <c r="D65" s="61" t="s">
        <v>1134</v>
      </c>
      <c r="E65" s="11" t="s">
        <v>9</v>
      </c>
    </row>
    <row r="66">
      <c r="A66" s="48">
        <v>0.25833333333333336</v>
      </c>
      <c r="B66" s="61" t="s">
        <v>1135</v>
      </c>
      <c r="C66" s="45" t="s">
        <v>303</v>
      </c>
      <c r="D66" s="61" t="s">
        <v>1132</v>
      </c>
      <c r="E66" s="11" t="s">
        <v>13</v>
      </c>
    </row>
    <row r="67">
      <c r="A67" s="51"/>
      <c r="B67" s="1" t="s">
        <v>45</v>
      </c>
      <c r="C67" s="2"/>
      <c r="D67" s="3"/>
      <c r="E67" s="4"/>
    </row>
    <row r="68">
      <c r="A68" s="47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48">
        <v>0.16666666666666666</v>
      </c>
      <c r="B69" s="61" t="s">
        <v>1136</v>
      </c>
      <c r="C69" s="57" t="s">
        <v>17</v>
      </c>
      <c r="D69" s="61" t="s">
        <v>1137</v>
      </c>
      <c r="E69" s="11" t="s">
        <v>29</v>
      </c>
    </row>
    <row r="70">
      <c r="A70" s="48">
        <v>0.16666666666666666</v>
      </c>
      <c r="B70" s="61" t="s">
        <v>1138</v>
      </c>
      <c r="C70" s="57" t="s">
        <v>41</v>
      </c>
      <c r="D70" s="61" t="s">
        <v>1139</v>
      </c>
      <c r="E70" s="11" t="s">
        <v>33</v>
      </c>
    </row>
    <row r="71">
      <c r="A71" s="48">
        <v>0.1763888888888889</v>
      </c>
      <c r="B71" s="61" t="s">
        <v>1138</v>
      </c>
      <c r="C71" s="57" t="s">
        <v>248</v>
      </c>
      <c r="D71" s="61" t="s">
        <v>1137</v>
      </c>
      <c r="E71" s="11" t="s">
        <v>29</v>
      </c>
    </row>
    <row r="72">
      <c r="A72" s="48">
        <v>0.1763888888888889</v>
      </c>
      <c r="B72" s="61" t="s">
        <v>1140</v>
      </c>
      <c r="C72" s="57" t="s">
        <v>164</v>
      </c>
      <c r="D72" s="61" t="s">
        <v>1139</v>
      </c>
      <c r="E72" s="11" t="s">
        <v>33</v>
      </c>
    </row>
    <row r="73">
      <c r="A73" s="48">
        <v>0.18680555555555556</v>
      </c>
      <c r="B73" s="61" t="s">
        <v>1140</v>
      </c>
      <c r="C73" s="57" t="s">
        <v>20</v>
      </c>
      <c r="D73" s="61" t="s">
        <v>1138</v>
      </c>
      <c r="E73" s="11" t="s">
        <v>29</v>
      </c>
    </row>
    <row r="74">
      <c r="A74" s="48">
        <v>0.18680555555555556</v>
      </c>
      <c r="B74" s="61" t="s">
        <v>1139</v>
      </c>
      <c r="C74" s="57" t="s">
        <v>17</v>
      </c>
      <c r="D74" s="61" t="s">
        <v>1136</v>
      </c>
      <c r="E74" s="11" t="s">
        <v>33</v>
      </c>
    </row>
    <row r="75">
      <c r="A75" s="48">
        <v>0.19722222222222222</v>
      </c>
      <c r="B75" s="61" t="s">
        <v>1140</v>
      </c>
      <c r="C75" s="57" t="s">
        <v>271</v>
      </c>
      <c r="D75" s="61" t="s">
        <v>1137</v>
      </c>
      <c r="E75" s="11" t="s">
        <v>29</v>
      </c>
    </row>
    <row r="76">
      <c r="A76" s="48">
        <v>0.19722222222222222</v>
      </c>
      <c r="B76" s="61" t="s">
        <v>1136</v>
      </c>
      <c r="C76" s="57" t="s">
        <v>279</v>
      </c>
      <c r="D76" s="61" t="s">
        <v>1138</v>
      </c>
      <c r="E76" s="11" t="s">
        <v>33</v>
      </c>
    </row>
    <row r="77">
      <c r="A77" s="48">
        <v>0.20694444444444443</v>
      </c>
      <c r="B77" s="61" t="s">
        <v>1139</v>
      </c>
      <c r="C77" s="57" t="s">
        <v>16</v>
      </c>
      <c r="D77" s="61" t="s">
        <v>1137</v>
      </c>
      <c r="E77" s="11" t="s">
        <v>29</v>
      </c>
    </row>
    <row r="78">
      <c r="A78" s="48">
        <v>0.20694444444444443</v>
      </c>
      <c r="B78" s="61" t="s">
        <v>1136</v>
      </c>
      <c r="C78" s="57" t="s">
        <v>251</v>
      </c>
      <c r="D78" s="61" t="s">
        <v>1140</v>
      </c>
      <c r="E78" s="11" t="s">
        <v>33</v>
      </c>
    </row>
    <row r="79">
      <c r="A79" s="48">
        <v>0.21736111111111112</v>
      </c>
      <c r="B79" s="61" t="s">
        <v>1137</v>
      </c>
      <c r="C79" s="57" t="s">
        <v>232</v>
      </c>
      <c r="D79" s="61" t="s">
        <v>1136</v>
      </c>
      <c r="E79" s="11" t="s">
        <v>29</v>
      </c>
    </row>
    <row r="80">
      <c r="A80" s="48">
        <v>0.21736111111111112</v>
      </c>
      <c r="B80" s="61" t="s">
        <v>1139</v>
      </c>
      <c r="C80" s="57" t="s">
        <v>573</v>
      </c>
      <c r="D80" s="61" t="s">
        <v>1138</v>
      </c>
      <c r="E80" s="11" t="s">
        <v>33</v>
      </c>
    </row>
    <row r="81">
      <c r="A81" s="48">
        <v>0.22777777777777777</v>
      </c>
      <c r="B81" s="61" t="s">
        <v>1137</v>
      </c>
      <c r="C81" s="57" t="s">
        <v>195</v>
      </c>
      <c r="D81" s="61" t="s">
        <v>1138</v>
      </c>
      <c r="E81" s="11" t="s">
        <v>29</v>
      </c>
    </row>
    <row r="82">
      <c r="A82" s="48">
        <v>0.22777777777777777</v>
      </c>
      <c r="B82" s="61" t="s">
        <v>1139</v>
      </c>
      <c r="C82" s="57" t="s">
        <v>1119</v>
      </c>
      <c r="D82" s="61" t="s">
        <v>1140</v>
      </c>
      <c r="E82" s="11" t="s">
        <v>33</v>
      </c>
    </row>
    <row r="83">
      <c r="A83" s="48">
        <v>0.2375</v>
      </c>
      <c r="B83" s="61" t="s">
        <v>1138</v>
      </c>
      <c r="C83" s="57" t="s">
        <v>19</v>
      </c>
      <c r="D83" s="61" t="s">
        <v>1140</v>
      </c>
      <c r="E83" s="11" t="s">
        <v>29</v>
      </c>
    </row>
    <row r="84">
      <c r="A84" s="48">
        <v>0.2375</v>
      </c>
      <c r="B84" s="61" t="s">
        <v>1136</v>
      </c>
      <c r="C84" s="57" t="s">
        <v>164</v>
      </c>
      <c r="D84" s="61" t="s">
        <v>1139</v>
      </c>
      <c r="E84" s="11" t="s">
        <v>33</v>
      </c>
    </row>
    <row r="85">
      <c r="A85" s="48">
        <v>0.24791666666666667</v>
      </c>
      <c r="B85" s="61" t="s">
        <v>1137</v>
      </c>
      <c r="C85" s="57" t="s">
        <v>194</v>
      </c>
      <c r="D85" s="61" t="s">
        <v>1140</v>
      </c>
      <c r="E85" s="11" t="s">
        <v>29</v>
      </c>
    </row>
    <row r="86">
      <c r="A86" s="48">
        <v>0.24791666666666667</v>
      </c>
      <c r="B86" s="61" t="s">
        <v>1138</v>
      </c>
      <c r="C86" s="57" t="s">
        <v>301</v>
      </c>
      <c r="D86" s="61" t="s">
        <v>1136</v>
      </c>
      <c r="E86" s="11" t="s">
        <v>33</v>
      </c>
    </row>
    <row r="87">
      <c r="A87" s="48">
        <v>0.25833333333333336</v>
      </c>
      <c r="B87" s="61" t="s">
        <v>1137</v>
      </c>
      <c r="C87" s="57" t="s">
        <v>162</v>
      </c>
      <c r="D87" s="61" t="s">
        <v>1139</v>
      </c>
      <c r="E87" s="11" t="s">
        <v>29</v>
      </c>
    </row>
    <row r="88">
      <c r="A88" s="48">
        <v>0.25833333333333336</v>
      </c>
      <c r="B88" s="61" t="s">
        <v>1140</v>
      </c>
      <c r="C88" s="57" t="s">
        <v>258</v>
      </c>
      <c r="D88" s="61" t="s">
        <v>1136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835</v>
      </c>
      <c r="C91" s="45" t="s">
        <v>1141</v>
      </c>
      <c r="D91" s="61" t="s">
        <v>832</v>
      </c>
      <c r="E91" s="11" t="s">
        <v>9</v>
      </c>
    </row>
    <row r="92">
      <c r="A92" s="48">
        <v>0.3333333333333333</v>
      </c>
      <c r="B92" s="61" t="s">
        <v>1067</v>
      </c>
      <c r="C92" s="45" t="s">
        <v>193</v>
      </c>
      <c r="D92" s="61" t="s">
        <v>1142</v>
      </c>
      <c r="E92" s="11" t="s">
        <v>13</v>
      </c>
    </row>
    <row r="93">
      <c r="A93" s="48">
        <v>0.34305555555555556</v>
      </c>
      <c r="B93" s="61" t="s">
        <v>1067</v>
      </c>
      <c r="C93" s="45" t="s">
        <v>324</v>
      </c>
      <c r="D93" s="61" t="s">
        <v>832</v>
      </c>
      <c r="E93" s="11" t="s">
        <v>9</v>
      </c>
    </row>
    <row r="94">
      <c r="A94" s="48">
        <v>0.34305555555555556</v>
      </c>
      <c r="B94" s="61" t="s">
        <v>1143</v>
      </c>
      <c r="C94" s="45" t="s">
        <v>271</v>
      </c>
      <c r="D94" s="61" t="s">
        <v>1142</v>
      </c>
      <c r="E94" s="11" t="s">
        <v>13</v>
      </c>
    </row>
    <row r="95">
      <c r="A95" s="48">
        <v>0.35347222222222224</v>
      </c>
      <c r="B95" s="61" t="s">
        <v>1143</v>
      </c>
      <c r="C95" s="45" t="s">
        <v>162</v>
      </c>
      <c r="D95" s="61" t="s">
        <v>1067</v>
      </c>
      <c r="E95" s="11" t="s">
        <v>9</v>
      </c>
    </row>
    <row r="96">
      <c r="A96" s="48">
        <v>0.35347222222222224</v>
      </c>
      <c r="B96" s="61" t="s">
        <v>1142</v>
      </c>
      <c r="C96" s="45" t="s">
        <v>271</v>
      </c>
      <c r="D96" s="61" t="s">
        <v>835</v>
      </c>
      <c r="E96" s="11" t="s">
        <v>13</v>
      </c>
    </row>
    <row r="97">
      <c r="A97" s="48">
        <v>0.3638888888888889</v>
      </c>
      <c r="B97" s="61" t="s">
        <v>1143</v>
      </c>
      <c r="C97" s="45" t="s">
        <v>454</v>
      </c>
      <c r="D97" s="61" t="s">
        <v>832</v>
      </c>
      <c r="E97" s="11" t="s">
        <v>9</v>
      </c>
    </row>
    <row r="98">
      <c r="A98" s="48">
        <v>0.3638888888888889</v>
      </c>
      <c r="B98" s="61" t="s">
        <v>835</v>
      </c>
      <c r="C98" s="45" t="s">
        <v>219</v>
      </c>
      <c r="D98" s="61" t="s">
        <v>1067</v>
      </c>
      <c r="E98" s="11" t="s">
        <v>13</v>
      </c>
    </row>
    <row r="99">
      <c r="A99" s="48">
        <v>0.3736111111111111</v>
      </c>
      <c r="B99" s="61" t="s">
        <v>1142</v>
      </c>
      <c r="C99" s="45" t="s">
        <v>291</v>
      </c>
      <c r="D99" s="61" t="s">
        <v>832</v>
      </c>
      <c r="E99" s="11" t="s">
        <v>9</v>
      </c>
    </row>
    <row r="100">
      <c r="A100" s="48">
        <v>0.3736111111111111</v>
      </c>
      <c r="B100" s="61" t="s">
        <v>835</v>
      </c>
      <c r="C100" s="45" t="s">
        <v>248</v>
      </c>
      <c r="D100" s="61" t="s">
        <v>1143</v>
      </c>
      <c r="E100" s="11" t="s">
        <v>13</v>
      </c>
    </row>
    <row r="101">
      <c r="A101" s="48">
        <v>0.3840277777777778</v>
      </c>
      <c r="B101" s="61" t="s">
        <v>832</v>
      </c>
      <c r="C101" s="45" t="s">
        <v>830</v>
      </c>
      <c r="D101" s="61" t="s">
        <v>835</v>
      </c>
      <c r="E101" s="11" t="s">
        <v>9</v>
      </c>
    </row>
    <row r="102">
      <c r="A102" s="48">
        <v>0.3840277777777778</v>
      </c>
      <c r="B102" s="61" t="s">
        <v>1142</v>
      </c>
      <c r="C102" s="45" t="s">
        <v>17</v>
      </c>
      <c r="D102" s="61" t="s">
        <v>1067</v>
      </c>
      <c r="E102" s="11" t="s">
        <v>13</v>
      </c>
    </row>
    <row r="103">
      <c r="A103" s="48">
        <v>0.39444444444444443</v>
      </c>
      <c r="B103" s="61" t="s">
        <v>832</v>
      </c>
      <c r="C103" s="45" t="s">
        <v>16</v>
      </c>
      <c r="D103" s="61" t="s">
        <v>1067</v>
      </c>
      <c r="E103" s="11" t="s">
        <v>9</v>
      </c>
    </row>
    <row r="104">
      <c r="A104" s="48">
        <v>0.39444444444444443</v>
      </c>
      <c r="B104" s="61" t="s">
        <v>1142</v>
      </c>
      <c r="C104" s="45" t="s">
        <v>327</v>
      </c>
      <c r="D104" s="61" t="s">
        <v>1143</v>
      </c>
      <c r="E104" s="11" t="s">
        <v>13</v>
      </c>
    </row>
    <row r="105">
      <c r="A105" s="48">
        <v>0.4041666666666667</v>
      </c>
      <c r="B105" s="61" t="s">
        <v>1067</v>
      </c>
      <c r="C105" s="45" t="s">
        <v>222</v>
      </c>
      <c r="D105" s="61" t="s">
        <v>1143</v>
      </c>
      <c r="E105" s="11" t="s">
        <v>9</v>
      </c>
    </row>
    <row r="106">
      <c r="A106" s="48">
        <v>0.4041666666666667</v>
      </c>
      <c r="B106" s="61" t="s">
        <v>835</v>
      </c>
      <c r="C106" s="45" t="s">
        <v>442</v>
      </c>
      <c r="D106" s="61" t="s">
        <v>1142</v>
      </c>
      <c r="E106" s="11" t="s">
        <v>13</v>
      </c>
    </row>
    <row r="107">
      <c r="A107" s="48">
        <v>0.41458333333333336</v>
      </c>
      <c r="B107" s="61" t="s">
        <v>832</v>
      </c>
      <c r="C107" s="45" t="s">
        <v>245</v>
      </c>
      <c r="D107" s="61" t="s">
        <v>1143</v>
      </c>
      <c r="E107" s="11" t="s">
        <v>9</v>
      </c>
    </row>
    <row r="108">
      <c r="A108" s="48">
        <v>0.41458333333333336</v>
      </c>
      <c r="B108" s="61" t="s">
        <v>1067</v>
      </c>
      <c r="C108" s="45" t="s">
        <v>155</v>
      </c>
      <c r="D108" s="61" t="s">
        <v>835</v>
      </c>
      <c r="E108" s="11" t="s">
        <v>13</v>
      </c>
    </row>
    <row r="109">
      <c r="A109" s="48">
        <v>0.425</v>
      </c>
      <c r="B109" s="61" t="s">
        <v>832</v>
      </c>
      <c r="C109" s="45" t="s">
        <v>208</v>
      </c>
      <c r="D109" s="61" t="s">
        <v>1142</v>
      </c>
      <c r="E109" s="11" t="s">
        <v>9</v>
      </c>
    </row>
    <row r="110">
      <c r="A110" s="48">
        <v>0.425</v>
      </c>
      <c r="B110" s="61" t="s">
        <v>1143</v>
      </c>
      <c r="C110" s="45" t="s">
        <v>19</v>
      </c>
      <c r="D110" s="61" t="s">
        <v>835</v>
      </c>
      <c r="E110" s="11" t="s">
        <v>13</v>
      </c>
    </row>
    <row r="111">
      <c r="A111" s="5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61" t="s">
        <v>1144</v>
      </c>
      <c r="C113" s="45" t="s">
        <v>439</v>
      </c>
      <c r="D113" s="61" t="s">
        <v>1145</v>
      </c>
      <c r="E113" s="11" t="s">
        <v>29</v>
      </c>
    </row>
    <row r="114">
      <c r="A114" s="30">
        <v>0.3333333333333333</v>
      </c>
      <c r="B114" s="61" t="s">
        <v>1146</v>
      </c>
      <c r="C114" s="45" t="s">
        <v>163</v>
      </c>
      <c r="D114" s="61" t="s">
        <v>1147</v>
      </c>
      <c r="E114" s="11" t="s">
        <v>33</v>
      </c>
    </row>
    <row r="115">
      <c r="A115" s="30">
        <v>0.34305555555555556</v>
      </c>
      <c r="B115" s="61" t="s">
        <v>1146</v>
      </c>
      <c r="C115" s="45" t="s">
        <v>205</v>
      </c>
      <c r="D115" s="61" t="s">
        <v>1145</v>
      </c>
      <c r="E115" s="11" t="s">
        <v>29</v>
      </c>
    </row>
    <row r="116">
      <c r="A116" s="30">
        <v>0.34305555555555556</v>
      </c>
      <c r="B116" s="61" t="s">
        <v>1075</v>
      </c>
      <c r="C116" s="45" t="s">
        <v>16</v>
      </c>
      <c r="D116" s="61" t="s">
        <v>1147</v>
      </c>
      <c r="E116" s="11" t="s">
        <v>33</v>
      </c>
    </row>
    <row r="117">
      <c r="A117" s="30">
        <v>0.35347222222222224</v>
      </c>
      <c r="B117" s="61" t="s">
        <v>1075</v>
      </c>
      <c r="C117" s="45" t="s">
        <v>225</v>
      </c>
      <c r="D117" s="61" t="s">
        <v>1146</v>
      </c>
      <c r="E117" s="11" t="s">
        <v>29</v>
      </c>
    </row>
    <row r="118">
      <c r="A118" s="30">
        <v>0.35347222222222224</v>
      </c>
      <c r="B118" s="61" t="s">
        <v>1147</v>
      </c>
      <c r="C118" s="45" t="s">
        <v>181</v>
      </c>
      <c r="D118" s="61" t="s">
        <v>1144</v>
      </c>
      <c r="E118" s="11" t="s">
        <v>33</v>
      </c>
    </row>
    <row r="119">
      <c r="A119" s="30">
        <v>0.3638888888888889</v>
      </c>
      <c r="B119" s="61" t="s">
        <v>1075</v>
      </c>
      <c r="C119" s="45" t="s">
        <v>18</v>
      </c>
      <c r="D119" s="61" t="s">
        <v>1145</v>
      </c>
      <c r="E119" s="11" t="s">
        <v>29</v>
      </c>
    </row>
    <row r="120">
      <c r="A120" s="30">
        <v>0.3638888888888889</v>
      </c>
      <c r="B120" s="61" t="s">
        <v>1144</v>
      </c>
      <c r="C120" s="45" t="s">
        <v>1148</v>
      </c>
      <c r="D120" s="61" t="s">
        <v>1146</v>
      </c>
      <c r="E120" s="11" t="s">
        <v>33</v>
      </c>
    </row>
    <row r="121">
      <c r="A121" s="30">
        <v>0.3736111111111111</v>
      </c>
      <c r="B121" s="61" t="s">
        <v>1147</v>
      </c>
      <c r="C121" s="45" t="s">
        <v>1149</v>
      </c>
      <c r="D121" s="61" t="s">
        <v>1145</v>
      </c>
      <c r="E121" s="11" t="s">
        <v>29</v>
      </c>
    </row>
    <row r="122">
      <c r="A122" s="30">
        <v>0.3736111111111111</v>
      </c>
      <c r="B122" s="61" t="s">
        <v>1144</v>
      </c>
      <c r="C122" s="45" t="s">
        <v>185</v>
      </c>
      <c r="D122" s="61" t="s">
        <v>1075</v>
      </c>
      <c r="E122" s="11" t="s">
        <v>33</v>
      </c>
    </row>
    <row r="123">
      <c r="A123" s="30">
        <v>0.3840277777777778</v>
      </c>
      <c r="B123" s="61" t="s">
        <v>1145</v>
      </c>
      <c r="C123" s="45" t="s">
        <v>16</v>
      </c>
      <c r="D123" s="61" t="s">
        <v>1144</v>
      </c>
      <c r="E123" s="11" t="s">
        <v>29</v>
      </c>
    </row>
    <row r="124">
      <c r="A124" s="30">
        <v>0.3840277777777778</v>
      </c>
      <c r="B124" s="61" t="s">
        <v>1147</v>
      </c>
      <c r="C124" s="45" t="s">
        <v>17</v>
      </c>
      <c r="D124" s="61" t="s">
        <v>1146</v>
      </c>
      <c r="E124" s="11" t="s">
        <v>33</v>
      </c>
    </row>
    <row r="125">
      <c r="A125" s="30">
        <v>0.39444444444444443</v>
      </c>
      <c r="B125" s="61" t="s">
        <v>1145</v>
      </c>
      <c r="C125" s="45" t="s">
        <v>916</v>
      </c>
      <c r="D125" s="61" t="s">
        <v>1146</v>
      </c>
      <c r="E125" s="11" t="s">
        <v>29</v>
      </c>
    </row>
    <row r="126">
      <c r="A126" s="30">
        <v>0.39444444444444443</v>
      </c>
      <c r="B126" s="61" t="s">
        <v>1147</v>
      </c>
      <c r="C126" s="45" t="s">
        <v>20</v>
      </c>
      <c r="D126" s="61" t="s">
        <v>1075</v>
      </c>
      <c r="E126" s="11" t="s">
        <v>33</v>
      </c>
    </row>
    <row r="127">
      <c r="A127" s="30">
        <v>0.4041666666666667</v>
      </c>
      <c r="B127" s="61" t="s">
        <v>1146</v>
      </c>
      <c r="C127" s="45" t="s">
        <v>23</v>
      </c>
      <c r="D127" s="61" t="s">
        <v>1075</v>
      </c>
      <c r="E127" s="11" t="s">
        <v>29</v>
      </c>
    </row>
    <row r="128">
      <c r="A128" s="30">
        <v>0.4041666666666667</v>
      </c>
      <c r="B128" s="61" t="s">
        <v>1144</v>
      </c>
      <c r="C128" s="45" t="s">
        <v>211</v>
      </c>
      <c r="D128" s="61" t="s">
        <v>1147</v>
      </c>
      <c r="E128" s="11" t="s">
        <v>33</v>
      </c>
    </row>
    <row r="129">
      <c r="A129" s="30">
        <v>0.41458333333333336</v>
      </c>
      <c r="B129" s="61" t="s">
        <v>1145</v>
      </c>
      <c r="C129" s="45" t="s">
        <v>250</v>
      </c>
      <c r="D129" s="61" t="s">
        <v>1075</v>
      </c>
      <c r="E129" s="11" t="s">
        <v>29</v>
      </c>
    </row>
    <row r="130">
      <c r="A130" s="30">
        <v>0.41458333333333336</v>
      </c>
      <c r="B130" s="61" t="s">
        <v>1146</v>
      </c>
      <c r="C130" s="45" t="s">
        <v>155</v>
      </c>
      <c r="D130" s="61" t="s">
        <v>1144</v>
      </c>
      <c r="E130" s="11" t="s">
        <v>33</v>
      </c>
    </row>
    <row r="131">
      <c r="A131" s="30">
        <v>0.425</v>
      </c>
      <c r="B131" s="61" t="s">
        <v>1145</v>
      </c>
      <c r="C131" s="45" t="s">
        <v>344</v>
      </c>
      <c r="D131" s="61" t="s">
        <v>1147</v>
      </c>
      <c r="E131" s="11" t="s">
        <v>29</v>
      </c>
    </row>
    <row r="132">
      <c r="A132" s="30">
        <v>0.425</v>
      </c>
      <c r="B132" s="61" t="s">
        <v>1075</v>
      </c>
      <c r="C132" s="45" t="s">
        <v>327</v>
      </c>
      <c r="D132" s="61" t="s">
        <v>1144</v>
      </c>
      <c r="E132" s="11" t="s">
        <v>33</v>
      </c>
    </row>
    <row r="133">
      <c r="A133" s="5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738</v>
      </c>
      <c r="C135" s="57" t="s">
        <v>181</v>
      </c>
      <c r="D135" s="61" t="s">
        <v>1150</v>
      </c>
      <c r="E135" s="11" t="s">
        <v>9</v>
      </c>
    </row>
    <row r="136">
      <c r="A136" s="48">
        <v>0.4375</v>
      </c>
      <c r="B136" s="61" t="s">
        <v>1151</v>
      </c>
      <c r="C136" s="57" t="s">
        <v>218</v>
      </c>
      <c r="D136" s="61" t="s">
        <v>1152</v>
      </c>
      <c r="E136" s="11" t="s">
        <v>13</v>
      </c>
    </row>
    <row r="137">
      <c r="A137" s="48">
        <v>0.44722222222222224</v>
      </c>
      <c r="B137" s="61" t="s">
        <v>1151</v>
      </c>
      <c r="C137" s="57" t="s">
        <v>281</v>
      </c>
      <c r="D137" s="61" t="s">
        <v>1150</v>
      </c>
      <c r="E137" s="11" t="s">
        <v>9</v>
      </c>
    </row>
    <row r="138">
      <c r="A138" s="48">
        <v>0.44722222222222224</v>
      </c>
      <c r="B138" s="61" t="s">
        <v>929</v>
      </c>
      <c r="C138" s="57" t="s">
        <v>209</v>
      </c>
      <c r="D138" s="61" t="s">
        <v>1152</v>
      </c>
      <c r="E138" s="11" t="s">
        <v>13</v>
      </c>
    </row>
    <row r="139">
      <c r="A139" s="48">
        <v>0.4576388888888889</v>
      </c>
      <c r="B139" s="61" t="s">
        <v>929</v>
      </c>
      <c r="C139" s="57" t="s">
        <v>155</v>
      </c>
      <c r="D139" s="61" t="s">
        <v>1151</v>
      </c>
      <c r="E139" s="11" t="s">
        <v>9</v>
      </c>
    </row>
    <row r="140">
      <c r="A140" s="48">
        <v>0.4576388888888889</v>
      </c>
      <c r="B140" s="61" t="s">
        <v>1152</v>
      </c>
      <c r="C140" s="57" t="s">
        <v>43</v>
      </c>
      <c r="D140" s="61" t="s">
        <v>738</v>
      </c>
      <c r="E140" s="11" t="s">
        <v>13</v>
      </c>
    </row>
    <row r="141">
      <c r="A141" s="48">
        <v>0.46805555555555556</v>
      </c>
      <c r="B141" s="61" t="s">
        <v>929</v>
      </c>
      <c r="C141" s="57" t="s">
        <v>17</v>
      </c>
      <c r="D141" s="61" t="s">
        <v>1150</v>
      </c>
      <c r="E141" s="11" t="s">
        <v>9</v>
      </c>
    </row>
    <row r="142">
      <c r="A142" s="48">
        <v>0.46805555555555556</v>
      </c>
      <c r="B142" s="61" t="s">
        <v>738</v>
      </c>
      <c r="C142" s="57" t="s">
        <v>362</v>
      </c>
      <c r="D142" s="61" t="s">
        <v>1151</v>
      </c>
      <c r="E142" s="11" t="s">
        <v>13</v>
      </c>
    </row>
    <row r="143">
      <c r="A143" s="48">
        <v>0.4777777777777778</v>
      </c>
      <c r="B143" s="61" t="s">
        <v>1152</v>
      </c>
      <c r="C143" s="57" t="s">
        <v>1153</v>
      </c>
      <c r="D143" s="61" t="s">
        <v>1150</v>
      </c>
      <c r="E143" s="11" t="s">
        <v>9</v>
      </c>
    </row>
    <row r="144">
      <c r="A144" s="48">
        <v>0.4777777777777778</v>
      </c>
      <c r="B144" s="61" t="s">
        <v>738</v>
      </c>
      <c r="C144" s="57" t="s">
        <v>292</v>
      </c>
      <c r="D144" s="61" t="s">
        <v>929</v>
      </c>
      <c r="E144" s="11" t="s">
        <v>13</v>
      </c>
    </row>
    <row r="145">
      <c r="A145" s="48">
        <v>0.48819444444444443</v>
      </c>
      <c r="B145" s="61" t="s">
        <v>1150</v>
      </c>
      <c r="C145" s="57" t="s">
        <v>193</v>
      </c>
      <c r="D145" s="61" t="s">
        <v>738</v>
      </c>
      <c r="E145" s="11" t="s">
        <v>9</v>
      </c>
    </row>
    <row r="146">
      <c r="A146" s="48">
        <v>0.48819444444444443</v>
      </c>
      <c r="B146" s="61" t="s">
        <v>1152</v>
      </c>
      <c r="C146" s="57" t="s">
        <v>162</v>
      </c>
      <c r="D146" s="61" t="s">
        <v>1151</v>
      </c>
      <c r="E146" s="11" t="s">
        <v>13</v>
      </c>
    </row>
    <row r="147">
      <c r="A147" s="48">
        <v>0.4986111111111111</v>
      </c>
      <c r="B147" s="61" t="s">
        <v>1150</v>
      </c>
      <c r="C147" s="45" t="s">
        <v>196</v>
      </c>
      <c r="D147" s="61" t="s">
        <v>1151</v>
      </c>
      <c r="E147" s="11" t="s">
        <v>9</v>
      </c>
    </row>
    <row r="148">
      <c r="A148" s="48">
        <v>0.4986111111111111</v>
      </c>
      <c r="B148" s="61" t="s">
        <v>1152</v>
      </c>
      <c r="C148" s="45" t="s">
        <v>210</v>
      </c>
      <c r="D148" s="61" t="s">
        <v>929</v>
      </c>
      <c r="E148" s="11" t="s">
        <v>13</v>
      </c>
    </row>
    <row r="149">
      <c r="A149" s="48">
        <v>0.5083333333333333</v>
      </c>
      <c r="B149" s="61" t="s">
        <v>1151</v>
      </c>
      <c r="C149" s="45" t="s">
        <v>193</v>
      </c>
      <c r="D149" s="61" t="s">
        <v>929</v>
      </c>
      <c r="E149" s="11" t="s">
        <v>9</v>
      </c>
    </row>
    <row r="150">
      <c r="A150" s="48">
        <v>0.5083333333333333</v>
      </c>
      <c r="B150" s="61" t="s">
        <v>738</v>
      </c>
      <c r="C150" s="45" t="s">
        <v>344</v>
      </c>
      <c r="D150" s="61" t="s">
        <v>1152</v>
      </c>
      <c r="E150" s="11" t="s">
        <v>13</v>
      </c>
    </row>
    <row r="151">
      <c r="A151" s="48">
        <v>0.51875</v>
      </c>
      <c r="B151" s="61" t="s">
        <v>1150</v>
      </c>
      <c r="C151" s="45" t="s">
        <v>36</v>
      </c>
      <c r="D151" s="61" t="s">
        <v>929</v>
      </c>
      <c r="E151" s="11" t="s">
        <v>9</v>
      </c>
    </row>
    <row r="152">
      <c r="A152" s="48">
        <v>0.51875</v>
      </c>
      <c r="B152" s="61" t="s">
        <v>1151</v>
      </c>
      <c r="C152" s="45" t="s">
        <v>394</v>
      </c>
      <c r="D152" s="61" t="s">
        <v>738</v>
      </c>
      <c r="E152" s="11" t="s">
        <v>13</v>
      </c>
    </row>
    <row r="153">
      <c r="A153" s="48">
        <v>0.5291666666666667</v>
      </c>
      <c r="B153" s="61" t="s">
        <v>1150</v>
      </c>
      <c r="C153" s="45" t="s">
        <v>426</v>
      </c>
      <c r="D153" s="61" t="s">
        <v>1152</v>
      </c>
      <c r="E153" s="11" t="s">
        <v>9</v>
      </c>
    </row>
    <row r="154">
      <c r="A154" s="48">
        <v>0.5291666666666667</v>
      </c>
      <c r="B154" s="61" t="s">
        <v>929</v>
      </c>
      <c r="C154" s="45" t="s">
        <v>440</v>
      </c>
      <c r="D154" s="61" t="s">
        <v>738</v>
      </c>
      <c r="E154" s="11" t="s">
        <v>13</v>
      </c>
    </row>
    <row r="155">
      <c r="A155" s="5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1154</v>
      </c>
      <c r="C157" s="57" t="s">
        <v>1155</v>
      </c>
      <c r="D157" s="61" t="s">
        <v>1156</v>
      </c>
      <c r="E157" s="11" t="s">
        <v>29</v>
      </c>
    </row>
    <row r="158">
      <c r="A158" s="48">
        <v>0.4375</v>
      </c>
      <c r="B158" s="61" t="s">
        <v>1157</v>
      </c>
      <c r="C158" s="57" t="s">
        <v>20</v>
      </c>
      <c r="D158" s="61" t="s">
        <v>746</v>
      </c>
      <c r="E158" s="11" t="s">
        <v>33</v>
      </c>
    </row>
    <row r="159">
      <c r="A159" s="48">
        <v>0.44722222222222224</v>
      </c>
      <c r="B159" s="61" t="s">
        <v>1157</v>
      </c>
      <c r="C159" s="57" t="s">
        <v>231</v>
      </c>
      <c r="D159" s="61" t="s">
        <v>1156</v>
      </c>
      <c r="E159" s="11" t="s">
        <v>29</v>
      </c>
    </row>
    <row r="160">
      <c r="A160" s="48">
        <v>0.44722222222222224</v>
      </c>
      <c r="B160" s="61" t="s">
        <v>850</v>
      </c>
      <c r="C160" s="57" t="s">
        <v>298</v>
      </c>
      <c r="D160" s="61" t="s">
        <v>746</v>
      </c>
      <c r="E160" s="11" t="s">
        <v>33</v>
      </c>
    </row>
    <row r="161">
      <c r="A161" s="48">
        <v>0.4576388888888889</v>
      </c>
      <c r="B161" s="61" t="s">
        <v>850</v>
      </c>
      <c r="C161" s="57" t="s">
        <v>849</v>
      </c>
      <c r="D161" s="61" t="s">
        <v>1157</v>
      </c>
      <c r="E161" s="11" t="s">
        <v>29</v>
      </c>
    </row>
    <row r="162">
      <c r="A162" s="48">
        <v>0.4576388888888889</v>
      </c>
      <c r="B162" s="61" t="s">
        <v>746</v>
      </c>
      <c r="C162" s="57" t="s">
        <v>164</v>
      </c>
      <c r="D162" s="61" t="s">
        <v>1154</v>
      </c>
      <c r="E162" s="11" t="s">
        <v>33</v>
      </c>
    </row>
    <row r="163">
      <c r="A163" s="48">
        <v>0.46805555555555556</v>
      </c>
      <c r="B163" s="61" t="s">
        <v>850</v>
      </c>
      <c r="C163" s="57" t="s">
        <v>342</v>
      </c>
      <c r="D163" s="61" t="s">
        <v>1156</v>
      </c>
      <c r="E163" s="11" t="s">
        <v>29</v>
      </c>
    </row>
    <row r="164">
      <c r="A164" s="48">
        <v>0.46805555555555556</v>
      </c>
      <c r="B164" s="61" t="s">
        <v>1154</v>
      </c>
      <c r="C164" s="57" t="s">
        <v>177</v>
      </c>
      <c r="D164" s="61" t="s">
        <v>1157</v>
      </c>
      <c r="E164" s="11" t="s">
        <v>33</v>
      </c>
    </row>
    <row r="165">
      <c r="A165" s="48">
        <v>0.4777777777777778</v>
      </c>
      <c r="B165" s="61" t="s">
        <v>746</v>
      </c>
      <c r="C165" s="57" t="s">
        <v>712</v>
      </c>
      <c r="D165" s="61" t="s">
        <v>1156</v>
      </c>
      <c r="E165" s="11" t="s">
        <v>29</v>
      </c>
    </row>
    <row r="166">
      <c r="A166" s="48">
        <v>0.4777777777777778</v>
      </c>
      <c r="B166" s="61" t="s">
        <v>1154</v>
      </c>
      <c r="C166" s="57" t="s">
        <v>166</v>
      </c>
      <c r="D166" s="61" t="s">
        <v>850</v>
      </c>
      <c r="E166" s="11" t="s">
        <v>33</v>
      </c>
    </row>
    <row r="167">
      <c r="A167" s="48">
        <v>0.48819444444444443</v>
      </c>
      <c r="B167" s="61" t="s">
        <v>1156</v>
      </c>
      <c r="C167" s="57" t="s">
        <v>534</v>
      </c>
      <c r="D167" s="61" t="s">
        <v>1154</v>
      </c>
      <c r="E167" s="11" t="s">
        <v>29</v>
      </c>
    </row>
    <row r="168">
      <c r="A168" s="48">
        <v>0.48819444444444443</v>
      </c>
      <c r="B168" s="61" t="s">
        <v>746</v>
      </c>
      <c r="C168" s="57" t="s">
        <v>203</v>
      </c>
      <c r="D168" s="61" t="s">
        <v>1157</v>
      </c>
      <c r="E168" s="11" t="s">
        <v>33</v>
      </c>
    </row>
    <row r="169">
      <c r="A169" s="48">
        <v>0.4986111111111111</v>
      </c>
      <c r="B169" s="61" t="s">
        <v>1156</v>
      </c>
      <c r="C169" s="45" t="s">
        <v>184</v>
      </c>
      <c r="D169" s="61" t="s">
        <v>1157</v>
      </c>
      <c r="E169" s="11" t="s">
        <v>29</v>
      </c>
    </row>
    <row r="170">
      <c r="A170" s="48">
        <v>0.4986111111111111</v>
      </c>
      <c r="B170" s="61" t="s">
        <v>746</v>
      </c>
      <c r="C170" s="45" t="s">
        <v>442</v>
      </c>
      <c r="D170" s="61" t="s">
        <v>850</v>
      </c>
      <c r="E170" s="11" t="s">
        <v>33</v>
      </c>
    </row>
    <row r="171">
      <c r="A171" s="48">
        <v>0.5083333333333333</v>
      </c>
      <c r="B171" s="61" t="s">
        <v>1157</v>
      </c>
      <c r="C171" s="45" t="s">
        <v>357</v>
      </c>
      <c r="D171" s="61" t="s">
        <v>850</v>
      </c>
      <c r="E171" s="11" t="s">
        <v>29</v>
      </c>
    </row>
    <row r="172">
      <c r="A172" s="48">
        <v>0.5083333333333333</v>
      </c>
      <c r="B172" s="61" t="s">
        <v>1154</v>
      </c>
      <c r="C172" s="45" t="s">
        <v>233</v>
      </c>
      <c r="D172" s="61" t="s">
        <v>746</v>
      </c>
      <c r="E172" s="11" t="s">
        <v>33</v>
      </c>
    </row>
    <row r="173">
      <c r="A173" s="48">
        <v>0.51875</v>
      </c>
      <c r="B173" s="61" t="s">
        <v>1156</v>
      </c>
      <c r="C173" s="45" t="s">
        <v>718</v>
      </c>
      <c r="D173" s="61" t="s">
        <v>850</v>
      </c>
      <c r="E173" s="11" t="s">
        <v>29</v>
      </c>
    </row>
    <row r="174">
      <c r="A174" s="48">
        <v>0.51875</v>
      </c>
      <c r="B174" s="61" t="s">
        <v>1157</v>
      </c>
      <c r="C174" s="45" t="s">
        <v>366</v>
      </c>
      <c r="D174" s="61" t="s">
        <v>1154</v>
      </c>
      <c r="E174" s="11" t="s">
        <v>33</v>
      </c>
    </row>
    <row r="175">
      <c r="A175" s="48">
        <v>0.5291666666666667</v>
      </c>
      <c r="B175" s="61" t="s">
        <v>1156</v>
      </c>
      <c r="C175" s="45" t="s">
        <v>750</v>
      </c>
      <c r="D175" s="61" t="s">
        <v>746</v>
      </c>
      <c r="E175" s="11" t="s">
        <v>29</v>
      </c>
    </row>
    <row r="176">
      <c r="A176" s="48">
        <v>0.5291666666666667</v>
      </c>
      <c r="B176" s="61" t="s">
        <v>850</v>
      </c>
      <c r="C176" s="45" t="s">
        <v>302</v>
      </c>
      <c r="D176" s="61" t="s">
        <v>1154</v>
      </c>
      <c r="E176" s="11" t="s">
        <v>33</v>
      </c>
    </row>
    <row r="177">
      <c r="A177" s="5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1158</v>
      </c>
      <c r="C179" s="45" t="s">
        <v>17</v>
      </c>
      <c r="D179" s="61" t="s">
        <v>739</v>
      </c>
      <c r="E179" s="11" t="s">
        <v>9</v>
      </c>
    </row>
    <row r="180">
      <c r="A180" s="48">
        <v>0.5416666666666666</v>
      </c>
      <c r="B180" s="61" t="s">
        <v>1159</v>
      </c>
      <c r="C180" s="45" t="s">
        <v>264</v>
      </c>
      <c r="D180" s="61" t="s">
        <v>919</v>
      </c>
      <c r="E180" s="11" t="s">
        <v>13</v>
      </c>
    </row>
    <row r="181">
      <c r="A181" s="48">
        <v>0.5513888888888889</v>
      </c>
      <c r="B181" s="61" t="s">
        <v>1159</v>
      </c>
      <c r="C181" s="45" t="s">
        <v>187</v>
      </c>
      <c r="D181" s="61" t="s">
        <v>739</v>
      </c>
      <c r="E181" s="11" t="s">
        <v>9</v>
      </c>
    </row>
    <row r="182">
      <c r="A182" s="48">
        <v>0.5513888888888889</v>
      </c>
      <c r="B182" s="61" t="s">
        <v>1160</v>
      </c>
      <c r="C182" s="45" t="s">
        <v>166</v>
      </c>
      <c r="D182" s="61" t="s">
        <v>919</v>
      </c>
      <c r="E182" s="11" t="s">
        <v>13</v>
      </c>
    </row>
    <row r="183">
      <c r="A183" s="48">
        <v>0.5618055555555556</v>
      </c>
      <c r="B183" s="61" t="s">
        <v>1160</v>
      </c>
      <c r="C183" s="45" t="s">
        <v>37</v>
      </c>
      <c r="D183" s="61" t="s">
        <v>1159</v>
      </c>
      <c r="E183" s="11" t="s">
        <v>9</v>
      </c>
    </row>
    <row r="184">
      <c r="A184" s="48">
        <v>0.5618055555555556</v>
      </c>
      <c r="B184" s="61" t="s">
        <v>919</v>
      </c>
      <c r="C184" s="45" t="s">
        <v>1161</v>
      </c>
      <c r="D184" s="61" t="s">
        <v>1158</v>
      </c>
      <c r="E184" s="11" t="s">
        <v>13</v>
      </c>
    </row>
    <row r="185">
      <c r="A185" s="48">
        <v>0.5722222222222222</v>
      </c>
      <c r="B185" s="61" t="s">
        <v>1160</v>
      </c>
      <c r="C185" s="45" t="s">
        <v>16</v>
      </c>
      <c r="D185" s="61" t="s">
        <v>739</v>
      </c>
      <c r="E185" s="11" t="s">
        <v>9</v>
      </c>
    </row>
    <row r="186">
      <c r="A186" s="48">
        <v>0.5722222222222222</v>
      </c>
      <c r="B186" s="61" t="s">
        <v>1158</v>
      </c>
      <c r="C186" s="45" t="s">
        <v>271</v>
      </c>
      <c r="D186" s="61" t="s">
        <v>1159</v>
      </c>
      <c r="E186" s="11" t="s">
        <v>13</v>
      </c>
    </row>
    <row r="187">
      <c r="A187" s="48">
        <v>0.5819444444444445</v>
      </c>
      <c r="B187" s="61" t="s">
        <v>919</v>
      </c>
      <c r="C187" s="45" t="s">
        <v>158</v>
      </c>
      <c r="D187" s="61" t="s">
        <v>739</v>
      </c>
      <c r="E187" s="11" t="s">
        <v>9</v>
      </c>
    </row>
    <row r="188">
      <c r="A188" s="48">
        <v>0.5819444444444445</v>
      </c>
      <c r="B188" s="61" t="s">
        <v>1158</v>
      </c>
      <c r="C188" s="45" t="s">
        <v>181</v>
      </c>
      <c r="D188" s="61" t="s">
        <v>1160</v>
      </c>
      <c r="E188" s="11" t="s">
        <v>13</v>
      </c>
    </row>
    <row r="189">
      <c r="A189" s="48">
        <v>0.5923611111111111</v>
      </c>
      <c r="B189" s="61" t="s">
        <v>739</v>
      </c>
      <c r="C189" s="45" t="s">
        <v>184</v>
      </c>
      <c r="D189" s="61" t="s">
        <v>1158</v>
      </c>
      <c r="E189" s="11" t="s">
        <v>9</v>
      </c>
    </row>
    <row r="190">
      <c r="A190" s="48">
        <v>0.5923611111111111</v>
      </c>
      <c r="B190" s="61" t="s">
        <v>919</v>
      </c>
      <c r="C190" s="45" t="s">
        <v>327</v>
      </c>
      <c r="D190" s="61" t="s">
        <v>1159</v>
      </c>
      <c r="E190" s="11" t="s">
        <v>13</v>
      </c>
    </row>
    <row r="191">
      <c r="A191" s="48">
        <v>0.6027777777777777</v>
      </c>
      <c r="B191" s="61" t="s">
        <v>739</v>
      </c>
      <c r="C191" s="45" t="s">
        <v>1162</v>
      </c>
      <c r="D191" s="61" t="s">
        <v>1159</v>
      </c>
      <c r="E191" s="11" t="s">
        <v>9</v>
      </c>
    </row>
    <row r="192">
      <c r="A192" s="48">
        <v>0.6027777777777777</v>
      </c>
      <c r="B192" s="61" t="s">
        <v>919</v>
      </c>
      <c r="C192" s="45" t="s">
        <v>16</v>
      </c>
      <c r="D192" s="61" t="s">
        <v>1160</v>
      </c>
      <c r="E192" s="11" t="s">
        <v>13</v>
      </c>
    </row>
    <row r="193">
      <c r="A193" s="48">
        <v>0.6125</v>
      </c>
      <c r="B193" s="61" t="s">
        <v>1159</v>
      </c>
      <c r="C193" s="45" t="s">
        <v>155</v>
      </c>
      <c r="D193" s="61" t="s">
        <v>1160</v>
      </c>
      <c r="E193" s="11" t="s">
        <v>9</v>
      </c>
    </row>
    <row r="194">
      <c r="A194" s="48">
        <v>0.6125</v>
      </c>
      <c r="B194" s="61" t="s">
        <v>1158</v>
      </c>
      <c r="C194" s="45" t="s">
        <v>425</v>
      </c>
      <c r="D194" s="61" t="s">
        <v>919</v>
      </c>
      <c r="E194" s="11" t="s">
        <v>13</v>
      </c>
    </row>
    <row r="195">
      <c r="A195" s="48">
        <v>0.6229166666666667</v>
      </c>
      <c r="B195" s="61" t="s">
        <v>739</v>
      </c>
      <c r="C195" s="45" t="s">
        <v>161</v>
      </c>
      <c r="D195" s="61" t="s">
        <v>1160</v>
      </c>
      <c r="E195" s="11" t="s">
        <v>9</v>
      </c>
    </row>
    <row r="196">
      <c r="A196" s="48">
        <v>0.6229166666666667</v>
      </c>
      <c r="B196" s="61" t="s">
        <v>1159</v>
      </c>
      <c r="C196" s="45" t="s">
        <v>20</v>
      </c>
      <c r="D196" s="61" t="s">
        <v>1158</v>
      </c>
      <c r="E196" s="11" t="s">
        <v>13</v>
      </c>
    </row>
    <row r="197">
      <c r="A197" s="48">
        <v>0.6333333333333333</v>
      </c>
      <c r="B197" s="61" t="s">
        <v>739</v>
      </c>
      <c r="C197" s="45" t="s">
        <v>41</v>
      </c>
      <c r="D197" s="61" t="s">
        <v>919</v>
      </c>
      <c r="E197" s="11" t="s">
        <v>9</v>
      </c>
    </row>
    <row r="198">
      <c r="A198" s="48">
        <v>0.6333333333333333</v>
      </c>
      <c r="B198" s="61" t="s">
        <v>1160</v>
      </c>
      <c r="C198" s="45" t="s">
        <v>166</v>
      </c>
      <c r="D198" s="61" t="s">
        <v>1158</v>
      </c>
      <c r="E198" s="11" t="s">
        <v>13</v>
      </c>
    </row>
    <row r="199">
      <c r="A199" s="5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1163</v>
      </c>
      <c r="C201" s="57" t="s">
        <v>651</v>
      </c>
      <c r="D201" s="61" t="s">
        <v>1164</v>
      </c>
      <c r="E201" s="11" t="s">
        <v>29</v>
      </c>
    </row>
    <row r="202">
      <c r="A202" s="48">
        <v>0.5416666666666666</v>
      </c>
      <c r="B202" s="61" t="s">
        <v>1165</v>
      </c>
      <c r="C202" s="57" t="s">
        <v>23</v>
      </c>
      <c r="D202" s="61" t="s">
        <v>1166</v>
      </c>
      <c r="E202" s="11" t="s">
        <v>33</v>
      </c>
    </row>
    <row r="203">
      <c r="A203" s="48">
        <v>0.5513888888888889</v>
      </c>
      <c r="B203" s="61" t="s">
        <v>1165</v>
      </c>
      <c r="C203" s="57" t="s">
        <v>507</v>
      </c>
      <c r="D203" s="61" t="s">
        <v>1164</v>
      </c>
      <c r="E203" s="11" t="s">
        <v>29</v>
      </c>
    </row>
    <row r="204">
      <c r="A204" s="48">
        <v>0.5513888888888889</v>
      </c>
      <c r="B204" s="61" t="s">
        <v>644</v>
      </c>
      <c r="C204" s="57" t="s">
        <v>16</v>
      </c>
      <c r="D204" s="61" t="s">
        <v>1166</v>
      </c>
      <c r="E204" s="11" t="s">
        <v>33</v>
      </c>
    </row>
    <row r="205">
      <c r="A205" s="48">
        <v>0.5618055555555556</v>
      </c>
      <c r="B205" s="61" t="s">
        <v>644</v>
      </c>
      <c r="C205" s="57" t="s">
        <v>998</v>
      </c>
      <c r="D205" s="61" t="s">
        <v>1165</v>
      </c>
      <c r="E205" s="11" t="s">
        <v>29</v>
      </c>
    </row>
    <row r="206">
      <c r="A206" s="48">
        <v>0.5618055555555556</v>
      </c>
      <c r="B206" s="61" t="s">
        <v>1166</v>
      </c>
      <c r="C206" s="57" t="s">
        <v>173</v>
      </c>
      <c r="D206" s="61" t="s">
        <v>1163</v>
      </c>
      <c r="E206" s="11" t="s">
        <v>33</v>
      </c>
    </row>
    <row r="207">
      <c r="A207" s="48">
        <v>0.5722222222222222</v>
      </c>
      <c r="B207" s="61" t="s">
        <v>644</v>
      </c>
      <c r="C207" s="57" t="s">
        <v>42</v>
      </c>
      <c r="D207" s="61" t="s">
        <v>1164</v>
      </c>
      <c r="E207" s="11" t="s">
        <v>29</v>
      </c>
    </row>
    <row r="208">
      <c r="A208" s="48">
        <v>0.5722222222222222</v>
      </c>
      <c r="B208" s="61" t="s">
        <v>1163</v>
      </c>
      <c r="C208" s="57" t="s">
        <v>291</v>
      </c>
      <c r="D208" s="61" t="s">
        <v>1165</v>
      </c>
      <c r="E208" s="11" t="s">
        <v>33</v>
      </c>
    </row>
    <row r="209">
      <c r="A209" s="48">
        <v>0.5819444444444445</v>
      </c>
      <c r="B209" s="61" t="s">
        <v>1166</v>
      </c>
      <c r="C209" s="57" t="s">
        <v>289</v>
      </c>
      <c r="D209" s="61" t="s">
        <v>1164</v>
      </c>
      <c r="E209" s="11" t="s">
        <v>29</v>
      </c>
    </row>
    <row r="210">
      <c r="A210" s="48">
        <v>0.5819444444444445</v>
      </c>
      <c r="B210" s="61" t="s">
        <v>1163</v>
      </c>
      <c r="C210" s="57" t="s">
        <v>256</v>
      </c>
      <c r="D210" s="61" t="s">
        <v>644</v>
      </c>
      <c r="E210" s="11" t="s">
        <v>33</v>
      </c>
    </row>
    <row r="211">
      <c r="A211" s="48">
        <v>0.5923611111111111</v>
      </c>
      <c r="B211" s="61" t="s">
        <v>1164</v>
      </c>
      <c r="C211" s="57" t="s">
        <v>31</v>
      </c>
      <c r="D211" s="61" t="s">
        <v>1163</v>
      </c>
      <c r="E211" s="11" t="s">
        <v>29</v>
      </c>
    </row>
    <row r="212">
      <c r="A212" s="48">
        <v>0.5923611111111111</v>
      </c>
      <c r="B212" s="61" t="s">
        <v>1166</v>
      </c>
      <c r="C212" s="57" t="s">
        <v>394</v>
      </c>
      <c r="D212" s="61" t="s">
        <v>1165</v>
      </c>
      <c r="E212" s="11" t="s">
        <v>33</v>
      </c>
    </row>
    <row r="213">
      <c r="A213" s="48">
        <v>0.6027777777777777</v>
      </c>
      <c r="B213" s="61" t="s">
        <v>1164</v>
      </c>
      <c r="C213" s="45" t="s">
        <v>301</v>
      </c>
      <c r="D213" s="61" t="s">
        <v>1165</v>
      </c>
      <c r="E213" s="11" t="s">
        <v>29</v>
      </c>
    </row>
    <row r="214">
      <c r="A214" s="48">
        <v>0.6027777777777777</v>
      </c>
      <c r="B214" s="61" t="s">
        <v>1166</v>
      </c>
      <c r="C214" s="45" t="s">
        <v>184</v>
      </c>
      <c r="D214" s="61" t="s">
        <v>644</v>
      </c>
      <c r="E214" s="11" t="s">
        <v>33</v>
      </c>
    </row>
    <row r="215">
      <c r="A215" s="48">
        <v>0.6125</v>
      </c>
      <c r="B215" s="61" t="s">
        <v>1165</v>
      </c>
      <c r="C215" s="45" t="s">
        <v>442</v>
      </c>
      <c r="D215" s="61" t="s">
        <v>644</v>
      </c>
      <c r="E215" s="11" t="s">
        <v>29</v>
      </c>
    </row>
    <row r="216">
      <c r="A216" s="48">
        <v>0.6125</v>
      </c>
      <c r="B216" s="61" t="s">
        <v>1163</v>
      </c>
      <c r="C216" s="45" t="s">
        <v>301</v>
      </c>
      <c r="D216" s="61" t="s">
        <v>1166</v>
      </c>
      <c r="E216" s="11" t="s">
        <v>33</v>
      </c>
    </row>
    <row r="217">
      <c r="A217" s="48">
        <v>0.6229166666666667</v>
      </c>
      <c r="B217" s="61" t="s">
        <v>1164</v>
      </c>
      <c r="C217" s="45" t="s">
        <v>218</v>
      </c>
      <c r="D217" s="61" t="s">
        <v>644</v>
      </c>
      <c r="E217" s="11" t="s">
        <v>29</v>
      </c>
    </row>
    <row r="218">
      <c r="A218" s="48">
        <v>0.6229166666666667</v>
      </c>
      <c r="B218" s="61" t="s">
        <v>1165</v>
      </c>
      <c r="C218" s="45" t="s">
        <v>271</v>
      </c>
      <c r="D218" s="61" t="s">
        <v>1163</v>
      </c>
      <c r="E218" s="11" t="s">
        <v>33</v>
      </c>
    </row>
    <row r="219">
      <c r="A219" s="48">
        <v>0.6333333333333333</v>
      </c>
      <c r="B219" s="61" t="s">
        <v>1164</v>
      </c>
      <c r="C219" s="45" t="s">
        <v>395</v>
      </c>
      <c r="D219" s="61" t="s">
        <v>1166</v>
      </c>
      <c r="E219" s="11" t="s">
        <v>29</v>
      </c>
    </row>
    <row r="220">
      <c r="A220" s="48">
        <v>0.6333333333333333</v>
      </c>
      <c r="B220" s="61" t="s">
        <v>644</v>
      </c>
      <c r="C220" s="45" t="s">
        <v>181</v>
      </c>
      <c r="D220" s="61" t="s">
        <v>1163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1026</v>
      </c>
      <c r="C223" s="57" t="s">
        <v>256</v>
      </c>
      <c r="D223" s="62" t="s">
        <v>871</v>
      </c>
      <c r="E223" s="11" t="s">
        <v>9</v>
      </c>
    </row>
    <row r="224">
      <c r="A224" s="48">
        <v>0.6458333333333334</v>
      </c>
      <c r="B224" s="62" t="s">
        <v>1167</v>
      </c>
      <c r="C224" s="57" t="s">
        <v>158</v>
      </c>
      <c r="D224" s="62" t="s">
        <v>1168</v>
      </c>
      <c r="E224" s="11" t="s">
        <v>13</v>
      </c>
    </row>
    <row r="225">
      <c r="A225" s="48">
        <v>0.6555555555555556</v>
      </c>
      <c r="B225" s="62" t="s">
        <v>1167</v>
      </c>
      <c r="C225" s="57" t="s">
        <v>193</v>
      </c>
      <c r="D225" s="62" t="s">
        <v>871</v>
      </c>
      <c r="E225" s="11" t="s">
        <v>9</v>
      </c>
    </row>
    <row r="226">
      <c r="A226" s="48">
        <v>0.6555555555555556</v>
      </c>
      <c r="B226" s="62" t="s">
        <v>282</v>
      </c>
      <c r="C226" s="57" t="s">
        <v>825</v>
      </c>
      <c r="D226" s="62" t="s">
        <v>1168</v>
      </c>
      <c r="E226" s="11" t="s">
        <v>13</v>
      </c>
    </row>
    <row r="227">
      <c r="A227" s="48">
        <v>0.6659722222222222</v>
      </c>
      <c r="B227" s="62" t="s">
        <v>282</v>
      </c>
      <c r="C227" s="54" t="s">
        <v>303</v>
      </c>
      <c r="D227" s="62" t="s">
        <v>1167</v>
      </c>
      <c r="E227" s="11" t="s">
        <v>9</v>
      </c>
    </row>
    <row r="228">
      <c r="A228" s="48">
        <v>0.6659722222222222</v>
      </c>
      <c r="B228" s="62" t="s">
        <v>1168</v>
      </c>
      <c r="C228" s="57" t="s">
        <v>16</v>
      </c>
      <c r="D228" s="62" t="s">
        <v>1026</v>
      </c>
      <c r="E228" s="11" t="s">
        <v>13</v>
      </c>
    </row>
    <row r="229">
      <c r="A229" s="48">
        <v>0.6763888888888889</v>
      </c>
      <c r="B229" s="62" t="s">
        <v>282</v>
      </c>
      <c r="C229" s="57" t="s">
        <v>19</v>
      </c>
      <c r="D229" s="62" t="s">
        <v>871</v>
      </c>
      <c r="E229" s="11" t="s">
        <v>9</v>
      </c>
    </row>
    <row r="230">
      <c r="A230" s="48">
        <v>0.6763888888888889</v>
      </c>
      <c r="B230" s="62" t="s">
        <v>1026</v>
      </c>
      <c r="C230" s="57" t="s">
        <v>688</v>
      </c>
      <c r="D230" s="62" t="s">
        <v>1167</v>
      </c>
      <c r="E230" s="11" t="s">
        <v>13</v>
      </c>
    </row>
    <row r="231">
      <c r="A231" s="48">
        <v>0.6861111111111111</v>
      </c>
      <c r="B231" s="62" t="s">
        <v>1168</v>
      </c>
      <c r="C231" s="57" t="s">
        <v>289</v>
      </c>
      <c r="D231" s="62" t="s">
        <v>871</v>
      </c>
      <c r="E231" s="11" t="s">
        <v>9</v>
      </c>
    </row>
    <row r="232">
      <c r="A232" s="48">
        <v>0.6861111111111111</v>
      </c>
      <c r="B232" s="62" t="s">
        <v>1026</v>
      </c>
      <c r="C232" s="57" t="s">
        <v>696</v>
      </c>
      <c r="D232" s="62" t="s">
        <v>282</v>
      </c>
      <c r="E232" s="11" t="s">
        <v>13</v>
      </c>
    </row>
    <row r="233">
      <c r="A233" s="48">
        <v>0.6965277777777777</v>
      </c>
      <c r="B233" s="62" t="s">
        <v>871</v>
      </c>
      <c r="C233" s="57" t="s">
        <v>38</v>
      </c>
      <c r="D233" s="62" t="s">
        <v>1026</v>
      </c>
      <c r="E233" s="11" t="s">
        <v>9</v>
      </c>
    </row>
    <row r="234">
      <c r="A234" s="48">
        <v>0.6965277777777777</v>
      </c>
      <c r="B234" s="62" t="s">
        <v>1168</v>
      </c>
      <c r="C234" s="57" t="s">
        <v>279</v>
      </c>
      <c r="D234" s="62" t="s">
        <v>1167</v>
      </c>
      <c r="E234" s="11" t="s">
        <v>13</v>
      </c>
    </row>
    <row r="235">
      <c r="A235" s="48">
        <v>0.7069444444444445</v>
      </c>
      <c r="B235" s="62" t="s">
        <v>871</v>
      </c>
      <c r="C235" s="45" t="s">
        <v>182</v>
      </c>
      <c r="D235" s="62" t="s">
        <v>1167</v>
      </c>
      <c r="E235" s="11" t="s">
        <v>9</v>
      </c>
    </row>
    <row r="236">
      <c r="A236" s="48">
        <v>0.7069444444444445</v>
      </c>
      <c r="B236" s="62" t="s">
        <v>1168</v>
      </c>
      <c r="C236" s="45" t="s">
        <v>538</v>
      </c>
      <c r="D236" s="62" t="s">
        <v>282</v>
      </c>
      <c r="E236" s="11" t="s">
        <v>13</v>
      </c>
    </row>
    <row r="237">
      <c r="A237" s="48">
        <v>0.7166666666666667</v>
      </c>
      <c r="B237" s="62" t="s">
        <v>1167</v>
      </c>
      <c r="C237" s="45" t="s">
        <v>344</v>
      </c>
      <c r="D237" s="62" t="s">
        <v>282</v>
      </c>
      <c r="E237" s="11" t="s">
        <v>9</v>
      </c>
    </row>
    <row r="238">
      <c r="A238" s="48">
        <v>0.7166666666666667</v>
      </c>
      <c r="B238" s="62" t="s">
        <v>1026</v>
      </c>
      <c r="C238" s="45" t="s">
        <v>324</v>
      </c>
      <c r="D238" s="62" t="s">
        <v>1168</v>
      </c>
      <c r="E238" s="11" t="s">
        <v>13</v>
      </c>
    </row>
    <row r="239">
      <c r="A239" s="48">
        <v>0.7270833333333333</v>
      </c>
      <c r="B239" s="62" t="s">
        <v>871</v>
      </c>
      <c r="C239" s="45" t="s">
        <v>173</v>
      </c>
      <c r="D239" s="62" t="s">
        <v>282</v>
      </c>
      <c r="E239" s="11" t="s">
        <v>9</v>
      </c>
    </row>
    <row r="240">
      <c r="A240" s="48">
        <v>0.7270833333333333</v>
      </c>
      <c r="B240" s="62" t="s">
        <v>1167</v>
      </c>
      <c r="C240" s="45" t="s">
        <v>1169</v>
      </c>
      <c r="D240" s="62" t="s">
        <v>1026</v>
      </c>
      <c r="E240" s="11" t="s">
        <v>13</v>
      </c>
    </row>
    <row r="241">
      <c r="A241" s="48">
        <v>0.7375</v>
      </c>
      <c r="B241" s="62" t="s">
        <v>871</v>
      </c>
      <c r="C241" s="45" t="s">
        <v>24</v>
      </c>
      <c r="D241" s="62" t="s">
        <v>1168</v>
      </c>
      <c r="E241" s="11" t="s">
        <v>9</v>
      </c>
    </row>
    <row r="242">
      <c r="A242" s="48">
        <v>0.7375</v>
      </c>
      <c r="B242" s="62" t="s">
        <v>282</v>
      </c>
      <c r="C242" s="45" t="s">
        <v>440</v>
      </c>
      <c r="D242" s="62" t="s">
        <v>1026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956</v>
      </c>
      <c r="C245" s="57" t="s">
        <v>193</v>
      </c>
      <c r="D245" s="62" t="s">
        <v>1170</v>
      </c>
      <c r="E245" s="11" t="s">
        <v>29</v>
      </c>
    </row>
    <row r="246">
      <c r="A246" s="48">
        <v>0.6458333333333334</v>
      </c>
      <c r="B246" s="62" t="s">
        <v>876</v>
      </c>
      <c r="C246" s="57" t="s">
        <v>354</v>
      </c>
      <c r="D246" s="62" t="s">
        <v>1097</v>
      </c>
      <c r="E246" s="11" t="s">
        <v>33</v>
      </c>
    </row>
    <row r="247">
      <c r="A247" s="48">
        <v>0.6555555555555556</v>
      </c>
      <c r="B247" s="62" t="s">
        <v>876</v>
      </c>
      <c r="C247" s="57" t="s">
        <v>279</v>
      </c>
      <c r="D247" s="62" t="s">
        <v>1170</v>
      </c>
      <c r="E247" s="11" t="s">
        <v>29</v>
      </c>
    </row>
    <row r="248">
      <c r="A248" s="48">
        <v>0.6555555555555556</v>
      </c>
      <c r="B248" s="62" t="s">
        <v>1171</v>
      </c>
      <c r="C248" s="57" t="s">
        <v>195</v>
      </c>
      <c r="D248" s="62" t="s">
        <v>1097</v>
      </c>
      <c r="E248" s="11" t="s">
        <v>33</v>
      </c>
    </row>
    <row r="249">
      <c r="A249" s="48">
        <v>0.6659722222222222</v>
      </c>
      <c r="B249" s="62" t="s">
        <v>1171</v>
      </c>
      <c r="C249" s="57" t="s">
        <v>1172</v>
      </c>
      <c r="D249" s="62" t="s">
        <v>876</v>
      </c>
      <c r="E249" s="11" t="s">
        <v>29</v>
      </c>
    </row>
    <row r="250">
      <c r="A250" s="48">
        <v>0.6659722222222222</v>
      </c>
      <c r="B250" s="62" t="s">
        <v>1097</v>
      </c>
      <c r="C250" s="57" t="s">
        <v>195</v>
      </c>
      <c r="D250" s="62" t="s">
        <v>956</v>
      </c>
      <c r="E250" s="11" t="s">
        <v>33</v>
      </c>
    </row>
    <row r="251">
      <c r="A251" s="48">
        <v>0.6763888888888889</v>
      </c>
      <c r="B251" s="62" t="s">
        <v>1171</v>
      </c>
      <c r="C251" s="57" t="s">
        <v>1173</v>
      </c>
      <c r="D251" s="62" t="s">
        <v>1170</v>
      </c>
      <c r="E251" s="11" t="s">
        <v>29</v>
      </c>
    </row>
    <row r="252">
      <c r="A252" s="48">
        <v>0.6763888888888889</v>
      </c>
      <c r="B252" s="62" t="s">
        <v>956</v>
      </c>
      <c r="C252" s="57" t="s">
        <v>41</v>
      </c>
      <c r="D252" s="62" t="s">
        <v>876</v>
      </c>
      <c r="E252" s="11" t="s">
        <v>33</v>
      </c>
    </row>
    <row r="253">
      <c r="A253" s="48">
        <v>0.6861111111111111</v>
      </c>
      <c r="B253" s="62" t="s">
        <v>1097</v>
      </c>
      <c r="C253" s="57" t="s">
        <v>465</v>
      </c>
      <c r="D253" s="62" t="s">
        <v>1170</v>
      </c>
      <c r="E253" s="11" t="s">
        <v>29</v>
      </c>
    </row>
    <row r="254">
      <c r="A254" s="48">
        <v>0.6861111111111111</v>
      </c>
      <c r="B254" s="62" t="s">
        <v>956</v>
      </c>
      <c r="C254" s="57" t="s">
        <v>27</v>
      </c>
      <c r="D254" s="62" t="s">
        <v>1171</v>
      </c>
      <c r="E254" s="11" t="s">
        <v>33</v>
      </c>
    </row>
    <row r="255">
      <c r="A255" s="48">
        <v>0.6965277777777777</v>
      </c>
      <c r="B255" s="62" t="s">
        <v>1170</v>
      </c>
      <c r="C255" s="57" t="s">
        <v>182</v>
      </c>
      <c r="D255" s="62" t="s">
        <v>956</v>
      </c>
      <c r="E255" s="11" t="s">
        <v>29</v>
      </c>
    </row>
    <row r="256">
      <c r="A256" s="48">
        <v>0.6965277777777777</v>
      </c>
      <c r="B256" s="62" t="s">
        <v>1097</v>
      </c>
      <c r="C256" s="57" t="s">
        <v>185</v>
      </c>
      <c r="D256" s="62" t="s">
        <v>876</v>
      </c>
      <c r="E256" s="11" t="s">
        <v>33</v>
      </c>
    </row>
    <row r="257">
      <c r="A257" s="48">
        <v>0.7069444444444445</v>
      </c>
      <c r="B257" s="62" t="s">
        <v>1170</v>
      </c>
      <c r="C257" s="45" t="s">
        <v>233</v>
      </c>
      <c r="D257" s="62" t="s">
        <v>876</v>
      </c>
      <c r="E257" s="11" t="s">
        <v>29</v>
      </c>
    </row>
    <row r="258">
      <c r="A258" s="48">
        <v>0.7069444444444445</v>
      </c>
      <c r="B258" s="62" t="s">
        <v>1097</v>
      </c>
      <c r="C258" s="45" t="s">
        <v>176</v>
      </c>
      <c r="D258" s="62" t="s">
        <v>1171</v>
      </c>
      <c r="E258" s="11" t="s">
        <v>33</v>
      </c>
    </row>
    <row r="259">
      <c r="A259" s="48">
        <v>0.7166666666666667</v>
      </c>
      <c r="B259" s="62" t="s">
        <v>876</v>
      </c>
      <c r="C259" s="45" t="s">
        <v>173</v>
      </c>
      <c r="D259" s="62" t="s">
        <v>1171</v>
      </c>
      <c r="E259" s="11" t="s">
        <v>29</v>
      </c>
    </row>
    <row r="260">
      <c r="A260" s="48">
        <v>0.7166666666666667</v>
      </c>
      <c r="B260" s="62" t="s">
        <v>956</v>
      </c>
      <c r="C260" s="45" t="s">
        <v>264</v>
      </c>
      <c r="D260" s="62" t="s">
        <v>1097</v>
      </c>
      <c r="E260" s="11" t="s">
        <v>33</v>
      </c>
    </row>
    <row r="261">
      <c r="A261" s="48">
        <v>0.7270833333333333</v>
      </c>
      <c r="B261" s="62" t="s">
        <v>1170</v>
      </c>
      <c r="C261" s="45" t="s">
        <v>463</v>
      </c>
      <c r="D261" s="62" t="s">
        <v>1171</v>
      </c>
      <c r="E261" s="11" t="s">
        <v>29</v>
      </c>
    </row>
    <row r="262">
      <c r="A262" s="48">
        <v>0.7270833333333333</v>
      </c>
      <c r="B262" s="62" t="s">
        <v>876</v>
      </c>
      <c r="C262" s="45" t="s">
        <v>566</v>
      </c>
      <c r="D262" s="62" t="s">
        <v>956</v>
      </c>
      <c r="E262" s="11" t="s">
        <v>33</v>
      </c>
    </row>
    <row r="263">
      <c r="A263" s="48">
        <v>0.7375</v>
      </c>
      <c r="B263" s="62" t="s">
        <v>1170</v>
      </c>
      <c r="C263" s="45" t="s">
        <v>545</v>
      </c>
      <c r="D263" s="62" t="s">
        <v>1097</v>
      </c>
      <c r="E263" s="11" t="s">
        <v>29</v>
      </c>
    </row>
    <row r="264">
      <c r="A264" s="48">
        <v>0.7375</v>
      </c>
      <c r="B264" s="62" t="s">
        <v>1171</v>
      </c>
      <c r="C264" s="45" t="s">
        <v>352</v>
      </c>
      <c r="D264" s="62" t="s">
        <v>956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1174</v>
      </c>
      <c r="C267" s="45" t="s">
        <v>173</v>
      </c>
      <c r="D267" s="62" t="s">
        <v>961</v>
      </c>
      <c r="E267" s="11" t="s">
        <v>9</v>
      </c>
    </row>
    <row r="268">
      <c r="A268" s="48">
        <v>0.75</v>
      </c>
      <c r="B268" s="62" t="s">
        <v>777</v>
      </c>
      <c r="C268" s="45" t="s">
        <v>193</v>
      </c>
      <c r="D268" s="62" t="s">
        <v>1175</v>
      </c>
      <c r="E268" s="11" t="s">
        <v>13</v>
      </c>
    </row>
    <row r="269">
      <c r="A269" s="48">
        <v>0.7597222222222222</v>
      </c>
      <c r="B269" s="62" t="s">
        <v>777</v>
      </c>
      <c r="C269" s="45" t="s">
        <v>292</v>
      </c>
      <c r="D269" s="62" t="s">
        <v>961</v>
      </c>
      <c r="E269" s="11" t="s">
        <v>9</v>
      </c>
    </row>
    <row r="270">
      <c r="A270" s="48">
        <v>0.7597222222222222</v>
      </c>
      <c r="B270" s="62" t="s">
        <v>1176</v>
      </c>
      <c r="C270" s="45" t="s">
        <v>279</v>
      </c>
      <c r="D270" s="62" t="s">
        <v>1175</v>
      </c>
      <c r="E270" s="11" t="s">
        <v>13</v>
      </c>
    </row>
    <row r="271">
      <c r="A271" s="48">
        <v>0.7701388888888889</v>
      </c>
      <c r="B271" s="62" t="s">
        <v>1176</v>
      </c>
      <c r="C271" s="45" t="s">
        <v>464</v>
      </c>
      <c r="D271" s="62" t="s">
        <v>777</v>
      </c>
      <c r="E271" s="11" t="s">
        <v>9</v>
      </c>
    </row>
    <row r="272">
      <c r="A272" s="48">
        <v>0.7701388888888889</v>
      </c>
      <c r="B272" s="62" t="s">
        <v>1175</v>
      </c>
      <c r="C272" s="45" t="s">
        <v>23</v>
      </c>
      <c r="D272" s="62" t="s">
        <v>1174</v>
      </c>
      <c r="E272" s="11" t="s">
        <v>13</v>
      </c>
    </row>
    <row r="273">
      <c r="A273" s="48">
        <v>0.7805555555555556</v>
      </c>
      <c r="B273" s="62" t="s">
        <v>1176</v>
      </c>
      <c r="C273" s="45" t="s">
        <v>196</v>
      </c>
      <c r="D273" s="62" t="s">
        <v>961</v>
      </c>
      <c r="E273" s="11" t="s">
        <v>9</v>
      </c>
    </row>
    <row r="274">
      <c r="A274" s="48">
        <v>0.7805555555555556</v>
      </c>
      <c r="B274" s="62" t="s">
        <v>1174</v>
      </c>
      <c r="C274" s="45" t="s">
        <v>301</v>
      </c>
      <c r="D274" s="62" t="s">
        <v>777</v>
      </c>
      <c r="E274" s="11" t="s">
        <v>13</v>
      </c>
    </row>
    <row r="275">
      <c r="A275" s="48">
        <v>0.7902777777777777</v>
      </c>
      <c r="B275" s="62" t="s">
        <v>1175</v>
      </c>
      <c r="C275" s="45" t="s">
        <v>774</v>
      </c>
      <c r="D275" s="62" t="s">
        <v>961</v>
      </c>
      <c r="E275" s="11" t="s">
        <v>9</v>
      </c>
    </row>
    <row r="276">
      <c r="A276" s="48">
        <v>0.7902777777777777</v>
      </c>
      <c r="B276" s="62" t="s">
        <v>1174</v>
      </c>
      <c r="C276" s="45" t="s">
        <v>23</v>
      </c>
      <c r="D276" s="62" t="s">
        <v>1176</v>
      </c>
      <c r="E276" s="11" t="s">
        <v>13</v>
      </c>
    </row>
    <row r="277">
      <c r="A277" s="48">
        <v>0.8006944444444445</v>
      </c>
      <c r="B277" s="62" t="s">
        <v>961</v>
      </c>
      <c r="C277" s="45" t="s">
        <v>177</v>
      </c>
      <c r="D277" s="62" t="s">
        <v>1174</v>
      </c>
      <c r="E277" s="11" t="s">
        <v>9</v>
      </c>
    </row>
    <row r="278">
      <c r="A278" s="48">
        <v>0.8006944444444445</v>
      </c>
      <c r="B278" s="62" t="s">
        <v>1175</v>
      </c>
      <c r="C278" s="45" t="s">
        <v>19</v>
      </c>
      <c r="D278" s="62" t="s">
        <v>777</v>
      </c>
      <c r="E278" s="11" t="s">
        <v>13</v>
      </c>
    </row>
    <row r="279">
      <c r="A279" s="48">
        <v>0.8111111111111111</v>
      </c>
      <c r="B279" s="62" t="s">
        <v>961</v>
      </c>
      <c r="C279" s="45" t="s">
        <v>194</v>
      </c>
      <c r="D279" s="62" t="s">
        <v>777</v>
      </c>
      <c r="E279" s="11" t="s">
        <v>9</v>
      </c>
    </row>
    <row r="280">
      <c r="A280" s="48">
        <v>0.8111111111111111</v>
      </c>
      <c r="B280" s="62" t="s">
        <v>1175</v>
      </c>
      <c r="C280" s="45" t="s">
        <v>344</v>
      </c>
      <c r="D280" s="62" t="s">
        <v>1176</v>
      </c>
      <c r="E280" s="11" t="s">
        <v>13</v>
      </c>
    </row>
    <row r="281">
      <c r="A281" s="48">
        <v>0.8208333333333333</v>
      </c>
      <c r="B281" s="62" t="s">
        <v>777</v>
      </c>
      <c r="C281" s="45" t="s">
        <v>165</v>
      </c>
      <c r="D281" s="62" t="s">
        <v>1176</v>
      </c>
      <c r="E281" s="11" t="s">
        <v>9</v>
      </c>
    </row>
    <row r="282">
      <c r="A282" s="48">
        <v>0.8208333333333333</v>
      </c>
      <c r="B282" s="62" t="s">
        <v>1174</v>
      </c>
      <c r="C282" s="45" t="s">
        <v>250</v>
      </c>
      <c r="D282" s="62" t="s">
        <v>1175</v>
      </c>
      <c r="E282" s="11" t="s">
        <v>13</v>
      </c>
    </row>
    <row r="283">
      <c r="A283" s="48">
        <v>0.83125</v>
      </c>
      <c r="B283" s="62" t="s">
        <v>961</v>
      </c>
      <c r="C283" s="45" t="s">
        <v>248</v>
      </c>
      <c r="D283" s="62" t="s">
        <v>1176</v>
      </c>
      <c r="E283" s="11" t="s">
        <v>9</v>
      </c>
    </row>
    <row r="284">
      <c r="A284" s="48">
        <v>0.83125</v>
      </c>
      <c r="B284" s="62" t="s">
        <v>777</v>
      </c>
      <c r="C284" s="45" t="s">
        <v>17</v>
      </c>
      <c r="D284" s="62" t="s">
        <v>1174</v>
      </c>
      <c r="E284" s="11" t="s">
        <v>13</v>
      </c>
    </row>
    <row r="285">
      <c r="A285" s="48">
        <v>0.8416666666666667</v>
      </c>
      <c r="B285" s="62" t="s">
        <v>961</v>
      </c>
      <c r="C285" s="45" t="s">
        <v>220</v>
      </c>
      <c r="D285" s="62" t="s">
        <v>1175</v>
      </c>
      <c r="E285" s="11" t="s">
        <v>9</v>
      </c>
    </row>
    <row r="286">
      <c r="A286" s="48">
        <v>0.8416666666666667</v>
      </c>
      <c r="B286" s="62" t="s">
        <v>1176</v>
      </c>
      <c r="C286" s="45" t="s">
        <v>44</v>
      </c>
      <c r="D286" s="62" t="s">
        <v>1174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788</v>
      </c>
      <c r="C289" s="57" t="s">
        <v>465</v>
      </c>
      <c r="D289" s="62" t="s">
        <v>1177</v>
      </c>
      <c r="E289" s="11" t="s">
        <v>29</v>
      </c>
    </row>
    <row r="290">
      <c r="A290" s="48">
        <v>0.75</v>
      </c>
      <c r="B290" s="62" t="s">
        <v>885</v>
      </c>
      <c r="C290" s="57" t="s">
        <v>218</v>
      </c>
      <c r="D290" s="62" t="s">
        <v>1178</v>
      </c>
      <c r="E290" s="11" t="s">
        <v>33</v>
      </c>
    </row>
    <row r="291">
      <c r="A291" s="48">
        <v>0.7597222222222222</v>
      </c>
      <c r="B291" s="62" t="s">
        <v>885</v>
      </c>
      <c r="C291" s="57" t="s">
        <v>1179</v>
      </c>
      <c r="D291" s="62" t="s">
        <v>1177</v>
      </c>
      <c r="E291" s="11" t="s">
        <v>29</v>
      </c>
    </row>
    <row r="292">
      <c r="A292" s="48">
        <v>0.7597222222222222</v>
      </c>
      <c r="B292" s="62" t="s">
        <v>1180</v>
      </c>
      <c r="C292" s="57" t="s">
        <v>442</v>
      </c>
      <c r="D292" s="62" t="s">
        <v>1178</v>
      </c>
      <c r="E292" s="11" t="s">
        <v>33</v>
      </c>
    </row>
    <row r="293">
      <c r="A293" s="48">
        <v>0.7701388888888889</v>
      </c>
      <c r="B293" s="62" t="s">
        <v>1180</v>
      </c>
      <c r="C293" s="57" t="s">
        <v>342</v>
      </c>
      <c r="D293" s="62" t="s">
        <v>885</v>
      </c>
      <c r="E293" s="11" t="s">
        <v>29</v>
      </c>
    </row>
    <row r="294">
      <c r="A294" s="48">
        <v>0.7701388888888889</v>
      </c>
      <c r="B294" s="62" t="s">
        <v>1178</v>
      </c>
      <c r="C294" s="57" t="s">
        <v>464</v>
      </c>
      <c r="D294" s="62" t="s">
        <v>788</v>
      </c>
      <c r="E294" s="11" t="s">
        <v>33</v>
      </c>
    </row>
    <row r="295">
      <c r="A295" s="48">
        <v>0.7805555555555556</v>
      </c>
      <c r="B295" s="62" t="s">
        <v>1180</v>
      </c>
      <c r="C295" s="57" t="s">
        <v>269</v>
      </c>
      <c r="D295" s="62" t="s">
        <v>1177</v>
      </c>
      <c r="E295" s="11" t="s">
        <v>29</v>
      </c>
    </row>
    <row r="296">
      <c r="A296" s="48">
        <v>0.7805555555555556</v>
      </c>
      <c r="B296" s="62" t="s">
        <v>788</v>
      </c>
      <c r="C296" s="57" t="s">
        <v>291</v>
      </c>
      <c r="D296" s="62" t="s">
        <v>885</v>
      </c>
      <c r="E296" s="11" t="s">
        <v>33</v>
      </c>
    </row>
    <row r="297">
      <c r="A297" s="48">
        <v>0.7902777777777777</v>
      </c>
      <c r="B297" s="62" t="s">
        <v>1178</v>
      </c>
      <c r="C297" s="57" t="s">
        <v>187</v>
      </c>
      <c r="D297" s="62" t="s">
        <v>1177</v>
      </c>
      <c r="E297" s="11" t="s">
        <v>29</v>
      </c>
    </row>
    <row r="298">
      <c r="A298" s="48">
        <v>0.7902777777777777</v>
      </c>
      <c r="B298" s="62" t="s">
        <v>788</v>
      </c>
      <c r="C298" s="57" t="s">
        <v>362</v>
      </c>
      <c r="D298" s="62" t="s">
        <v>1180</v>
      </c>
      <c r="E298" s="11" t="s">
        <v>33</v>
      </c>
    </row>
    <row r="299">
      <c r="A299" s="48">
        <v>0.8006944444444445</v>
      </c>
      <c r="B299" s="62" t="s">
        <v>1177</v>
      </c>
      <c r="C299" s="57" t="s">
        <v>352</v>
      </c>
      <c r="D299" s="62" t="s">
        <v>788</v>
      </c>
      <c r="E299" s="11" t="s">
        <v>29</v>
      </c>
    </row>
    <row r="300">
      <c r="A300" s="48">
        <v>0.8006944444444445</v>
      </c>
      <c r="B300" s="62" t="s">
        <v>1178</v>
      </c>
      <c r="C300" s="57" t="s">
        <v>536</v>
      </c>
      <c r="D300" s="62" t="s">
        <v>885</v>
      </c>
      <c r="E300" s="11" t="s">
        <v>33</v>
      </c>
    </row>
    <row r="301">
      <c r="A301" s="48">
        <v>0.8111111111111111</v>
      </c>
      <c r="B301" s="62" t="s">
        <v>1177</v>
      </c>
      <c r="C301" s="45" t="s">
        <v>41</v>
      </c>
      <c r="D301" s="62" t="s">
        <v>885</v>
      </c>
      <c r="E301" s="11" t="s">
        <v>29</v>
      </c>
    </row>
    <row r="302">
      <c r="A302" s="48">
        <v>0.8111111111111111</v>
      </c>
      <c r="B302" s="62" t="s">
        <v>1178</v>
      </c>
      <c r="C302" s="45" t="s">
        <v>39</v>
      </c>
      <c r="D302" s="62" t="s">
        <v>1180</v>
      </c>
      <c r="E302" s="11" t="s">
        <v>33</v>
      </c>
    </row>
    <row r="303">
      <c r="A303" s="48">
        <v>0.8208333333333333</v>
      </c>
      <c r="B303" s="62" t="s">
        <v>885</v>
      </c>
      <c r="C303" s="45" t="s">
        <v>27</v>
      </c>
      <c r="D303" s="62" t="s">
        <v>1180</v>
      </c>
      <c r="E303" s="11" t="s">
        <v>29</v>
      </c>
    </row>
    <row r="304">
      <c r="A304" s="48">
        <v>0.8208333333333333</v>
      </c>
      <c r="B304" s="62" t="s">
        <v>788</v>
      </c>
      <c r="C304" s="45" t="s">
        <v>7</v>
      </c>
      <c r="D304" s="62" t="s">
        <v>1178</v>
      </c>
      <c r="E304" s="11" t="s">
        <v>33</v>
      </c>
    </row>
    <row r="305">
      <c r="A305" s="48">
        <v>0.83125</v>
      </c>
      <c r="B305" s="62" t="s">
        <v>1177</v>
      </c>
      <c r="C305" s="45" t="s">
        <v>910</v>
      </c>
      <c r="D305" s="62" t="s">
        <v>1180</v>
      </c>
      <c r="E305" s="11" t="s">
        <v>29</v>
      </c>
    </row>
    <row r="306">
      <c r="A306" s="48">
        <v>0.83125</v>
      </c>
      <c r="B306" s="62" t="s">
        <v>885</v>
      </c>
      <c r="C306" s="45" t="s">
        <v>16</v>
      </c>
      <c r="D306" s="62" t="s">
        <v>788</v>
      </c>
      <c r="E306" s="11" t="s">
        <v>33</v>
      </c>
    </row>
    <row r="307">
      <c r="A307" s="48">
        <v>0.8416666666666667</v>
      </c>
      <c r="B307" s="62" t="s">
        <v>1177</v>
      </c>
      <c r="C307" s="45" t="s">
        <v>1181</v>
      </c>
      <c r="D307" s="62" t="s">
        <v>1178</v>
      </c>
      <c r="E307" s="11" t="s">
        <v>29</v>
      </c>
    </row>
    <row r="308">
      <c r="A308" s="48">
        <v>0.8416666666666667</v>
      </c>
      <c r="B308" s="62" t="s">
        <v>1180</v>
      </c>
      <c r="C308" s="45" t="s">
        <v>248</v>
      </c>
      <c r="D308" s="62" t="s">
        <v>788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1182</v>
      </c>
      <c r="C311" s="57" t="s">
        <v>24</v>
      </c>
      <c r="D311" s="62" t="s">
        <v>795</v>
      </c>
      <c r="E311" s="11" t="s">
        <v>9</v>
      </c>
    </row>
    <row r="312">
      <c r="A312" s="48">
        <v>0.8541666666666666</v>
      </c>
      <c r="B312" s="62" t="s">
        <v>1183</v>
      </c>
      <c r="C312" s="57" t="s">
        <v>289</v>
      </c>
      <c r="D312" s="62" t="s">
        <v>1184</v>
      </c>
      <c r="E312" s="11" t="s">
        <v>13</v>
      </c>
    </row>
    <row r="313">
      <c r="A313" s="48">
        <v>0.8638888888888889</v>
      </c>
      <c r="B313" s="62" t="s">
        <v>1183</v>
      </c>
      <c r="C313" s="57" t="s">
        <v>196</v>
      </c>
      <c r="D313" s="62" t="s">
        <v>795</v>
      </c>
      <c r="E313" s="11" t="s">
        <v>9</v>
      </c>
    </row>
    <row r="314">
      <c r="A314" s="48">
        <v>0.8638888888888889</v>
      </c>
      <c r="B314" s="62" t="s">
        <v>328</v>
      </c>
      <c r="C314" s="57" t="s">
        <v>208</v>
      </c>
      <c r="D314" s="62" t="s">
        <v>1184</v>
      </c>
      <c r="E314" s="11" t="s">
        <v>13</v>
      </c>
    </row>
    <row r="315">
      <c r="A315" s="48">
        <v>0.8743055555555556</v>
      </c>
      <c r="B315" s="62" t="s">
        <v>328</v>
      </c>
      <c r="C315" s="57" t="s">
        <v>1185</v>
      </c>
      <c r="D315" s="62" t="s">
        <v>1183</v>
      </c>
      <c r="E315" s="11" t="s">
        <v>9</v>
      </c>
    </row>
    <row r="316">
      <c r="A316" s="48">
        <v>0.8743055555555556</v>
      </c>
      <c r="B316" s="62" t="s">
        <v>1184</v>
      </c>
      <c r="C316" s="57" t="s">
        <v>173</v>
      </c>
      <c r="D316" s="62" t="s">
        <v>1182</v>
      </c>
      <c r="E316" s="11" t="s">
        <v>13</v>
      </c>
    </row>
    <row r="317">
      <c r="A317" s="48">
        <v>0.8847222222222222</v>
      </c>
      <c r="B317" s="62" t="s">
        <v>328</v>
      </c>
      <c r="C317" s="57" t="s">
        <v>507</v>
      </c>
      <c r="D317" s="62" t="s">
        <v>795</v>
      </c>
      <c r="E317" s="11" t="s">
        <v>9</v>
      </c>
    </row>
    <row r="318">
      <c r="A318" s="48">
        <v>0.8847222222222222</v>
      </c>
      <c r="B318" s="62" t="s">
        <v>1182</v>
      </c>
      <c r="C318" s="57" t="s">
        <v>466</v>
      </c>
      <c r="D318" s="62" t="s">
        <v>1183</v>
      </c>
      <c r="E318" s="11" t="s">
        <v>13</v>
      </c>
    </row>
    <row r="319">
      <c r="A319" s="48">
        <v>0.8944444444444445</v>
      </c>
      <c r="B319" s="62" t="s">
        <v>1184</v>
      </c>
      <c r="C319" s="57" t="s">
        <v>258</v>
      </c>
      <c r="D319" s="62" t="s">
        <v>795</v>
      </c>
      <c r="E319" s="11" t="s">
        <v>9</v>
      </c>
    </row>
    <row r="320">
      <c r="A320" s="48">
        <v>0.8944444444444445</v>
      </c>
      <c r="B320" s="62" t="s">
        <v>1182</v>
      </c>
      <c r="C320" s="57" t="s">
        <v>1186</v>
      </c>
      <c r="D320" s="62" t="s">
        <v>328</v>
      </c>
      <c r="E320" s="60" t="str">
        <f>HYPERLINK("https://youtu.be/fU6rUT6dB08?t=3708","channel 2")</f>
        <v>channel 2</v>
      </c>
    </row>
    <row r="321">
      <c r="A321" s="48">
        <v>0.9048611111111111</v>
      </c>
      <c r="B321" s="62" t="s">
        <v>795</v>
      </c>
      <c r="C321" s="57" t="s">
        <v>20</v>
      </c>
      <c r="D321" s="62" t="s">
        <v>1182</v>
      </c>
      <c r="E321" s="11" t="s">
        <v>9</v>
      </c>
    </row>
    <row r="322">
      <c r="A322" s="48">
        <v>0.9048611111111111</v>
      </c>
      <c r="B322" s="62" t="s">
        <v>1184</v>
      </c>
      <c r="C322" s="57" t="s">
        <v>19</v>
      </c>
      <c r="D322" s="62" t="s">
        <v>1183</v>
      </c>
      <c r="E322" s="11" t="s">
        <v>13</v>
      </c>
    </row>
    <row r="323">
      <c r="A323" s="48">
        <v>0.9152777777777777</v>
      </c>
      <c r="B323" s="62" t="s">
        <v>795</v>
      </c>
      <c r="C323" s="45" t="s">
        <v>324</v>
      </c>
      <c r="D323" s="62" t="s">
        <v>1183</v>
      </c>
      <c r="E323" s="11" t="s">
        <v>9</v>
      </c>
    </row>
    <row r="324">
      <c r="A324" s="48">
        <v>0.9152777777777777</v>
      </c>
      <c r="B324" s="62" t="s">
        <v>1184</v>
      </c>
      <c r="C324" s="45" t="s">
        <v>181</v>
      </c>
      <c r="D324" s="62" t="s">
        <v>328</v>
      </c>
      <c r="E324" s="11" t="s">
        <v>13</v>
      </c>
    </row>
    <row r="325">
      <c r="A325" s="48">
        <v>0.925</v>
      </c>
      <c r="B325" s="62" t="s">
        <v>1183</v>
      </c>
      <c r="C325" s="45" t="s">
        <v>344</v>
      </c>
      <c r="D325" s="62" t="s">
        <v>328</v>
      </c>
      <c r="E325" s="11" t="s">
        <v>9</v>
      </c>
    </row>
    <row r="326">
      <c r="A326" s="48">
        <v>0.925</v>
      </c>
      <c r="B326" s="62" t="s">
        <v>1182</v>
      </c>
      <c r="C326" s="45" t="s">
        <v>432</v>
      </c>
      <c r="D326" s="62" t="s">
        <v>1184</v>
      </c>
      <c r="E326" s="11" t="s">
        <v>13</v>
      </c>
    </row>
    <row r="327">
      <c r="A327" s="48">
        <v>0.9354166666666667</v>
      </c>
      <c r="B327" s="62" t="s">
        <v>795</v>
      </c>
      <c r="C327" s="45" t="s">
        <v>196</v>
      </c>
      <c r="D327" s="62" t="s">
        <v>328</v>
      </c>
      <c r="E327" s="11" t="s">
        <v>9</v>
      </c>
    </row>
    <row r="328">
      <c r="A328" s="48">
        <v>0.9354166666666667</v>
      </c>
      <c r="B328" s="62" t="s">
        <v>1183</v>
      </c>
      <c r="C328" s="45" t="s">
        <v>183</v>
      </c>
      <c r="D328" s="62" t="s">
        <v>1182</v>
      </c>
      <c r="E328" s="11" t="s">
        <v>13</v>
      </c>
    </row>
    <row r="329">
      <c r="A329" s="48">
        <v>0.9458333333333333</v>
      </c>
      <c r="B329" s="62" t="s">
        <v>795</v>
      </c>
      <c r="C329" s="45" t="s">
        <v>173</v>
      </c>
      <c r="D329" s="62" t="s">
        <v>1184</v>
      </c>
      <c r="E329" s="11" t="s">
        <v>9</v>
      </c>
    </row>
    <row r="330">
      <c r="A330" s="48">
        <v>0.9458333333333333</v>
      </c>
      <c r="B330" s="62" t="s">
        <v>328</v>
      </c>
      <c r="C330" s="45" t="s">
        <v>449</v>
      </c>
      <c r="D330" s="62" t="s">
        <v>1182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801</v>
      </c>
      <c r="C333" s="57" t="s">
        <v>418</v>
      </c>
      <c r="D333" s="62" t="s">
        <v>970</v>
      </c>
      <c r="E333" s="11" t="s">
        <v>29</v>
      </c>
    </row>
    <row r="334">
      <c r="A334" s="48">
        <v>0.8541666666666666</v>
      </c>
      <c r="B334" s="62" t="s">
        <v>1187</v>
      </c>
      <c r="C334" s="57" t="s">
        <v>219</v>
      </c>
      <c r="D334" s="62" t="s">
        <v>722</v>
      </c>
      <c r="E334" s="11" t="s">
        <v>33</v>
      </c>
    </row>
    <row r="335">
      <c r="A335" s="48">
        <v>0.8638888888888889</v>
      </c>
      <c r="B335" s="62" t="s">
        <v>1187</v>
      </c>
      <c r="C335" s="57" t="s">
        <v>36</v>
      </c>
      <c r="D335" s="62" t="s">
        <v>970</v>
      </c>
      <c r="E335" s="11" t="s">
        <v>29</v>
      </c>
    </row>
    <row r="336">
      <c r="A336" s="48">
        <v>0.8638888888888889</v>
      </c>
      <c r="B336" s="62" t="s">
        <v>1046</v>
      </c>
      <c r="C336" s="57" t="s">
        <v>354</v>
      </c>
      <c r="D336" s="62" t="s">
        <v>722</v>
      </c>
      <c r="E336" s="11" t="s">
        <v>33</v>
      </c>
    </row>
    <row r="337">
      <c r="A337" s="48">
        <v>0.8743055555555556</v>
      </c>
      <c r="B337" s="62" t="s">
        <v>1046</v>
      </c>
      <c r="C337" s="57" t="s">
        <v>19</v>
      </c>
      <c r="D337" s="62" t="s">
        <v>1187</v>
      </c>
      <c r="E337" s="11" t="s">
        <v>29</v>
      </c>
    </row>
    <row r="338">
      <c r="A338" s="48">
        <v>0.8743055555555556</v>
      </c>
      <c r="B338" s="62" t="s">
        <v>722</v>
      </c>
      <c r="C338" s="57" t="s">
        <v>651</v>
      </c>
      <c r="D338" s="62" t="s">
        <v>801</v>
      </c>
      <c r="E338" s="11" t="s">
        <v>33</v>
      </c>
    </row>
    <row r="339">
      <c r="A339" s="48">
        <v>0.8847222222222222</v>
      </c>
      <c r="B339" s="62" t="s">
        <v>1046</v>
      </c>
      <c r="C339" s="57" t="s">
        <v>311</v>
      </c>
      <c r="D339" s="62" t="s">
        <v>970</v>
      </c>
      <c r="E339" s="11" t="s">
        <v>29</v>
      </c>
    </row>
    <row r="340">
      <c r="A340" s="48">
        <v>0.8847222222222222</v>
      </c>
      <c r="B340" s="62" t="s">
        <v>801</v>
      </c>
      <c r="C340" s="57" t="s">
        <v>166</v>
      </c>
      <c r="D340" s="62" t="s">
        <v>1187</v>
      </c>
      <c r="E340" s="11" t="s">
        <v>33</v>
      </c>
    </row>
    <row r="341">
      <c r="A341" s="48">
        <v>0.8944444444444445</v>
      </c>
      <c r="B341" s="62" t="s">
        <v>722</v>
      </c>
      <c r="C341" s="57" t="s">
        <v>426</v>
      </c>
      <c r="D341" s="62" t="s">
        <v>970</v>
      </c>
      <c r="E341" s="11" t="s">
        <v>29</v>
      </c>
    </row>
    <row r="342">
      <c r="A342" s="48">
        <v>0.8944444444444445</v>
      </c>
      <c r="B342" s="62" t="s">
        <v>801</v>
      </c>
      <c r="C342" s="57" t="s">
        <v>279</v>
      </c>
      <c r="D342" s="62" t="s">
        <v>1046</v>
      </c>
      <c r="E342" s="11" t="s">
        <v>33</v>
      </c>
    </row>
    <row r="343">
      <c r="A343" s="48">
        <v>0.9048611111111111</v>
      </c>
      <c r="B343" s="62" t="s">
        <v>970</v>
      </c>
      <c r="C343" s="57" t="s">
        <v>212</v>
      </c>
      <c r="D343" s="62" t="s">
        <v>801</v>
      </c>
      <c r="E343" s="11" t="s">
        <v>29</v>
      </c>
    </row>
    <row r="344">
      <c r="A344" s="48">
        <v>0.9048611111111111</v>
      </c>
      <c r="B344" s="62" t="s">
        <v>722</v>
      </c>
      <c r="C344" s="57" t="s">
        <v>43</v>
      </c>
      <c r="D344" s="62" t="s">
        <v>1187</v>
      </c>
      <c r="E344" s="11" t="s">
        <v>33</v>
      </c>
    </row>
    <row r="345">
      <c r="A345" s="48">
        <v>0.9152777777777777</v>
      </c>
      <c r="B345" s="62" t="s">
        <v>970</v>
      </c>
      <c r="C345" s="45" t="s">
        <v>1188</v>
      </c>
      <c r="D345" s="62" t="s">
        <v>1187</v>
      </c>
      <c r="E345" s="11" t="s">
        <v>29</v>
      </c>
    </row>
    <row r="346">
      <c r="A346" s="48">
        <v>0.9152777777777777</v>
      </c>
      <c r="B346" s="62" t="s">
        <v>722</v>
      </c>
      <c r="C346" s="45" t="s">
        <v>291</v>
      </c>
      <c r="D346" s="62" t="s">
        <v>1046</v>
      </c>
      <c r="E346" s="11" t="s">
        <v>33</v>
      </c>
    </row>
    <row r="347">
      <c r="A347" s="48">
        <v>0.925</v>
      </c>
      <c r="B347" s="62" t="s">
        <v>1187</v>
      </c>
      <c r="C347" s="45" t="s">
        <v>442</v>
      </c>
      <c r="D347" s="62" t="s">
        <v>1046</v>
      </c>
      <c r="E347" s="11" t="s">
        <v>29</v>
      </c>
    </row>
    <row r="348">
      <c r="A348" s="48">
        <v>0.925</v>
      </c>
      <c r="B348" s="62" t="s">
        <v>801</v>
      </c>
      <c r="C348" s="45" t="s">
        <v>1189</v>
      </c>
      <c r="D348" s="62" t="s">
        <v>722</v>
      </c>
      <c r="E348" s="11" t="s">
        <v>33</v>
      </c>
    </row>
    <row r="349">
      <c r="A349" s="48">
        <v>0.9354166666666667</v>
      </c>
      <c r="B349" s="62" t="s">
        <v>970</v>
      </c>
      <c r="C349" s="45" t="s">
        <v>227</v>
      </c>
      <c r="D349" s="62" t="s">
        <v>1046</v>
      </c>
      <c r="E349" s="11" t="s">
        <v>29</v>
      </c>
    </row>
    <row r="350">
      <c r="A350" s="48">
        <v>0.9354166666666667</v>
      </c>
      <c r="B350" s="62" t="s">
        <v>1187</v>
      </c>
      <c r="C350" s="45" t="s">
        <v>43</v>
      </c>
      <c r="D350" s="62" t="s">
        <v>801</v>
      </c>
      <c r="E350" s="11" t="s">
        <v>33</v>
      </c>
    </row>
    <row r="351">
      <c r="A351" s="48">
        <v>0.9458333333333333</v>
      </c>
      <c r="B351" s="62" t="s">
        <v>970</v>
      </c>
      <c r="C351" s="45" t="s">
        <v>910</v>
      </c>
      <c r="D351" s="62" t="s">
        <v>722</v>
      </c>
      <c r="E351" s="11" t="s">
        <v>29</v>
      </c>
    </row>
    <row r="352">
      <c r="A352" s="48">
        <v>0.9458333333333333</v>
      </c>
      <c r="B352" s="62" t="s">
        <v>1046</v>
      </c>
      <c r="C352" s="45" t="s">
        <v>193</v>
      </c>
      <c r="D352" s="62" t="s">
        <v>801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896</v>
      </c>
      <c r="C355" s="45" t="s">
        <v>244</v>
      </c>
      <c r="D355" s="62" t="s">
        <v>371</v>
      </c>
      <c r="E355" s="11" t="s">
        <v>9</v>
      </c>
    </row>
    <row r="356">
      <c r="A356" s="48">
        <v>0.9583333333333334</v>
      </c>
      <c r="B356" s="62" t="s">
        <v>1190</v>
      </c>
      <c r="C356" s="45" t="s">
        <v>292</v>
      </c>
      <c r="D356" s="62" t="s">
        <v>814</v>
      </c>
      <c r="E356" s="11" t="s">
        <v>13</v>
      </c>
    </row>
    <row r="357">
      <c r="A357" s="48">
        <v>0.9680555555555556</v>
      </c>
      <c r="B357" s="62" t="s">
        <v>1190</v>
      </c>
      <c r="C357" s="45" t="s">
        <v>218</v>
      </c>
      <c r="D357" s="62" t="s">
        <v>371</v>
      </c>
      <c r="E357" s="11" t="s">
        <v>9</v>
      </c>
    </row>
    <row r="358">
      <c r="A358" s="48">
        <v>0.9680555555555556</v>
      </c>
      <c r="B358" s="62" t="s">
        <v>1191</v>
      </c>
      <c r="C358" s="45" t="s">
        <v>222</v>
      </c>
      <c r="D358" s="62" t="s">
        <v>814</v>
      </c>
      <c r="E358" s="11" t="s">
        <v>13</v>
      </c>
    </row>
    <row r="359">
      <c r="A359" s="48">
        <v>0.9784722222222222</v>
      </c>
      <c r="B359" s="62" t="s">
        <v>1191</v>
      </c>
      <c r="C359" s="45" t="s">
        <v>43</v>
      </c>
      <c r="D359" s="62" t="s">
        <v>1190</v>
      </c>
      <c r="E359" s="11" t="s">
        <v>9</v>
      </c>
    </row>
    <row r="360">
      <c r="A360" s="48">
        <v>0.9784722222222222</v>
      </c>
      <c r="B360" s="62" t="s">
        <v>814</v>
      </c>
      <c r="C360" s="45" t="s">
        <v>181</v>
      </c>
      <c r="D360" s="62" t="s">
        <v>896</v>
      </c>
      <c r="E360" s="11" t="s">
        <v>13</v>
      </c>
    </row>
    <row r="361">
      <c r="A361" s="48">
        <v>0.9888888888888889</v>
      </c>
      <c r="B361" s="62" t="s">
        <v>1191</v>
      </c>
      <c r="C361" s="45" t="s">
        <v>17</v>
      </c>
      <c r="D361" s="62" t="s">
        <v>371</v>
      </c>
      <c r="E361" s="11" t="s">
        <v>9</v>
      </c>
    </row>
    <row r="362">
      <c r="A362" s="48">
        <v>0.9888888888888889</v>
      </c>
      <c r="B362" s="62" t="s">
        <v>896</v>
      </c>
      <c r="C362" s="45" t="s">
        <v>210</v>
      </c>
      <c r="D362" s="62" t="s">
        <v>1190</v>
      </c>
      <c r="E362" s="11" t="s">
        <v>13</v>
      </c>
    </row>
    <row r="363">
      <c r="A363" s="48">
        <v>0.9986111111111111</v>
      </c>
      <c r="B363" s="62" t="s">
        <v>814</v>
      </c>
      <c r="C363" s="45" t="s">
        <v>43</v>
      </c>
      <c r="D363" s="62" t="s">
        <v>371</v>
      </c>
      <c r="E363" s="11" t="s">
        <v>9</v>
      </c>
    </row>
    <row r="364">
      <c r="A364" s="48">
        <v>0.9986111111111111</v>
      </c>
      <c r="B364" s="62" t="s">
        <v>896</v>
      </c>
      <c r="C364" s="45" t="s">
        <v>248</v>
      </c>
      <c r="D364" s="62" t="s">
        <v>1191</v>
      </c>
      <c r="E364" s="11" t="s">
        <v>13</v>
      </c>
    </row>
    <row r="365">
      <c r="A365" s="48">
        <v>0.009027777777777777</v>
      </c>
      <c r="B365" s="62" t="s">
        <v>371</v>
      </c>
      <c r="C365" s="45" t="s">
        <v>195</v>
      </c>
      <c r="D365" s="62" t="s">
        <v>896</v>
      </c>
      <c r="E365" s="11" t="s">
        <v>9</v>
      </c>
    </row>
    <row r="366">
      <c r="A366" s="48">
        <v>0.009027777777777777</v>
      </c>
      <c r="B366" s="62" t="s">
        <v>814</v>
      </c>
      <c r="C366" s="45" t="s">
        <v>335</v>
      </c>
      <c r="D366" s="62" t="s">
        <v>1190</v>
      </c>
      <c r="E366" s="11" t="s">
        <v>13</v>
      </c>
    </row>
    <row r="367">
      <c r="A367" s="48">
        <v>0.019444444444444445</v>
      </c>
      <c r="B367" s="62" t="s">
        <v>371</v>
      </c>
      <c r="C367" s="45" t="s">
        <v>220</v>
      </c>
      <c r="D367" s="62" t="s">
        <v>1190</v>
      </c>
      <c r="E367" s="11" t="s">
        <v>9</v>
      </c>
    </row>
    <row r="368">
      <c r="A368" s="48">
        <v>0.019444444444444445</v>
      </c>
      <c r="B368" s="62" t="s">
        <v>814</v>
      </c>
      <c r="C368" s="45" t="s">
        <v>289</v>
      </c>
      <c r="D368" s="62" t="s">
        <v>1191</v>
      </c>
      <c r="E368" s="11" t="s">
        <v>13</v>
      </c>
    </row>
    <row r="369">
      <c r="A369" s="48">
        <v>0.029166666666666667</v>
      </c>
      <c r="B369" s="62" t="s">
        <v>1190</v>
      </c>
      <c r="C369" s="45" t="s">
        <v>225</v>
      </c>
      <c r="D369" s="62" t="s">
        <v>1191</v>
      </c>
      <c r="E369" s="11" t="s">
        <v>9</v>
      </c>
    </row>
    <row r="370">
      <c r="A370" s="48">
        <v>0.029166666666666667</v>
      </c>
      <c r="B370" s="62" t="s">
        <v>896</v>
      </c>
      <c r="C370" s="45" t="s">
        <v>209</v>
      </c>
      <c r="D370" s="62" t="s">
        <v>814</v>
      </c>
      <c r="E370" s="11" t="s">
        <v>13</v>
      </c>
    </row>
    <row r="371">
      <c r="A371" s="48">
        <v>0.03958333333333333</v>
      </c>
      <c r="B371" s="62" t="s">
        <v>371</v>
      </c>
      <c r="C371" s="45" t="s">
        <v>184</v>
      </c>
      <c r="D371" s="62" t="s">
        <v>1191</v>
      </c>
      <c r="E371" s="11" t="s">
        <v>9</v>
      </c>
    </row>
    <row r="372">
      <c r="A372" s="48">
        <v>0.03958333333333333</v>
      </c>
      <c r="B372" s="62" t="s">
        <v>1190</v>
      </c>
      <c r="C372" s="45" t="s">
        <v>220</v>
      </c>
      <c r="D372" s="62" t="s">
        <v>896</v>
      </c>
      <c r="E372" s="11" t="s">
        <v>13</v>
      </c>
    </row>
    <row r="373">
      <c r="A373" s="48">
        <v>0.05</v>
      </c>
      <c r="B373" s="62" t="s">
        <v>371</v>
      </c>
      <c r="C373" s="45" t="s">
        <v>16</v>
      </c>
      <c r="D373" s="62" t="s">
        <v>814</v>
      </c>
      <c r="E373" s="11" t="s">
        <v>9</v>
      </c>
    </row>
    <row r="374">
      <c r="A374" s="48">
        <v>0.05</v>
      </c>
      <c r="B374" s="62" t="s">
        <v>1191</v>
      </c>
      <c r="C374" s="45" t="s">
        <v>18</v>
      </c>
      <c r="D374" s="62" t="s">
        <v>896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899</v>
      </c>
      <c r="C377" s="45" t="s">
        <v>155</v>
      </c>
      <c r="D377" s="62" t="s">
        <v>1192</v>
      </c>
      <c r="E377" s="11" t="s">
        <v>29</v>
      </c>
    </row>
    <row r="378">
      <c r="A378" s="48">
        <v>0.9583333333333334</v>
      </c>
      <c r="B378" s="62" t="s">
        <v>1193</v>
      </c>
      <c r="C378" s="45" t="s">
        <v>16</v>
      </c>
      <c r="D378" s="62" t="s">
        <v>1194</v>
      </c>
      <c r="E378" s="11" t="s">
        <v>33</v>
      </c>
    </row>
    <row r="379">
      <c r="A379" s="48">
        <v>0.9680555555555556</v>
      </c>
      <c r="B379" s="62" t="s">
        <v>1193</v>
      </c>
      <c r="C379" s="45" t="s">
        <v>162</v>
      </c>
      <c r="D379" s="62" t="s">
        <v>1192</v>
      </c>
      <c r="E379" s="11" t="s">
        <v>29</v>
      </c>
    </row>
    <row r="380">
      <c r="A380" s="48">
        <v>0.9680555555555556</v>
      </c>
      <c r="B380" s="62" t="s">
        <v>1195</v>
      </c>
      <c r="C380" s="45" t="s">
        <v>1196</v>
      </c>
      <c r="D380" s="62" t="s">
        <v>1194</v>
      </c>
      <c r="E380" s="11" t="s">
        <v>33</v>
      </c>
    </row>
    <row r="381">
      <c r="A381" s="48">
        <v>0.9784722222222222</v>
      </c>
      <c r="B381" s="62" t="s">
        <v>1195</v>
      </c>
      <c r="C381" s="45" t="s">
        <v>573</v>
      </c>
      <c r="D381" s="62" t="s">
        <v>1193</v>
      </c>
      <c r="E381" s="11" t="s">
        <v>29</v>
      </c>
    </row>
    <row r="382">
      <c r="A382" s="48">
        <v>0.9784722222222222</v>
      </c>
      <c r="B382" s="62" t="s">
        <v>1194</v>
      </c>
      <c r="C382" s="45" t="s">
        <v>7</v>
      </c>
      <c r="D382" s="62" t="s">
        <v>899</v>
      </c>
      <c r="E382" s="11" t="s">
        <v>33</v>
      </c>
    </row>
    <row r="383">
      <c r="A383" s="48">
        <v>0.9888888888888889</v>
      </c>
      <c r="B383" s="62" t="s">
        <v>1195</v>
      </c>
      <c r="C383" s="45" t="s">
        <v>38</v>
      </c>
      <c r="D383" s="62" t="s">
        <v>1192</v>
      </c>
      <c r="E383" s="11" t="s">
        <v>29</v>
      </c>
    </row>
    <row r="384">
      <c r="A384" s="48">
        <v>0.9888888888888889</v>
      </c>
      <c r="B384" s="62" t="s">
        <v>899</v>
      </c>
      <c r="C384" s="45" t="s">
        <v>155</v>
      </c>
      <c r="D384" s="62" t="s">
        <v>1193</v>
      </c>
      <c r="E384" s="11" t="s">
        <v>33</v>
      </c>
    </row>
    <row r="385">
      <c r="A385" s="48">
        <v>0.9986111111111111</v>
      </c>
      <c r="B385" s="62" t="s">
        <v>1194</v>
      </c>
      <c r="C385" s="45" t="s">
        <v>20</v>
      </c>
      <c r="D385" s="62" t="s">
        <v>1192</v>
      </c>
      <c r="E385" s="11" t="s">
        <v>29</v>
      </c>
    </row>
    <row r="386">
      <c r="A386" s="48">
        <v>0.9986111111111111</v>
      </c>
      <c r="B386" s="62" t="s">
        <v>899</v>
      </c>
      <c r="C386" s="45" t="s">
        <v>290</v>
      </c>
      <c r="D386" s="62" t="s">
        <v>1195</v>
      </c>
      <c r="E386" s="11" t="s">
        <v>33</v>
      </c>
    </row>
    <row r="387">
      <c r="A387" s="48">
        <v>0.009027777777777777</v>
      </c>
      <c r="B387" s="62" t="s">
        <v>1192</v>
      </c>
      <c r="C387" s="45" t="s">
        <v>173</v>
      </c>
      <c r="D387" s="62" t="s">
        <v>899</v>
      </c>
      <c r="E387" s="11" t="s">
        <v>29</v>
      </c>
    </row>
    <row r="388">
      <c r="A388" s="48">
        <v>0.009027777777777777</v>
      </c>
      <c r="B388" s="62" t="s">
        <v>1194</v>
      </c>
      <c r="C388" s="45" t="s">
        <v>163</v>
      </c>
      <c r="D388" s="62" t="s">
        <v>1193</v>
      </c>
      <c r="E388" s="11" t="s">
        <v>33</v>
      </c>
    </row>
    <row r="389">
      <c r="A389" s="48">
        <v>0.019444444444444445</v>
      </c>
      <c r="B389" s="62" t="s">
        <v>1192</v>
      </c>
      <c r="C389" s="45" t="s">
        <v>185</v>
      </c>
      <c r="D389" s="62" t="s">
        <v>1193</v>
      </c>
      <c r="E389" s="11" t="s">
        <v>29</v>
      </c>
    </row>
    <row r="390">
      <c r="A390" s="48">
        <v>0.019444444444444445</v>
      </c>
      <c r="B390" s="62" t="s">
        <v>1194</v>
      </c>
      <c r="C390" s="45" t="s">
        <v>227</v>
      </c>
      <c r="D390" s="62" t="s">
        <v>1195</v>
      </c>
      <c r="E390" s="11" t="s">
        <v>33</v>
      </c>
    </row>
    <row r="391">
      <c r="A391" s="48">
        <v>0.029166666666666667</v>
      </c>
      <c r="B391" s="62" t="s">
        <v>1193</v>
      </c>
      <c r="C391" s="45" t="s">
        <v>165</v>
      </c>
      <c r="D391" s="62" t="s">
        <v>1195</v>
      </c>
      <c r="E391" s="11" t="s">
        <v>29</v>
      </c>
    </row>
    <row r="392">
      <c r="A392" s="48">
        <v>0.029166666666666667</v>
      </c>
      <c r="B392" s="62" t="s">
        <v>899</v>
      </c>
      <c r="C392" s="45" t="s">
        <v>164</v>
      </c>
      <c r="D392" s="62" t="s">
        <v>1194</v>
      </c>
      <c r="E392" s="11" t="s">
        <v>33</v>
      </c>
    </row>
    <row r="393">
      <c r="A393" s="48">
        <v>0.03958333333333333</v>
      </c>
      <c r="B393" s="62" t="s">
        <v>1192</v>
      </c>
      <c r="C393" s="45" t="s">
        <v>404</v>
      </c>
      <c r="D393" s="62" t="s">
        <v>1195</v>
      </c>
      <c r="E393" s="11" t="s">
        <v>29</v>
      </c>
    </row>
    <row r="394">
      <c r="A394" s="48">
        <v>0.03958333333333333</v>
      </c>
      <c r="B394" s="62" t="s">
        <v>1193</v>
      </c>
      <c r="C394" s="45" t="s">
        <v>195</v>
      </c>
      <c r="D394" s="62" t="s">
        <v>899</v>
      </c>
      <c r="E394" s="11" t="s">
        <v>33</v>
      </c>
    </row>
    <row r="395">
      <c r="A395" s="48">
        <v>0.05</v>
      </c>
      <c r="B395" s="62" t="s">
        <v>1192</v>
      </c>
      <c r="C395" s="45" t="s">
        <v>20</v>
      </c>
      <c r="D395" s="62" t="s">
        <v>1194</v>
      </c>
      <c r="E395" s="11" t="s">
        <v>29</v>
      </c>
    </row>
    <row r="396">
      <c r="A396" s="48">
        <v>0.05</v>
      </c>
      <c r="B396" s="62" t="s">
        <v>1195</v>
      </c>
      <c r="C396" s="45" t="s">
        <v>1197</v>
      </c>
      <c r="D396" s="62" t="s">
        <v>899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53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48">
        <v>0.0625</v>
      </c>
      <c r="B3" s="61" t="s">
        <v>133</v>
      </c>
      <c r="C3" s="57" t="s">
        <v>162</v>
      </c>
      <c r="D3" s="62" t="s">
        <v>699</v>
      </c>
      <c r="E3" s="11" t="s">
        <v>9</v>
      </c>
    </row>
    <row r="4">
      <c r="A4" s="48">
        <v>0.0625</v>
      </c>
      <c r="B4" s="61" t="s">
        <v>359</v>
      </c>
      <c r="C4" s="57" t="s">
        <v>157</v>
      </c>
      <c r="D4" s="61" t="s">
        <v>1198</v>
      </c>
      <c r="E4" s="11" t="s">
        <v>13</v>
      </c>
    </row>
    <row r="5">
      <c r="A5" s="48">
        <v>0.07222222222222222</v>
      </c>
      <c r="B5" s="62" t="s">
        <v>359</v>
      </c>
      <c r="C5" s="57" t="s">
        <v>166</v>
      </c>
      <c r="D5" s="61" t="s">
        <v>699</v>
      </c>
      <c r="E5" s="11" t="s">
        <v>9</v>
      </c>
    </row>
    <row r="6">
      <c r="A6" s="48">
        <v>0.07222222222222222</v>
      </c>
      <c r="B6" s="61" t="s">
        <v>1199</v>
      </c>
      <c r="C6" s="57" t="s">
        <v>211</v>
      </c>
      <c r="D6" s="62" t="s">
        <v>1198</v>
      </c>
      <c r="E6" s="11" t="s">
        <v>13</v>
      </c>
    </row>
    <row r="7">
      <c r="A7" s="48">
        <v>0.08263888888888889</v>
      </c>
      <c r="B7" s="62" t="s">
        <v>1199</v>
      </c>
      <c r="C7" s="57" t="s">
        <v>229</v>
      </c>
      <c r="D7" s="61" t="s">
        <v>359</v>
      </c>
      <c r="E7" s="11" t="s">
        <v>9</v>
      </c>
    </row>
    <row r="8">
      <c r="A8" s="48">
        <v>0.08263888888888889</v>
      </c>
      <c r="B8" s="61" t="s">
        <v>1198</v>
      </c>
      <c r="C8" s="57" t="s">
        <v>208</v>
      </c>
      <c r="D8" s="61" t="s">
        <v>133</v>
      </c>
      <c r="E8" s="11" t="s">
        <v>13</v>
      </c>
    </row>
    <row r="9">
      <c r="A9" s="48">
        <v>0.09305555555555556</v>
      </c>
      <c r="B9" s="62" t="s">
        <v>1199</v>
      </c>
      <c r="C9" s="57" t="s">
        <v>222</v>
      </c>
      <c r="D9" s="62" t="s">
        <v>699</v>
      </c>
      <c r="E9" s="11" t="s">
        <v>9</v>
      </c>
    </row>
    <row r="10">
      <c r="A10" s="48">
        <v>0.09305555555555556</v>
      </c>
      <c r="B10" s="61" t="s">
        <v>133</v>
      </c>
      <c r="C10" s="57" t="s">
        <v>219</v>
      </c>
      <c r="D10" s="61" t="s">
        <v>359</v>
      </c>
      <c r="E10" s="11" t="s">
        <v>13</v>
      </c>
    </row>
    <row r="11">
      <c r="A11" s="48">
        <v>0.10277777777777777</v>
      </c>
      <c r="B11" s="62" t="s">
        <v>1198</v>
      </c>
      <c r="C11" s="57" t="s">
        <v>18</v>
      </c>
      <c r="D11" s="61" t="s">
        <v>699</v>
      </c>
      <c r="E11" s="11" t="s">
        <v>9</v>
      </c>
    </row>
    <row r="12">
      <c r="A12" s="48">
        <v>0.10277777777777777</v>
      </c>
      <c r="B12" s="61" t="s">
        <v>133</v>
      </c>
      <c r="C12" s="57" t="s">
        <v>18</v>
      </c>
      <c r="D12" s="62" t="s">
        <v>1199</v>
      </c>
      <c r="E12" s="11" t="s">
        <v>13</v>
      </c>
    </row>
    <row r="13">
      <c r="A13" s="48">
        <v>0.11319444444444444</v>
      </c>
      <c r="B13" s="62" t="s">
        <v>699</v>
      </c>
      <c r="C13" s="57" t="s">
        <v>209</v>
      </c>
      <c r="D13" s="61" t="s">
        <v>133</v>
      </c>
      <c r="E13" s="11" t="s">
        <v>9</v>
      </c>
    </row>
    <row r="14">
      <c r="A14" s="48">
        <v>0.11319444444444444</v>
      </c>
      <c r="B14" s="61" t="s">
        <v>1198</v>
      </c>
      <c r="C14" s="57" t="s">
        <v>256</v>
      </c>
      <c r="D14" s="61" t="s">
        <v>359</v>
      </c>
      <c r="E14" s="11" t="s">
        <v>13</v>
      </c>
    </row>
    <row r="15">
      <c r="A15" s="48">
        <v>0.12361111111111112</v>
      </c>
      <c r="B15" s="61" t="s">
        <v>699</v>
      </c>
      <c r="C15" s="45" t="s">
        <v>23</v>
      </c>
      <c r="D15" s="62" t="s">
        <v>359</v>
      </c>
      <c r="E15" s="11" t="s">
        <v>9</v>
      </c>
    </row>
    <row r="16">
      <c r="A16" s="48">
        <v>0.12361111111111112</v>
      </c>
      <c r="B16" s="62" t="s">
        <v>1198</v>
      </c>
      <c r="C16" s="45" t="s">
        <v>41</v>
      </c>
      <c r="D16" s="61" t="s">
        <v>1199</v>
      </c>
      <c r="E16" s="11" t="s">
        <v>13</v>
      </c>
    </row>
    <row r="17">
      <c r="A17" s="48">
        <v>0.13333333333333333</v>
      </c>
      <c r="B17" s="61" t="s">
        <v>359</v>
      </c>
      <c r="C17" s="45" t="s">
        <v>208</v>
      </c>
      <c r="D17" s="62" t="s">
        <v>1199</v>
      </c>
      <c r="E17" s="11" t="s">
        <v>9</v>
      </c>
    </row>
    <row r="18">
      <c r="A18" s="48">
        <v>0.13333333333333333</v>
      </c>
      <c r="B18" s="61" t="s">
        <v>133</v>
      </c>
      <c r="C18" s="45" t="s">
        <v>218</v>
      </c>
      <c r="D18" s="61" t="s">
        <v>1198</v>
      </c>
      <c r="E18" s="11" t="s">
        <v>13</v>
      </c>
    </row>
    <row r="19">
      <c r="A19" s="48">
        <v>0.14375</v>
      </c>
      <c r="B19" s="62" t="s">
        <v>699</v>
      </c>
      <c r="C19" s="45" t="s">
        <v>210</v>
      </c>
      <c r="D19" s="62" t="s">
        <v>1199</v>
      </c>
      <c r="E19" s="11" t="s">
        <v>9</v>
      </c>
    </row>
    <row r="20">
      <c r="A20" s="48">
        <v>0.14375</v>
      </c>
      <c r="B20" s="61" t="s">
        <v>359</v>
      </c>
      <c r="C20" s="45" t="s">
        <v>185</v>
      </c>
      <c r="D20" s="61" t="s">
        <v>133</v>
      </c>
      <c r="E20" s="11" t="s">
        <v>13</v>
      </c>
    </row>
    <row r="21">
      <c r="A21" s="48">
        <v>0.15416666666666667</v>
      </c>
      <c r="B21" s="61" t="s">
        <v>699</v>
      </c>
      <c r="C21" s="45" t="s">
        <v>525</v>
      </c>
      <c r="D21" s="62" t="s">
        <v>1198</v>
      </c>
      <c r="E21" s="11" t="s">
        <v>9</v>
      </c>
    </row>
    <row r="22">
      <c r="A22" s="48">
        <v>0.15416666666666667</v>
      </c>
      <c r="B22" s="62" t="s">
        <v>1199</v>
      </c>
      <c r="C22" s="45" t="s">
        <v>162</v>
      </c>
      <c r="D22" s="61" t="s">
        <v>133</v>
      </c>
      <c r="E22" s="11" t="s">
        <v>13</v>
      </c>
    </row>
    <row r="23">
      <c r="A23" s="51"/>
      <c r="B23" s="1" t="s">
        <v>25</v>
      </c>
      <c r="C23" s="2"/>
      <c r="D23" s="3"/>
      <c r="E23" s="73"/>
    </row>
    <row r="24">
      <c r="A24" s="4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48">
        <v>0.0625</v>
      </c>
      <c r="B25" s="61" t="s">
        <v>1130</v>
      </c>
      <c r="C25" s="76" t="s">
        <v>344</v>
      </c>
      <c r="D25" s="61" t="s">
        <v>364</v>
      </c>
      <c r="E25" s="11" t="s">
        <v>29</v>
      </c>
    </row>
    <row r="26">
      <c r="A26" s="48">
        <v>0.0625</v>
      </c>
      <c r="B26" s="61" t="s">
        <v>1200</v>
      </c>
      <c r="C26" s="76" t="s">
        <v>196</v>
      </c>
      <c r="D26" s="61" t="s">
        <v>1201</v>
      </c>
      <c r="E26" s="11" t="s">
        <v>33</v>
      </c>
    </row>
    <row r="27">
      <c r="A27" s="48">
        <v>0.07222222222222222</v>
      </c>
      <c r="B27" s="62" t="s">
        <v>1200</v>
      </c>
      <c r="C27" s="57" t="s">
        <v>165</v>
      </c>
      <c r="D27" s="62" t="s">
        <v>364</v>
      </c>
      <c r="E27" s="11" t="s">
        <v>29</v>
      </c>
    </row>
    <row r="28">
      <c r="A28" s="48">
        <v>0.07222222222222222</v>
      </c>
      <c r="B28" s="61" t="s">
        <v>1202</v>
      </c>
      <c r="C28" s="57" t="s">
        <v>193</v>
      </c>
      <c r="D28" s="61" t="s">
        <v>1201</v>
      </c>
      <c r="E28" s="11" t="s">
        <v>33</v>
      </c>
    </row>
    <row r="29">
      <c r="A29" s="48">
        <v>0.08263888888888889</v>
      </c>
      <c r="B29" s="62" t="s">
        <v>1202</v>
      </c>
      <c r="C29" s="57" t="s">
        <v>23</v>
      </c>
      <c r="D29" s="61" t="s">
        <v>1200</v>
      </c>
      <c r="E29" s="11" t="s">
        <v>29</v>
      </c>
    </row>
    <row r="30">
      <c r="A30" s="48">
        <v>0.08263888888888889</v>
      </c>
      <c r="B30" s="61" t="s">
        <v>1201</v>
      </c>
      <c r="C30" s="57" t="s">
        <v>162</v>
      </c>
      <c r="D30" s="61" t="s">
        <v>1130</v>
      </c>
      <c r="E30" s="11" t="s">
        <v>33</v>
      </c>
    </row>
    <row r="31">
      <c r="A31" s="48">
        <v>0.09305555555555556</v>
      </c>
      <c r="B31" s="62" t="s">
        <v>1202</v>
      </c>
      <c r="C31" s="57" t="s">
        <v>16</v>
      </c>
      <c r="D31" s="61" t="s">
        <v>364</v>
      </c>
      <c r="E31" s="11" t="s">
        <v>29</v>
      </c>
    </row>
    <row r="32">
      <c r="A32" s="48">
        <v>0.09305555555555556</v>
      </c>
      <c r="B32" s="61" t="s">
        <v>1130</v>
      </c>
      <c r="C32" s="57" t="s">
        <v>7</v>
      </c>
      <c r="D32" s="62" t="s">
        <v>1200</v>
      </c>
      <c r="E32" s="11" t="s">
        <v>33</v>
      </c>
    </row>
    <row r="33">
      <c r="A33" s="48">
        <v>0.10277777777777777</v>
      </c>
      <c r="B33" s="61" t="s">
        <v>1201</v>
      </c>
      <c r="C33" s="57" t="s">
        <v>248</v>
      </c>
      <c r="D33" s="61" t="s">
        <v>364</v>
      </c>
      <c r="E33" s="11" t="s">
        <v>29</v>
      </c>
    </row>
    <row r="34">
      <c r="A34" s="48">
        <v>0.10277777777777777</v>
      </c>
      <c r="B34" s="61" t="s">
        <v>1130</v>
      </c>
      <c r="C34" s="57" t="s">
        <v>219</v>
      </c>
      <c r="D34" s="61" t="s">
        <v>1202</v>
      </c>
      <c r="E34" s="11" t="s">
        <v>33</v>
      </c>
    </row>
    <row r="35">
      <c r="A35" s="48">
        <v>0.11319444444444444</v>
      </c>
      <c r="B35" s="61" t="s">
        <v>364</v>
      </c>
      <c r="C35" s="57" t="s">
        <v>38</v>
      </c>
      <c r="D35" s="61" t="s">
        <v>1130</v>
      </c>
      <c r="E35" s="11" t="s">
        <v>29</v>
      </c>
    </row>
    <row r="36">
      <c r="A36" s="48">
        <v>0.11319444444444444</v>
      </c>
      <c r="B36" s="61" t="s">
        <v>1201</v>
      </c>
      <c r="C36" s="57" t="s">
        <v>173</v>
      </c>
      <c r="D36" s="61" t="s">
        <v>1200</v>
      </c>
      <c r="E36" s="11" t="s">
        <v>33</v>
      </c>
    </row>
    <row r="37">
      <c r="A37" s="48">
        <v>0.12361111111111112</v>
      </c>
      <c r="B37" s="62" t="s">
        <v>364</v>
      </c>
      <c r="C37" s="57" t="s">
        <v>357</v>
      </c>
      <c r="D37" s="62" t="s">
        <v>1200</v>
      </c>
      <c r="E37" s="11" t="s">
        <v>29</v>
      </c>
    </row>
    <row r="38">
      <c r="A38" s="48">
        <v>0.12361111111111112</v>
      </c>
      <c r="B38" s="61" t="s">
        <v>1201</v>
      </c>
      <c r="C38" s="57" t="s">
        <v>324</v>
      </c>
      <c r="D38" s="61" t="s">
        <v>1202</v>
      </c>
      <c r="E38" s="11" t="s">
        <v>33</v>
      </c>
    </row>
    <row r="39">
      <c r="A39" s="48">
        <v>0.13333333333333333</v>
      </c>
      <c r="B39" s="61" t="s">
        <v>1200</v>
      </c>
      <c r="C39" s="57" t="s">
        <v>185</v>
      </c>
      <c r="D39" s="62" t="s">
        <v>1202</v>
      </c>
      <c r="E39" s="11" t="s">
        <v>29</v>
      </c>
    </row>
    <row r="40">
      <c r="A40" s="48">
        <v>0.13333333333333333</v>
      </c>
      <c r="B40" s="61" t="s">
        <v>1130</v>
      </c>
      <c r="C40" s="57" t="s">
        <v>155</v>
      </c>
      <c r="D40" s="61" t="s">
        <v>1201</v>
      </c>
      <c r="E40" s="11" t="s">
        <v>33</v>
      </c>
    </row>
    <row r="41">
      <c r="A41" s="48">
        <v>0.14375</v>
      </c>
      <c r="B41" s="61" t="s">
        <v>364</v>
      </c>
      <c r="C41" s="57" t="s">
        <v>195</v>
      </c>
      <c r="D41" s="62" t="s">
        <v>1202</v>
      </c>
      <c r="E41" s="11" t="s">
        <v>29</v>
      </c>
    </row>
    <row r="42">
      <c r="A42" s="48">
        <v>0.14375</v>
      </c>
      <c r="B42" s="62" t="s">
        <v>1200</v>
      </c>
      <c r="C42" s="57" t="s">
        <v>589</v>
      </c>
      <c r="D42" s="61" t="s">
        <v>1130</v>
      </c>
      <c r="E42" s="11" t="s">
        <v>33</v>
      </c>
    </row>
    <row r="43">
      <c r="A43" s="48">
        <v>0.15416666666666667</v>
      </c>
      <c r="B43" s="61" t="s">
        <v>364</v>
      </c>
      <c r="C43" s="57" t="s">
        <v>24</v>
      </c>
      <c r="D43" s="61" t="s">
        <v>1201</v>
      </c>
      <c r="E43" s="11" t="s">
        <v>29</v>
      </c>
    </row>
    <row r="44">
      <c r="A44" s="48">
        <v>0.15416666666666667</v>
      </c>
      <c r="B44" s="61" t="s">
        <v>1202</v>
      </c>
      <c r="C44" s="57" t="s">
        <v>312</v>
      </c>
      <c r="D44" s="61" t="s">
        <v>1130</v>
      </c>
      <c r="E44" s="11" t="s">
        <v>33</v>
      </c>
    </row>
    <row r="45">
      <c r="A45" s="51"/>
      <c r="B45" s="1" t="s">
        <v>45</v>
      </c>
      <c r="C45" s="2"/>
      <c r="D45" s="3"/>
      <c r="E45" s="18"/>
    </row>
    <row r="46">
      <c r="A46" s="47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48">
        <v>0.16666666666666666</v>
      </c>
      <c r="B47" s="61" t="s">
        <v>143</v>
      </c>
      <c r="C47" s="45" t="s">
        <v>774</v>
      </c>
      <c r="D47" s="61" t="s">
        <v>1203</v>
      </c>
      <c r="E47" s="11" t="s">
        <v>9</v>
      </c>
    </row>
    <row r="48">
      <c r="A48" s="48">
        <v>0.16666666666666666</v>
      </c>
      <c r="B48" s="61" t="s">
        <v>190</v>
      </c>
      <c r="C48" s="45" t="s">
        <v>17</v>
      </c>
      <c r="D48" s="61" t="s">
        <v>1204</v>
      </c>
      <c r="E48" s="11" t="s">
        <v>13</v>
      </c>
    </row>
    <row r="49">
      <c r="A49" s="48">
        <v>0.1763888888888889</v>
      </c>
      <c r="B49" s="61" t="s">
        <v>190</v>
      </c>
      <c r="C49" s="45" t="s">
        <v>292</v>
      </c>
      <c r="D49" s="61" t="s">
        <v>1203</v>
      </c>
      <c r="E49" s="11" t="s">
        <v>9</v>
      </c>
    </row>
    <row r="50">
      <c r="A50" s="48">
        <v>0.1763888888888889</v>
      </c>
      <c r="B50" s="61" t="s">
        <v>806</v>
      </c>
      <c r="C50" s="45" t="s">
        <v>158</v>
      </c>
      <c r="D50" s="61" t="s">
        <v>1204</v>
      </c>
      <c r="E50" s="11" t="s">
        <v>13</v>
      </c>
    </row>
    <row r="51">
      <c r="A51" s="48">
        <v>0.18680555555555556</v>
      </c>
      <c r="B51" s="61" t="s">
        <v>806</v>
      </c>
      <c r="C51" s="45" t="s">
        <v>155</v>
      </c>
      <c r="D51" s="61" t="s">
        <v>190</v>
      </c>
      <c r="E51" s="11" t="s">
        <v>9</v>
      </c>
    </row>
    <row r="52">
      <c r="A52" s="48">
        <v>0.18680555555555556</v>
      </c>
      <c r="B52" s="61" t="s">
        <v>1204</v>
      </c>
      <c r="C52" s="45" t="s">
        <v>203</v>
      </c>
      <c r="D52" s="61" t="s">
        <v>143</v>
      </c>
      <c r="E52" s="11" t="s">
        <v>13</v>
      </c>
    </row>
    <row r="53">
      <c r="A53" s="48">
        <v>0.19722222222222222</v>
      </c>
      <c r="B53" s="21" t="s">
        <v>806</v>
      </c>
      <c r="C53" s="45" t="s">
        <v>354</v>
      </c>
      <c r="D53" s="61" t="s">
        <v>1203</v>
      </c>
      <c r="E53" s="11" t="s">
        <v>9</v>
      </c>
    </row>
    <row r="54">
      <c r="A54" s="48">
        <v>0.19722222222222222</v>
      </c>
      <c r="B54" s="61" t="s">
        <v>143</v>
      </c>
      <c r="C54" s="45" t="s">
        <v>155</v>
      </c>
      <c r="D54" s="61" t="s">
        <v>190</v>
      </c>
      <c r="E54" s="11" t="s">
        <v>13</v>
      </c>
    </row>
    <row r="55">
      <c r="A55" s="48">
        <v>0.20694444444444443</v>
      </c>
      <c r="B55" s="61" t="s">
        <v>1204</v>
      </c>
      <c r="C55" s="45" t="s">
        <v>194</v>
      </c>
      <c r="D55" s="61" t="s">
        <v>1203</v>
      </c>
      <c r="E55" s="11" t="s">
        <v>9</v>
      </c>
    </row>
    <row r="56">
      <c r="A56" s="48">
        <v>0.20694444444444443</v>
      </c>
      <c r="B56" s="61" t="s">
        <v>143</v>
      </c>
      <c r="C56" s="45" t="s">
        <v>181</v>
      </c>
      <c r="D56" s="61" t="s">
        <v>806</v>
      </c>
      <c r="E56" s="11" t="s">
        <v>13</v>
      </c>
    </row>
    <row r="57">
      <c r="A57" s="48">
        <v>0.21736111111111112</v>
      </c>
      <c r="B57" s="61" t="s">
        <v>1203</v>
      </c>
      <c r="C57" s="45" t="s">
        <v>163</v>
      </c>
      <c r="D57" s="61" t="s">
        <v>143</v>
      </c>
      <c r="E57" s="11" t="s">
        <v>9</v>
      </c>
    </row>
    <row r="58">
      <c r="A58" s="48">
        <v>0.21736111111111112</v>
      </c>
      <c r="B58" s="61" t="s">
        <v>1204</v>
      </c>
      <c r="C58" s="45" t="s">
        <v>293</v>
      </c>
      <c r="D58" s="61" t="s">
        <v>190</v>
      </c>
      <c r="E58" s="11" t="s">
        <v>13</v>
      </c>
    </row>
    <row r="59">
      <c r="A59" s="48">
        <v>0.22777777777777777</v>
      </c>
      <c r="B59" s="61" t="s">
        <v>1203</v>
      </c>
      <c r="C59" s="45" t="s">
        <v>18</v>
      </c>
      <c r="D59" s="61" t="s">
        <v>190</v>
      </c>
      <c r="E59" s="11" t="s">
        <v>9</v>
      </c>
    </row>
    <row r="60">
      <c r="A60" s="48">
        <v>0.22777777777777777</v>
      </c>
      <c r="B60" s="61" t="s">
        <v>1204</v>
      </c>
      <c r="C60" s="45" t="s">
        <v>718</v>
      </c>
      <c r="D60" s="61" t="s">
        <v>806</v>
      </c>
      <c r="E60" s="11" t="s">
        <v>13</v>
      </c>
    </row>
    <row r="61">
      <c r="A61" s="48">
        <v>0.2375</v>
      </c>
      <c r="B61" s="61" t="s">
        <v>190</v>
      </c>
      <c r="C61" s="45" t="s">
        <v>289</v>
      </c>
      <c r="D61" s="61" t="s">
        <v>806</v>
      </c>
      <c r="E61" s="11" t="s">
        <v>9</v>
      </c>
    </row>
    <row r="62">
      <c r="A62" s="48">
        <v>0.2375</v>
      </c>
      <c r="B62" s="61" t="s">
        <v>143</v>
      </c>
      <c r="C62" s="45" t="s">
        <v>20</v>
      </c>
      <c r="D62" s="61" t="s">
        <v>1204</v>
      </c>
      <c r="E62" s="11" t="s">
        <v>13</v>
      </c>
    </row>
    <row r="63">
      <c r="A63" s="48">
        <v>0.24791666666666667</v>
      </c>
      <c r="B63" s="61" t="s">
        <v>1203</v>
      </c>
      <c r="C63" s="45" t="s">
        <v>177</v>
      </c>
      <c r="D63" s="61" t="s">
        <v>806</v>
      </c>
      <c r="E63" s="11" t="s">
        <v>9</v>
      </c>
    </row>
    <row r="64">
      <c r="A64" s="48">
        <v>0.24791666666666667</v>
      </c>
      <c r="B64" s="61" t="s">
        <v>190</v>
      </c>
      <c r="C64" s="45" t="s">
        <v>185</v>
      </c>
      <c r="D64" s="61" t="s">
        <v>143</v>
      </c>
      <c r="E64" s="11" t="s">
        <v>13</v>
      </c>
    </row>
    <row r="65">
      <c r="A65" s="48">
        <v>0.25833333333333336</v>
      </c>
      <c r="B65" s="61" t="s">
        <v>1203</v>
      </c>
      <c r="C65" s="45" t="s">
        <v>248</v>
      </c>
      <c r="D65" s="61" t="s">
        <v>1204</v>
      </c>
      <c r="E65" s="11" t="s">
        <v>9</v>
      </c>
    </row>
    <row r="66">
      <c r="A66" s="48">
        <v>0.25833333333333336</v>
      </c>
      <c r="B66" s="61" t="s">
        <v>806</v>
      </c>
      <c r="C66" s="45" t="s">
        <v>790</v>
      </c>
      <c r="D66" s="61" t="s">
        <v>143</v>
      </c>
      <c r="E66" s="11" t="s">
        <v>13</v>
      </c>
    </row>
    <row r="67">
      <c r="A67" s="51"/>
      <c r="B67" s="1" t="s">
        <v>45</v>
      </c>
      <c r="C67" s="2"/>
      <c r="D67" s="3"/>
      <c r="E67" s="4"/>
    </row>
    <row r="68">
      <c r="A68" s="47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48">
        <v>0.16666666666666666</v>
      </c>
      <c r="B69" s="61" t="s">
        <v>1205</v>
      </c>
      <c r="C69" s="57" t="s">
        <v>352</v>
      </c>
      <c r="D69" s="61" t="s">
        <v>1206</v>
      </c>
      <c r="E69" s="11" t="s">
        <v>29</v>
      </c>
    </row>
    <row r="70">
      <c r="A70" s="48">
        <v>0.16666666666666666</v>
      </c>
      <c r="B70" s="61" t="s">
        <v>1207</v>
      </c>
      <c r="C70" s="57" t="s">
        <v>39</v>
      </c>
      <c r="D70" s="61" t="s">
        <v>1136</v>
      </c>
      <c r="E70" s="11" t="s">
        <v>33</v>
      </c>
    </row>
    <row r="71">
      <c r="A71" s="48">
        <v>0.1763888888888889</v>
      </c>
      <c r="B71" s="61" t="s">
        <v>1207</v>
      </c>
      <c r="C71" s="57" t="s">
        <v>291</v>
      </c>
      <c r="D71" s="61" t="s">
        <v>1206</v>
      </c>
      <c r="E71" s="11" t="s">
        <v>29</v>
      </c>
    </row>
    <row r="72">
      <c r="A72" s="48">
        <v>0.1763888888888889</v>
      </c>
      <c r="B72" s="61" t="s">
        <v>147</v>
      </c>
      <c r="C72" s="57" t="s">
        <v>31</v>
      </c>
      <c r="D72" s="61" t="s">
        <v>1136</v>
      </c>
      <c r="E72" s="11" t="s">
        <v>33</v>
      </c>
    </row>
    <row r="73">
      <c r="A73" s="48">
        <v>0.18680555555555556</v>
      </c>
      <c r="B73" s="61" t="s">
        <v>147</v>
      </c>
      <c r="C73" s="57" t="s">
        <v>166</v>
      </c>
      <c r="D73" s="61" t="s">
        <v>1207</v>
      </c>
      <c r="E73" s="11" t="s">
        <v>29</v>
      </c>
    </row>
    <row r="74">
      <c r="A74" s="48">
        <v>0.18680555555555556</v>
      </c>
      <c r="B74" s="61" t="s">
        <v>1136</v>
      </c>
      <c r="C74" s="57" t="s">
        <v>162</v>
      </c>
      <c r="D74" s="61" t="s">
        <v>1205</v>
      </c>
      <c r="E74" s="11" t="s">
        <v>33</v>
      </c>
    </row>
    <row r="75">
      <c r="A75" s="48">
        <v>0.19722222222222222</v>
      </c>
      <c r="B75" s="61" t="s">
        <v>147</v>
      </c>
      <c r="C75" s="57" t="s">
        <v>248</v>
      </c>
      <c r="D75" s="61" t="s">
        <v>1206</v>
      </c>
      <c r="E75" s="11" t="s">
        <v>29</v>
      </c>
    </row>
    <row r="76">
      <c r="A76" s="48">
        <v>0.19722222222222222</v>
      </c>
      <c r="B76" s="61" t="s">
        <v>1205</v>
      </c>
      <c r="C76" s="57" t="s">
        <v>380</v>
      </c>
      <c r="D76" s="61" t="s">
        <v>1207</v>
      </c>
      <c r="E76" s="11" t="s">
        <v>33</v>
      </c>
    </row>
    <row r="77">
      <c r="A77" s="48">
        <v>0.20694444444444443</v>
      </c>
      <c r="B77" s="61" t="s">
        <v>1136</v>
      </c>
      <c r="C77" s="57" t="s">
        <v>173</v>
      </c>
      <c r="D77" s="61" t="s">
        <v>1206</v>
      </c>
      <c r="E77" s="11" t="s">
        <v>29</v>
      </c>
    </row>
    <row r="78">
      <c r="A78" s="48">
        <v>0.20694444444444443</v>
      </c>
      <c r="B78" s="61" t="s">
        <v>1205</v>
      </c>
      <c r="C78" s="57" t="s">
        <v>162</v>
      </c>
      <c r="D78" s="61" t="s">
        <v>147</v>
      </c>
      <c r="E78" s="11" t="s">
        <v>33</v>
      </c>
    </row>
    <row r="79">
      <c r="A79" s="48">
        <v>0.21736111111111112</v>
      </c>
      <c r="B79" s="61" t="s">
        <v>1206</v>
      </c>
      <c r="C79" s="57" t="s">
        <v>230</v>
      </c>
      <c r="D79" s="61" t="s">
        <v>1205</v>
      </c>
      <c r="E79" s="11" t="s">
        <v>29</v>
      </c>
    </row>
    <row r="80">
      <c r="A80" s="48">
        <v>0.21736111111111112</v>
      </c>
      <c r="B80" s="61" t="s">
        <v>1136</v>
      </c>
      <c r="C80" s="57" t="s">
        <v>23</v>
      </c>
      <c r="D80" s="61" t="s">
        <v>1207</v>
      </c>
      <c r="E80" s="11" t="s">
        <v>33</v>
      </c>
    </row>
    <row r="81">
      <c r="A81" s="48">
        <v>0.22777777777777777</v>
      </c>
      <c r="B81" s="61" t="s">
        <v>1206</v>
      </c>
      <c r="C81" s="57" t="s">
        <v>171</v>
      </c>
      <c r="D81" s="61" t="s">
        <v>1207</v>
      </c>
      <c r="E81" s="11" t="s">
        <v>29</v>
      </c>
    </row>
    <row r="82">
      <c r="A82" s="48">
        <v>0.22777777777777777</v>
      </c>
      <c r="B82" s="61" t="s">
        <v>1136</v>
      </c>
      <c r="C82" s="57" t="s">
        <v>18</v>
      </c>
      <c r="D82" s="61" t="s">
        <v>147</v>
      </c>
      <c r="E82" s="11" t="s">
        <v>33</v>
      </c>
    </row>
    <row r="83">
      <c r="A83" s="48">
        <v>0.2375</v>
      </c>
      <c r="B83" s="61" t="s">
        <v>1207</v>
      </c>
      <c r="C83" s="57" t="s">
        <v>162</v>
      </c>
      <c r="D83" s="61" t="s">
        <v>147</v>
      </c>
      <c r="E83" s="11" t="s">
        <v>29</v>
      </c>
    </row>
    <row r="84">
      <c r="A84" s="48">
        <v>0.2375</v>
      </c>
      <c r="B84" s="61" t="s">
        <v>1205</v>
      </c>
      <c r="C84" s="57" t="s">
        <v>225</v>
      </c>
      <c r="D84" s="61" t="s">
        <v>1136</v>
      </c>
      <c r="E84" s="11" t="s">
        <v>33</v>
      </c>
    </row>
    <row r="85">
      <c r="A85" s="48">
        <v>0.24791666666666667</v>
      </c>
      <c r="B85" s="61" t="s">
        <v>1206</v>
      </c>
      <c r="C85" s="57" t="s">
        <v>18</v>
      </c>
      <c r="D85" s="61" t="s">
        <v>147</v>
      </c>
      <c r="E85" s="11" t="s">
        <v>29</v>
      </c>
    </row>
    <row r="86">
      <c r="A86" s="48">
        <v>0.24791666666666667</v>
      </c>
      <c r="B86" s="61" t="s">
        <v>1207</v>
      </c>
      <c r="C86" s="57" t="s">
        <v>425</v>
      </c>
      <c r="D86" s="61" t="s">
        <v>1205</v>
      </c>
      <c r="E86" s="11" t="s">
        <v>33</v>
      </c>
    </row>
    <row r="87">
      <c r="A87" s="48">
        <v>0.25833333333333336</v>
      </c>
      <c r="B87" s="61" t="s">
        <v>1206</v>
      </c>
      <c r="C87" s="57" t="s">
        <v>1208</v>
      </c>
      <c r="D87" s="61" t="s">
        <v>1136</v>
      </c>
      <c r="E87" s="11" t="s">
        <v>29</v>
      </c>
    </row>
    <row r="88">
      <c r="A88" s="48">
        <v>0.25833333333333336</v>
      </c>
      <c r="B88" s="61" t="s">
        <v>147</v>
      </c>
      <c r="C88" s="57" t="s">
        <v>162</v>
      </c>
      <c r="D88" s="61" t="s">
        <v>1205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1209</v>
      </c>
      <c r="C91" s="45" t="s">
        <v>7</v>
      </c>
      <c r="D91" s="61" t="s">
        <v>1210</v>
      </c>
      <c r="E91" s="11" t="s">
        <v>9</v>
      </c>
    </row>
    <row r="92">
      <c r="A92" s="48">
        <v>0.3333333333333333</v>
      </c>
      <c r="B92" s="61" t="s">
        <v>1211</v>
      </c>
      <c r="C92" s="45" t="s">
        <v>290</v>
      </c>
      <c r="D92" s="61" t="s">
        <v>1212</v>
      </c>
      <c r="E92" s="11" t="s">
        <v>13</v>
      </c>
    </row>
    <row r="93">
      <c r="A93" s="48">
        <v>0.34305555555555556</v>
      </c>
      <c r="B93" s="61" t="s">
        <v>1211</v>
      </c>
      <c r="C93" s="45" t="s">
        <v>302</v>
      </c>
      <c r="D93" s="61" t="s">
        <v>1210</v>
      </c>
      <c r="E93" s="11" t="s">
        <v>9</v>
      </c>
    </row>
    <row r="94">
      <c r="A94" s="48">
        <v>0.34305555555555556</v>
      </c>
      <c r="B94" s="61" t="s">
        <v>1213</v>
      </c>
      <c r="C94" s="45" t="s">
        <v>248</v>
      </c>
      <c r="D94" s="61" t="s">
        <v>1212</v>
      </c>
      <c r="E94" s="11" t="s">
        <v>13</v>
      </c>
    </row>
    <row r="95">
      <c r="A95" s="48">
        <v>0.35347222222222224</v>
      </c>
      <c r="B95" s="61" t="s">
        <v>1213</v>
      </c>
      <c r="C95" s="45" t="s">
        <v>11</v>
      </c>
      <c r="D95" s="61" t="s">
        <v>1211</v>
      </c>
      <c r="E95" s="11" t="s">
        <v>9</v>
      </c>
    </row>
    <row r="96">
      <c r="A96" s="48">
        <v>0.35347222222222224</v>
      </c>
      <c r="B96" s="61" t="s">
        <v>1212</v>
      </c>
      <c r="C96" s="45" t="s">
        <v>18</v>
      </c>
      <c r="D96" s="61" t="s">
        <v>1209</v>
      </c>
      <c r="E96" s="11" t="s">
        <v>13</v>
      </c>
    </row>
    <row r="97">
      <c r="A97" s="48">
        <v>0.3638888888888889</v>
      </c>
      <c r="B97" s="61" t="s">
        <v>1213</v>
      </c>
      <c r="C97" s="45" t="s">
        <v>23</v>
      </c>
      <c r="D97" s="61" t="s">
        <v>1210</v>
      </c>
      <c r="E97" s="11" t="s">
        <v>9</v>
      </c>
    </row>
    <row r="98">
      <c r="A98" s="48">
        <v>0.3638888888888889</v>
      </c>
      <c r="B98" s="61" t="s">
        <v>1209</v>
      </c>
      <c r="C98" s="45" t="s">
        <v>442</v>
      </c>
      <c r="D98" s="61" t="s">
        <v>1211</v>
      </c>
      <c r="E98" s="11" t="s">
        <v>13</v>
      </c>
    </row>
    <row r="99">
      <c r="A99" s="48">
        <v>0.3736111111111111</v>
      </c>
      <c r="B99" s="61" t="s">
        <v>1212</v>
      </c>
      <c r="C99" s="45" t="s">
        <v>38</v>
      </c>
      <c r="D99" s="61" t="s">
        <v>1210</v>
      </c>
      <c r="E99" s="11" t="s">
        <v>9</v>
      </c>
    </row>
    <row r="100">
      <c r="A100" s="48">
        <v>0.3736111111111111</v>
      </c>
      <c r="B100" s="61" t="s">
        <v>1209</v>
      </c>
      <c r="C100" s="45" t="s">
        <v>1214</v>
      </c>
      <c r="D100" s="61" t="s">
        <v>1213</v>
      </c>
      <c r="E100" s="11" t="s">
        <v>13</v>
      </c>
    </row>
    <row r="101">
      <c r="A101" s="48">
        <v>0.3840277777777778</v>
      </c>
      <c r="B101" s="61" t="s">
        <v>1210</v>
      </c>
      <c r="C101" s="45" t="s">
        <v>298</v>
      </c>
      <c r="D101" s="61" t="s">
        <v>1209</v>
      </c>
      <c r="E101" s="11" t="s">
        <v>9</v>
      </c>
    </row>
    <row r="102">
      <c r="A102" s="48">
        <v>0.3840277777777778</v>
      </c>
      <c r="B102" s="61" t="s">
        <v>1212</v>
      </c>
      <c r="C102" s="45" t="s">
        <v>39</v>
      </c>
      <c r="D102" s="61" t="s">
        <v>1211</v>
      </c>
      <c r="E102" s="11" t="s">
        <v>13</v>
      </c>
    </row>
    <row r="103">
      <c r="A103" s="48">
        <v>0.39444444444444443</v>
      </c>
      <c r="B103" s="61" t="s">
        <v>1210</v>
      </c>
      <c r="C103" s="45" t="s">
        <v>1153</v>
      </c>
      <c r="D103" s="61" t="s">
        <v>1211</v>
      </c>
      <c r="E103" s="11" t="s">
        <v>9</v>
      </c>
    </row>
    <row r="104">
      <c r="A104" s="48">
        <v>0.39444444444444443</v>
      </c>
      <c r="B104" s="61" t="s">
        <v>1212</v>
      </c>
      <c r="C104" s="45" t="s">
        <v>185</v>
      </c>
      <c r="D104" s="61" t="s">
        <v>1213</v>
      </c>
      <c r="E104" s="11" t="s">
        <v>13</v>
      </c>
    </row>
    <row r="105">
      <c r="A105" s="48">
        <v>0.4041666666666667</v>
      </c>
      <c r="B105" s="61" t="s">
        <v>1211</v>
      </c>
      <c r="C105" s="45" t="s">
        <v>289</v>
      </c>
      <c r="D105" s="61" t="s">
        <v>1213</v>
      </c>
      <c r="E105" s="11" t="s">
        <v>9</v>
      </c>
    </row>
    <row r="106">
      <c r="A106" s="48">
        <v>0.4041666666666667</v>
      </c>
      <c r="B106" s="61" t="s">
        <v>1209</v>
      </c>
      <c r="C106" s="45" t="s">
        <v>218</v>
      </c>
      <c r="D106" s="61" t="s">
        <v>1212</v>
      </c>
      <c r="E106" s="11" t="s">
        <v>13</v>
      </c>
    </row>
    <row r="107">
      <c r="A107" s="48">
        <v>0.41458333333333336</v>
      </c>
      <c r="B107" s="61" t="s">
        <v>1210</v>
      </c>
      <c r="C107" s="45" t="s">
        <v>158</v>
      </c>
      <c r="D107" s="61" t="s">
        <v>1213</v>
      </c>
      <c r="E107" s="11" t="s">
        <v>9</v>
      </c>
    </row>
    <row r="108">
      <c r="A108" s="48">
        <v>0.41458333333333336</v>
      </c>
      <c r="B108" s="61" t="s">
        <v>1211</v>
      </c>
      <c r="C108" s="45" t="s">
        <v>193</v>
      </c>
      <c r="D108" s="61" t="s">
        <v>1209</v>
      </c>
      <c r="E108" s="11" t="s">
        <v>13</v>
      </c>
    </row>
    <row r="109">
      <c r="A109" s="48">
        <v>0.425</v>
      </c>
      <c r="B109" s="61" t="s">
        <v>1210</v>
      </c>
      <c r="C109" s="45" t="s">
        <v>301</v>
      </c>
      <c r="D109" s="61" t="s">
        <v>1212</v>
      </c>
      <c r="E109" s="11" t="s">
        <v>9</v>
      </c>
    </row>
    <row r="110">
      <c r="A110" s="48">
        <v>0.425</v>
      </c>
      <c r="B110" s="61" t="s">
        <v>1213</v>
      </c>
      <c r="C110" s="45" t="s">
        <v>16</v>
      </c>
      <c r="D110" s="61" t="s">
        <v>1209</v>
      </c>
      <c r="E110" s="11" t="s">
        <v>13</v>
      </c>
    </row>
    <row r="111">
      <c r="A111" s="5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61" t="s">
        <v>1215</v>
      </c>
      <c r="C113" s="57" t="s">
        <v>327</v>
      </c>
      <c r="D113" s="61" t="s">
        <v>1216</v>
      </c>
      <c r="E113" s="11" t="s">
        <v>29</v>
      </c>
    </row>
    <row r="114">
      <c r="A114" s="30">
        <v>0.3333333333333333</v>
      </c>
      <c r="B114" s="61" t="s">
        <v>1217</v>
      </c>
      <c r="C114" s="57" t="s">
        <v>181</v>
      </c>
      <c r="D114" s="61" t="s">
        <v>1218</v>
      </c>
      <c r="E114" s="11" t="s">
        <v>33</v>
      </c>
    </row>
    <row r="115">
      <c r="A115" s="30">
        <v>0.34305555555555556</v>
      </c>
      <c r="B115" s="61" t="s">
        <v>1217</v>
      </c>
      <c r="C115" s="57" t="s">
        <v>18</v>
      </c>
      <c r="D115" s="61" t="s">
        <v>1216</v>
      </c>
      <c r="E115" s="11" t="s">
        <v>29</v>
      </c>
    </row>
    <row r="116">
      <c r="A116" s="30">
        <v>0.34305555555555556</v>
      </c>
      <c r="B116" s="61" t="s">
        <v>1219</v>
      </c>
      <c r="C116" s="57" t="s">
        <v>248</v>
      </c>
      <c r="D116" s="61" t="s">
        <v>1218</v>
      </c>
      <c r="E116" s="11" t="s">
        <v>33</v>
      </c>
    </row>
    <row r="117">
      <c r="A117" s="30">
        <v>0.35347222222222224</v>
      </c>
      <c r="B117" s="61" t="s">
        <v>1219</v>
      </c>
      <c r="C117" s="57" t="s">
        <v>155</v>
      </c>
      <c r="D117" s="61" t="s">
        <v>1217</v>
      </c>
      <c r="E117" s="11" t="s">
        <v>29</v>
      </c>
    </row>
    <row r="118">
      <c r="A118" s="30">
        <v>0.35347222222222224</v>
      </c>
      <c r="B118" s="61" t="s">
        <v>1218</v>
      </c>
      <c r="C118" s="57" t="s">
        <v>162</v>
      </c>
      <c r="D118" s="61" t="s">
        <v>1215</v>
      </c>
      <c r="E118" s="11" t="s">
        <v>33</v>
      </c>
    </row>
    <row r="119">
      <c r="A119" s="30">
        <v>0.3638888888888889</v>
      </c>
      <c r="B119" s="61" t="s">
        <v>1219</v>
      </c>
      <c r="C119" s="57" t="s">
        <v>327</v>
      </c>
      <c r="D119" s="61" t="s">
        <v>1216</v>
      </c>
      <c r="E119" s="11" t="s">
        <v>29</v>
      </c>
    </row>
    <row r="120">
      <c r="A120" s="30">
        <v>0.3638888888888889</v>
      </c>
      <c r="B120" s="61" t="s">
        <v>1215</v>
      </c>
      <c r="C120" s="57" t="s">
        <v>155</v>
      </c>
      <c r="D120" s="61" t="s">
        <v>1217</v>
      </c>
      <c r="E120" s="11" t="s">
        <v>33</v>
      </c>
    </row>
    <row r="121">
      <c r="A121" s="30">
        <v>0.3736111111111111</v>
      </c>
      <c r="B121" s="61" t="s">
        <v>1218</v>
      </c>
      <c r="C121" s="57" t="s">
        <v>196</v>
      </c>
      <c r="D121" s="61" t="s">
        <v>1216</v>
      </c>
      <c r="E121" s="11" t="s">
        <v>29</v>
      </c>
    </row>
    <row r="122">
      <c r="A122" s="30">
        <v>0.3736111111111111</v>
      </c>
      <c r="B122" s="61" t="s">
        <v>1215</v>
      </c>
      <c r="C122" s="57" t="s">
        <v>160</v>
      </c>
      <c r="D122" s="61" t="s">
        <v>1219</v>
      </c>
      <c r="E122" s="11" t="s">
        <v>33</v>
      </c>
    </row>
    <row r="123">
      <c r="A123" s="30">
        <v>0.3840277777777778</v>
      </c>
      <c r="B123" s="61" t="s">
        <v>1216</v>
      </c>
      <c r="C123" s="57" t="s">
        <v>38</v>
      </c>
      <c r="D123" s="61" t="s">
        <v>1215</v>
      </c>
      <c r="E123" s="11" t="s">
        <v>29</v>
      </c>
    </row>
    <row r="124">
      <c r="A124" s="30">
        <v>0.3840277777777778</v>
      </c>
      <c r="B124" s="61" t="s">
        <v>1218</v>
      </c>
      <c r="C124" s="57" t="s">
        <v>158</v>
      </c>
      <c r="D124" s="61" t="s">
        <v>1217</v>
      </c>
      <c r="E124" s="11" t="s">
        <v>33</v>
      </c>
      <c r="G124" s="75"/>
    </row>
    <row r="125">
      <c r="A125" s="30">
        <v>0.39444444444444443</v>
      </c>
      <c r="B125" s="61" t="s">
        <v>1216</v>
      </c>
      <c r="C125" s="57" t="s">
        <v>43</v>
      </c>
      <c r="D125" s="61" t="s">
        <v>1217</v>
      </c>
      <c r="E125" s="11" t="s">
        <v>29</v>
      </c>
    </row>
    <row r="126">
      <c r="A126" s="30">
        <v>0.39444444444444443</v>
      </c>
      <c r="B126" s="61" t="s">
        <v>1218</v>
      </c>
      <c r="C126" s="57" t="s">
        <v>193</v>
      </c>
      <c r="D126" s="61" t="s">
        <v>1219</v>
      </c>
      <c r="E126" s="11" t="s">
        <v>33</v>
      </c>
    </row>
    <row r="127">
      <c r="A127" s="30">
        <v>0.4041666666666667</v>
      </c>
      <c r="B127" s="61" t="s">
        <v>1217</v>
      </c>
      <c r="C127" s="57" t="s">
        <v>18</v>
      </c>
      <c r="D127" s="61" t="s">
        <v>1219</v>
      </c>
      <c r="E127" s="11" t="s">
        <v>29</v>
      </c>
    </row>
    <row r="128">
      <c r="A128" s="30">
        <v>0.4041666666666667</v>
      </c>
      <c r="B128" s="61" t="s">
        <v>1215</v>
      </c>
      <c r="C128" s="57" t="s">
        <v>181</v>
      </c>
      <c r="D128" s="61" t="s">
        <v>1218</v>
      </c>
      <c r="E128" s="11" t="s">
        <v>33</v>
      </c>
    </row>
    <row r="129">
      <c r="A129" s="30">
        <v>0.41458333333333336</v>
      </c>
      <c r="B129" s="61" t="s">
        <v>1216</v>
      </c>
      <c r="C129" s="57" t="s">
        <v>189</v>
      </c>
      <c r="D129" s="61" t="s">
        <v>1219</v>
      </c>
      <c r="E129" s="11" t="s">
        <v>29</v>
      </c>
    </row>
    <row r="130">
      <c r="A130" s="30">
        <v>0.41458333333333336</v>
      </c>
      <c r="B130" s="61" t="s">
        <v>1217</v>
      </c>
      <c r="C130" s="57" t="s">
        <v>19</v>
      </c>
      <c r="D130" s="61" t="s">
        <v>1215</v>
      </c>
      <c r="E130" s="11" t="s">
        <v>33</v>
      </c>
    </row>
    <row r="131">
      <c r="A131" s="30">
        <v>0.425</v>
      </c>
      <c r="B131" s="61" t="s">
        <v>1216</v>
      </c>
      <c r="C131" s="57" t="s">
        <v>17</v>
      </c>
      <c r="D131" s="61" t="s">
        <v>1218</v>
      </c>
      <c r="E131" s="11" t="s">
        <v>29</v>
      </c>
    </row>
    <row r="132">
      <c r="A132" s="30">
        <v>0.425</v>
      </c>
      <c r="B132" s="61" t="s">
        <v>1219</v>
      </c>
      <c r="C132" s="57" t="s">
        <v>291</v>
      </c>
      <c r="D132" s="61" t="s">
        <v>1215</v>
      </c>
      <c r="E132" s="11" t="s">
        <v>33</v>
      </c>
    </row>
    <row r="133">
      <c r="A133" s="5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68</v>
      </c>
      <c r="C135" s="57" t="s">
        <v>162</v>
      </c>
      <c r="D135" s="61" t="s">
        <v>1220</v>
      </c>
      <c r="E135" s="11" t="s">
        <v>9</v>
      </c>
    </row>
    <row r="136">
      <c r="A136" s="48">
        <v>0.4375</v>
      </c>
      <c r="B136" s="61" t="s">
        <v>70</v>
      </c>
      <c r="C136" s="57" t="s">
        <v>582</v>
      </c>
      <c r="D136" s="61" t="s">
        <v>1221</v>
      </c>
      <c r="E136" s="11" t="s">
        <v>13</v>
      </c>
    </row>
    <row r="137">
      <c r="A137" s="48">
        <v>0.44722222222222224</v>
      </c>
      <c r="B137" s="61" t="s">
        <v>70</v>
      </c>
      <c r="C137" s="57" t="s">
        <v>251</v>
      </c>
      <c r="D137" s="61" t="s">
        <v>1220</v>
      </c>
      <c r="E137" s="11" t="s">
        <v>9</v>
      </c>
    </row>
    <row r="138">
      <c r="A138" s="48">
        <v>0.44722222222222224</v>
      </c>
      <c r="B138" s="61" t="s">
        <v>1222</v>
      </c>
      <c r="C138" s="57" t="s">
        <v>292</v>
      </c>
      <c r="D138" s="61" t="s">
        <v>1221</v>
      </c>
      <c r="E138" s="11" t="s">
        <v>13</v>
      </c>
    </row>
    <row r="139">
      <c r="A139" s="48">
        <v>0.4576388888888889</v>
      </c>
      <c r="B139" s="61" t="s">
        <v>1222</v>
      </c>
      <c r="C139" s="57" t="s">
        <v>302</v>
      </c>
      <c r="D139" s="61" t="s">
        <v>70</v>
      </c>
      <c r="E139" s="11" t="s">
        <v>9</v>
      </c>
    </row>
    <row r="140">
      <c r="A140" s="48">
        <v>0.4576388888888889</v>
      </c>
      <c r="B140" s="61" t="s">
        <v>1221</v>
      </c>
      <c r="C140" s="57" t="s">
        <v>36</v>
      </c>
      <c r="D140" s="61" t="s">
        <v>68</v>
      </c>
      <c r="E140" s="11" t="s">
        <v>13</v>
      </c>
    </row>
    <row r="141">
      <c r="A141" s="48">
        <v>0.46805555555555556</v>
      </c>
      <c r="B141" s="61" t="s">
        <v>1222</v>
      </c>
      <c r="C141" s="57" t="s">
        <v>41</v>
      </c>
      <c r="D141" s="61" t="s">
        <v>1220</v>
      </c>
      <c r="E141" s="11" t="s">
        <v>9</v>
      </c>
    </row>
    <row r="142">
      <c r="A142" s="48">
        <v>0.46805555555555556</v>
      </c>
      <c r="B142" s="61" t="s">
        <v>68</v>
      </c>
      <c r="C142" s="57" t="s">
        <v>158</v>
      </c>
      <c r="D142" s="61" t="s">
        <v>70</v>
      </c>
      <c r="E142" s="11" t="s">
        <v>13</v>
      </c>
    </row>
    <row r="143">
      <c r="A143" s="48">
        <v>0.4777777777777778</v>
      </c>
      <c r="B143" s="61" t="s">
        <v>1221</v>
      </c>
      <c r="C143" s="57" t="s">
        <v>547</v>
      </c>
      <c r="D143" s="61" t="s">
        <v>1220</v>
      </c>
      <c r="E143" s="11" t="s">
        <v>9</v>
      </c>
    </row>
    <row r="144">
      <c r="A144" s="48">
        <v>0.4777777777777778</v>
      </c>
      <c r="B144" s="61" t="s">
        <v>68</v>
      </c>
      <c r="C144" s="57" t="s">
        <v>289</v>
      </c>
      <c r="D144" s="61" t="s">
        <v>1222</v>
      </c>
      <c r="E144" s="11" t="s">
        <v>13</v>
      </c>
    </row>
    <row r="145">
      <c r="A145" s="48">
        <v>0.48819444444444443</v>
      </c>
      <c r="B145" s="61" t="s">
        <v>1220</v>
      </c>
      <c r="C145" s="57" t="s">
        <v>209</v>
      </c>
      <c r="D145" s="61" t="s">
        <v>68</v>
      </c>
      <c r="E145" s="11" t="s">
        <v>9</v>
      </c>
    </row>
    <row r="146">
      <c r="A146" s="48">
        <v>0.48819444444444443</v>
      </c>
      <c r="B146" s="61" t="s">
        <v>1221</v>
      </c>
      <c r="C146" s="57" t="s">
        <v>43</v>
      </c>
      <c r="D146" s="61" t="s">
        <v>70</v>
      </c>
      <c r="E146" s="11" t="s">
        <v>13</v>
      </c>
    </row>
    <row r="147">
      <c r="A147" s="48">
        <v>0.4986111111111111</v>
      </c>
      <c r="B147" s="61" t="s">
        <v>1220</v>
      </c>
      <c r="C147" s="45" t="s">
        <v>18</v>
      </c>
      <c r="D147" s="61" t="s">
        <v>70</v>
      </c>
      <c r="E147" s="11" t="s">
        <v>9</v>
      </c>
    </row>
    <row r="148">
      <c r="A148" s="48">
        <v>0.4986111111111111</v>
      </c>
      <c r="B148" s="61" t="s">
        <v>1221</v>
      </c>
      <c r="C148" s="45" t="s">
        <v>220</v>
      </c>
      <c r="D148" s="61" t="s">
        <v>1222</v>
      </c>
      <c r="E148" s="11" t="s">
        <v>13</v>
      </c>
    </row>
    <row r="149">
      <c r="A149" s="48">
        <v>0.5083333333333333</v>
      </c>
      <c r="B149" s="61" t="s">
        <v>70</v>
      </c>
      <c r="C149" s="45" t="s">
        <v>380</v>
      </c>
      <c r="D149" s="61" t="s">
        <v>1222</v>
      </c>
      <c r="E149" s="11" t="s">
        <v>9</v>
      </c>
    </row>
    <row r="150">
      <c r="A150" s="48">
        <v>0.5083333333333333</v>
      </c>
      <c r="B150" s="61" t="s">
        <v>68</v>
      </c>
      <c r="C150" s="45" t="s">
        <v>23</v>
      </c>
      <c r="D150" s="61" t="s">
        <v>1221</v>
      </c>
      <c r="E150" s="11" t="s">
        <v>13</v>
      </c>
    </row>
    <row r="151">
      <c r="A151" s="48">
        <v>0.51875</v>
      </c>
      <c r="B151" s="61" t="s">
        <v>1220</v>
      </c>
      <c r="C151" s="45" t="s">
        <v>194</v>
      </c>
      <c r="D151" s="61" t="s">
        <v>1222</v>
      </c>
      <c r="E151" s="11" t="s">
        <v>9</v>
      </c>
    </row>
    <row r="152">
      <c r="A152" s="48">
        <v>0.51875</v>
      </c>
      <c r="B152" s="61" t="s">
        <v>70</v>
      </c>
      <c r="C152" s="45" t="s">
        <v>155</v>
      </c>
      <c r="D152" s="61" t="s">
        <v>68</v>
      </c>
      <c r="E152" s="11" t="s">
        <v>13</v>
      </c>
    </row>
    <row r="153">
      <c r="A153" s="48">
        <v>0.5291666666666667</v>
      </c>
      <c r="B153" s="61" t="s">
        <v>1220</v>
      </c>
      <c r="C153" s="45" t="s">
        <v>257</v>
      </c>
      <c r="D153" s="61" t="s">
        <v>1221</v>
      </c>
      <c r="E153" s="11" t="s">
        <v>9</v>
      </c>
    </row>
    <row r="154">
      <c r="A154" s="48">
        <v>0.5291666666666667</v>
      </c>
      <c r="B154" s="61" t="s">
        <v>1222</v>
      </c>
      <c r="C154" s="45" t="s">
        <v>181</v>
      </c>
      <c r="D154" s="61" t="s">
        <v>68</v>
      </c>
      <c r="E154" s="11" t="s">
        <v>13</v>
      </c>
    </row>
    <row r="155">
      <c r="A155" s="5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77</v>
      </c>
      <c r="C157" s="57" t="s">
        <v>164</v>
      </c>
      <c r="D157" s="61" t="s">
        <v>1223</v>
      </c>
      <c r="E157" s="11" t="s">
        <v>29</v>
      </c>
    </row>
    <row r="158">
      <c r="A158" s="48">
        <v>0.4375</v>
      </c>
      <c r="B158" s="61" t="s">
        <v>1224</v>
      </c>
      <c r="C158" s="57" t="s">
        <v>357</v>
      </c>
      <c r="D158" s="61" t="s">
        <v>241</v>
      </c>
      <c r="E158" s="11" t="s">
        <v>33</v>
      </c>
    </row>
    <row r="159">
      <c r="A159" s="48">
        <v>0.44722222222222224</v>
      </c>
      <c r="B159" s="61" t="s">
        <v>1224</v>
      </c>
      <c r="C159" s="57" t="s">
        <v>155</v>
      </c>
      <c r="D159" s="61" t="s">
        <v>1223</v>
      </c>
      <c r="E159" s="11" t="s">
        <v>29</v>
      </c>
    </row>
    <row r="160">
      <c r="A160" s="48">
        <v>0.44722222222222224</v>
      </c>
      <c r="B160" s="61" t="s">
        <v>1225</v>
      </c>
      <c r="C160" s="57" t="s">
        <v>248</v>
      </c>
      <c r="D160" s="61" t="s">
        <v>241</v>
      </c>
      <c r="E160" s="11" t="s">
        <v>33</v>
      </c>
    </row>
    <row r="161">
      <c r="A161" s="48">
        <v>0.4576388888888889</v>
      </c>
      <c r="B161" s="61" t="s">
        <v>1225</v>
      </c>
      <c r="C161" s="57" t="s">
        <v>323</v>
      </c>
      <c r="D161" s="61" t="s">
        <v>1224</v>
      </c>
      <c r="E161" s="11" t="s">
        <v>29</v>
      </c>
    </row>
    <row r="162">
      <c r="A162" s="48">
        <v>0.4576388888888889</v>
      </c>
      <c r="B162" s="61" t="s">
        <v>241</v>
      </c>
      <c r="C162" s="57" t="s">
        <v>193</v>
      </c>
      <c r="D162" s="61" t="s">
        <v>77</v>
      </c>
      <c r="E162" s="11" t="s">
        <v>33</v>
      </c>
    </row>
    <row r="163">
      <c r="A163" s="48">
        <v>0.46805555555555556</v>
      </c>
      <c r="B163" s="61" t="s">
        <v>1225</v>
      </c>
      <c r="C163" s="57" t="s">
        <v>239</v>
      </c>
      <c r="D163" s="61" t="s">
        <v>1223</v>
      </c>
      <c r="E163" s="11" t="s">
        <v>29</v>
      </c>
    </row>
    <row r="164">
      <c r="A164" s="48">
        <v>0.46805555555555556</v>
      </c>
      <c r="B164" s="61" t="s">
        <v>77</v>
      </c>
      <c r="C164" s="57" t="s">
        <v>181</v>
      </c>
      <c r="D164" s="61" t="s">
        <v>1224</v>
      </c>
      <c r="E164" s="11" t="s">
        <v>33</v>
      </c>
    </row>
    <row r="165">
      <c r="A165" s="48">
        <v>0.4777777777777778</v>
      </c>
      <c r="B165" s="61" t="s">
        <v>241</v>
      </c>
      <c r="C165" s="57" t="s">
        <v>1226</v>
      </c>
      <c r="D165" s="61" t="s">
        <v>1223</v>
      </c>
      <c r="E165" s="11" t="s">
        <v>29</v>
      </c>
    </row>
    <row r="166">
      <c r="A166" s="48">
        <v>0.4777777777777778</v>
      </c>
      <c r="B166" s="61" t="s">
        <v>77</v>
      </c>
      <c r="C166" s="57" t="s">
        <v>958</v>
      </c>
      <c r="D166" s="61" t="s">
        <v>1225</v>
      </c>
      <c r="E166" s="11" t="s">
        <v>33</v>
      </c>
    </row>
    <row r="167">
      <c r="A167" s="48">
        <v>0.48819444444444443</v>
      </c>
      <c r="B167" s="61" t="s">
        <v>1223</v>
      </c>
      <c r="C167" s="57" t="s">
        <v>18</v>
      </c>
      <c r="D167" s="61" t="s">
        <v>77</v>
      </c>
      <c r="E167" s="11" t="s">
        <v>29</v>
      </c>
    </row>
    <row r="168">
      <c r="A168" s="48">
        <v>0.48819444444444443</v>
      </c>
      <c r="B168" s="61" t="s">
        <v>241</v>
      </c>
      <c r="C168" s="54" t="s">
        <v>264</v>
      </c>
      <c r="D168" s="61" t="s">
        <v>1224</v>
      </c>
      <c r="E168" s="11" t="s">
        <v>33</v>
      </c>
    </row>
    <row r="169">
      <c r="A169" s="48">
        <v>0.4986111111111111</v>
      </c>
      <c r="B169" s="61" t="s">
        <v>1223</v>
      </c>
      <c r="C169" s="57" t="s">
        <v>209</v>
      </c>
      <c r="D169" s="61" t="s">
        <v>1224</v>
      </c>
      <c r="E169" s="11" t="s">
        <v>29</v>
      </c>
    </row>
    <row r="170">
      <c r="A170" s="48">
        <v>0.4986111111111111</v>
      </c>
      <c r="B170" s="61" t="s">
        <v>241</v>
      </c>
      <c r="C170" s="57" t="s">
        <v>220</v>
      </c>
      <c r="D170" s="61" t="s">
        <v>1225</v>
      </c>
      <c r="E170" s="11" t="s">
        <v>33</v>
      </c>
    </row>
    <row r="171">
      <c r="A171" s="48">
        <v>0.5083333333333333</v>
      </c>
      <c r="B171" s="61" t="s">
        <v>1224</v>
      </c>
      <c r="C171" s="57" t="s">
        <v>168</v>
      </c>
      <c r="D171" s="61" t="s">
        <v>1225</v>
      </c>
      <c r="E171" s="11" t="s">
        <v>29</v>
      </c>
    </row>
    <row r="172">
      <c r="A172" s="48">
        <v>0.5083333333333333</v>
      </c>
      <c r="B172" s="61" t="s">
        <v>77</v>
      </c>
      <c r="C172" s="57" t="s">
        <v>158</v>
      </c>
      <c r="D172" s="61" t="s">
        <v>241</v>
      </c>
      <c r="E172" s="11" t="s">
        <v>33</v>
      </c>
    </row>
    <row r="173">
      <c r="A173" s="48">
        <v>0.51875</v>
      </c>
      <c r="B173" s="61" t="s">
        <v>1223</v>
      </c>
      <c r="C173" s="57" t="s">
        <v>1227</v>
      </c>
      <c r="D173" s="61" t="s">
        <v>1225</v>
      </c>
      <c r="E173" s="11" t="s">
        <v>29</v>
      </c>
    </row>
    <row r="174">
      <c r="A174" s="48">
        <v>0.51875</v>
      </c>
      <c r="B174" s="61" t="s">
        <v>1224</v>
      </c>
      <c r="C174" s="57" t="s">
        <v>549</v>
      </c>
      <c r="D174" s="61" t="s">
        <v>77</v>
      </c>
      <c r="E174" s="11" t="s">
        <v>33</v>
      </c>
    </row>
    <row r="175">
      <c r="A175" s="48">
        <v>0.5291666666666667</v>
      </c>
      <c r="B175" s="61" t="s">
        <v>1223</v>
      </c>
      <c r="C175" s="57" t="s">
        <v>23</v>
      </c>
      <c r="D175" s="61" t="s">
        <v>241</v>
      </c>
      <c r="E175" s="11" t="s">
        <v>29</v>
      </c>
    </row>
    <row r="176">
      <c r="A176" s="48">
        <v>0.5291666666666667</v>
      </c>
      <c r="B176" s="61" t="s">
        <v>1225</v>
      </c>
      <c r="C176" s="57" t="s">
        <v>40</v>
      </c>
      <c r="D176" s="61" t="s">
        <v>77</v>
      </c>
      <c r="E176" s="11" t="s">
        <v>33</v>
      </c>
    </row>
    <row r="177">
      <c r="A177" s="5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79</v>
      </c>
      <c r="C179" s="57" t="s">
        <v>220</v>
      </c>
      <c r="D179" s="61" t="s">
        <v>1228</v>
      </c>
      <c r="E179" s="11" t="s">
        <v>9</v>
      </c>
    </row>
    <row r="180">
      <c r="A180" s="48">
        <v>0.5416666666666666</v>
      </c>
      <c r="B180" s="61" t="s">
        <v>1229</v>
      </c>
      <c r="C180" s="57" t="s">
        <v>17</v>
      </c>
      <c r="D180" s="61" t="s">
        <v>1230</v>
      </c>
      <c r="E180" s="11" t="s">
        <v>13</v>
      </c>
    </row>
    <row r="181">
      <c r="A181" s="48">
        <v>0.5513888888888889</v>
      </c>
      <c r="B181" s="61" t="s">
        <v>1229</v>
      </c>
      <c r="C181" s="57" t="s">
        <v>290</v>
      </c>
      <c r="D181" s="61" t="s">
        <v>1228</v>
      </c>
      <c r="E181" s="11" t="s">
        <v>9</v>
      </c>
    </row>
    <row r="182">
      <c r="A182" s="48">
        <v>0.5513888888888889</v>
      </c>
      <c r="B182" s="61" t="s">
        <v>252</v>
      </c>
      <c r="C182" s="57" t="s">
        <v>440</v>
      </c>
      <c r="D182" s="61" t="s">
        <v>1230</v>
      </c>
      <c r="E182" s="11" t="s">
        <v>13</v>
      </c>
    </row>
    <row r="183">
      <c r="A183" s="48">
        <v>0.5618055555555556</v>
      </c>
      <c r="B183" s="61" t="s">
        <v>252</v>
      </c>
      <c r="C183" s="57" t="s">
        <v>155</v>
      </c>
      <c r="D183" s="61" t="s">
        <v>1229</v>
      </c>
      <c r="E183" s="11" t="s">
        <v>9</v>
      </c>
    </row>
    <row r="184">
      <c r="A184" s="48">
        <v>0.5618055555555556</v>
      </c>
      <c r="B184" s="61" t="s">
        <v>1230</v>
      </c>
      <c r="C184" s="57" t="s">
        <v>610</v>
      </c>
      <c r="D184" s="61" t="s">
        <v>79</v>
      </c>
      <c r="E184" s="11" t="s">
        <v>13</v>
      </c>
    </row>
    <row r="185">
      <c r="A185" s="48">
        <v>0.5722222222222222</v>
      </c>
      <c r="B185" s="61" t="s">
        <v>252</v>
      </c>
      <c r="C185" s="57" t="s">
        <v>20</v>
      </c>
      <c r="D185" s="61" t="s">
        <v>1228</v>
      </c>
      <c r="E185" s="11" t="s">
        <v>9</v>
      </c>
    </row>
    <row r="186">
      <c r="A186" s="48">
        <v>0.5722222222222222</v>
      </c>
      <c r="B186" s="61" t="s">
        <v>79</v>
      </c>
      <c r="C186" s="57" t="s">
        <v>20</v>
      </c>
      <c r="D186" s="61" t="s">
        <v>1229</v>
      </c>
      <c r="E186" s="11" t="s">
        <v>13</v>
      </c>
    </row>
    <row r="187">
      <c r="A187" s="48">
        <v>0.5819444444444445</v>
      </c>
      <c r="B187" s="61" t="s">
        <v>1230</v>
      </c>
      <c r="C187" s="57" t="s">
        <v>181</v>
      </c>
      <c r="D187" s="61" t="s">
        <v>1228</v>
      </c>
      <c r="E187" s="11" t="s">
        <v>9</v>
      </c>
    </row>
    <row r="188">
      <c r="A188" s="48">
        <v>0.5819444444444445</v>
      </c>
      <c r="B188" s="61" t="s">
        <v>79</v>
      </c>
      <c r="C188" s="57" t="s">
        <v>160</v>
      </c>
      <c r="D188" s="61" t="s">
        <v>252</v>
      </c>
      <c r="E188" s="11" t="s">
        <v>13</v>
      </c>
    </row>
    <row r="189">
      <c r="A189" s="48">
        <v>0.5923611111111111</v>
      </c>
      <c r="B189" s="61" t="s">
        <v>1228</v>
      </c>
      <c r="C189" s="57" t="s">
        <v>16</v>
      </c>
      <c r="D189" s="61" t="s">
        <v>79</v>
      </c>
      <c r="E189" s="11" t="s">
        <v>9</v>
      </c>
    </row>
    <row r="190">
      <c r="A190" s="48">
        <v>0.5923611111111111</v>
      </c>
      <c r="B190" s="61" t="s">
        <v>1230</v>
      </c>
      <c r="C190" s="57" t="s">
        <v>165</v>
      </c>
      <c r="D190" s="61" t="s">
        <v>1229</v>
      </c>
      <c r="E190" s="11" t="s">
        <v>13</v>
      </c>
    </row>
    <row r="191">
      <c r="A191" s="48">
        <v>0.6027777777777777</v>
      </c>
      <c r="B191" s="61" t="s">
        <v>1228</v>
      </c>
      <c r="C191" s="57" t="s">
        <v>18</v>
      </c>
      <c r="D191" s="61" t="s">
        <v>1229</v>
      </c>
      <c r="E191" s="11" t="s">
        <v>9</v>
      </c>
    </row>
    <row r="192">
      <c r="A192" s="48">
        <v>0.6027777777777777</v>
      </c>
      <c r="B192" s="61" t="s">
        <v>1230</v>
      </c>
      <c r="C192" s="57" t="s">
        <v>155</v>
      </c>
      <c r="D192" s="61" t="s">
        <v>252</v>
      </c>
      <c r="E192" s="11" t="s">
        <v>13</v>
      </c>
    </row>
    <row r="193">
      <c r="A193" s="48">
        <v>0.6125</v>
      </c>
      <c r="B193" s="61" t="s">
        <v>1229</v>
      </c>
      <c r="C193" s="57" t="s">
        <v>7</v>
      </c>
      <c r="D193" s="61" t="s">
        <v>252</v>
      </c>
      <c r="E193" s="11" t="s">
        <v>9</v>
      </c>
    </row>
    <row r="194">
      <c r="A194" s="48">
        <v>0.6125</v>
      </c>
      <c r="B194" s="61" t="s">
        <v>79</v>
      </c>
      <c r="C194" s="57" t="s">
        <v>507</v>
      </c>
      <c r="D194" s="61" t="s">
        <v>1230</v>
      </c>
      <c r="E194" s="11" t="s">
        <v>13</v>
      </c>
    </row>
    <row r="195">
      <c r="A195" s="48">
        <v>0.6229166666666667</v>
      </c>
      <c r="B195" s="61" t="s">
        <v>1228</v>
      </c>
      <c r="C195" s="57" t="s">
        <v>291</v>
      </c>
      <c r="D195" s="61" t="s">
        <v>252</v>
      </c>
      <c r="E195" s="11" t="s">
        <v>9</v>
      </c>
    </row>
    <row r="196">
      <c r="A196" s="48">
        <v>0.6229166666666667</v>
      </c>
      <c r="B196" s="61" t="s">
        <v>1229</v>
      </c>
      <c r="C196" s="57" t="s">
        <v>155</v>
      </c>
      <c r="D196" s="61" t="s">
        <v>79</v>
      </c>
      <c r="E196" s="11" t="s">
        <v>13</v>
      </c>
    </row>
    <row r="197">
      <c r="A197" s="48">
        <v>0.6333333333333333</v>
      </c>
      <c r="B197" s="61" t="s">
        <v>1228</v>
      </c>
      <c r="C197" s="57" t="s">
        <v>23</v>
      </c>
      <c r="D197" s="61" t="s">
        <v>1230</v>
      </c>
      <c r="E197" s="11" t="s">
        <v>9</v>
      </c>
    </row>
    <row r="198">
      <c r="A198" s="48">
        <v>0.6333333333333333</v>
      </c>
      <c r="B198" s="61" t="s">
        <v>252</v>
      </c>
      <c r="C198" s="57" t="s">
        <v>344</v>
      </c>
      <c r="D198" s="61" t="s">
        <v>79</v>
      </c>
      <c r="E198" s="11" t="s">
        <v>13</v>
      </c>
    </row>
    <row r="199">
      <c r="A199" s="5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66</v>
      </c>
      <c r="C201" s="57" t="s">
        <v>42</v>
      </c>
      <c r="D201" s="61" t="s">
        <v>1231</v>
      </c>
      <c r="E201" s="11" t="s">
        <v>29</v>
      </c>
    </row>
    <row r="202">
      <c r="A202" s="48">
        <v>0.5416666666666666</v>
      </c>
      <c r="B202" s="61" t="s">
        <v>1232</v>
      </c>
      <c r="C202" s="57" t="s">
        <v>17</v>
      </c>
      <c r="D202" s="61" t="s">
        <v>1233</v>
      </c>
      <c r="E202" s="11" t="s">
        <v>33</v>
      </c>
    </row>
    <row r="203">
      <c r="A203" s="48">
        <v>0.5513888888888889</v>
      </c>
      <c r="B203" s="61" t="s">
        <v>1232</v>
      </c>
      <c r="C203" s="57" t="s">
        <v>20</v>
      </c>
      <c r="D203" s="61" t="s">
        <v>1231</v>
      </c>
      <c r="E203" s="11" t="s">
        <v>29</v>
      </c>
    </row>
    <row r="204">
      <c r="A204" s="48">
        <v>0.5513888888888889</v>
      </c>
      <c r="B204" s="61" t="s">
        <v>1234</v>
      </c>
      <c r="C204" s="57" t="s">
        <v>582</v>
      </c>
      <c r="D204" s="61" t="s">
        <v>1233</v>
      </c>
      <c r="E204" s="11" t="s">
        <v>33</v>
      </c>
    </row>
    <row r="205">
      <c r="A205" s="48">
        <v>0.5618055555555556</v>
      </c>
      <c r="B205" s="61" t="s">
        <v>1234</v>
      </c>
      <c r="C205" s="57" t="s">
        <v>19</v>
      </c>
      <c r="D205" s="61" t="s">
        <v>1232</v>
      </c>
      <c r="E205" s="11" t="s">
        <v>29</v>
      </c>
    </row>
    <row r="206">
      <c r="A206" s="48">
        <v>0.5618055555555556</v>
      </c>
      <c r="B206" s="61" t="s">
        <v>1233</v>
      </c>
      <c r="C206" s="57" t="s">
        <v>281</v>
      </c>
      <c r="D206" s="61" t="s">
        <v>66</v>
      </c>
      <c r="E206" s="11" t="s">
        <v>33</v>
      </c>
    </row>
    <row r="207">
      <c r="A207" s="48">
        <v>0.5722222222222222</v>
      </c>
      <c r="B207" s="61" t="s">
        <v>1234</v>
      </c>
      <c r="C207" s="57" t="s">
        <v>302</v>
      </c>
      <c r="D207" s="61" t="s">
        <v>1231</v>
      </c>
      <c r="E207" s="11" t="s">
        <v>29</v>
      </c>
    </row>
    <row r="208">
      <c r="A208" s="48">
        <v>0.5722222222222222</v>
      </c>
      <c r="B208" s="61" t="s">
        <v>66</v>
      </c>
      <c r="C208" s="57" t="s">
        <v>209</v>
      </c>
      <c r="D208" s="61" t="s">
        <v>1232</v>
      </c>
      <c r="E208" s="11" t="s">
        <v>33</v>
      </c>
    </row>
    <row r="209">
      <c r="A209" s="48">
        <v>0.5819444444444445</v>
      </c>
      <c r="B209" s="61" t="s">
        <v>1233</v>
      </c>
      <c r="C209" s="57" t="s">
        <v>640</v>
      </c>
      <c r="D209" s="61" t="s">
        <v>1231</v>
      </c>
      <c r="E209" s="11" t="s">
        <v>29</v>
      </c>
    </row>
    <row r="210">
      <c r="A210" s="48">
        <v>0.5819444444444445</v>
      </c>
      <c r="B210" s="61" t="s">
        <v>66</v>
      </c>
      <c r="C210" s="57" t="s">
        <v>718</v>
      </c>
      <c r="D210" s="61" t="s">
        <v>1234</v>
      </c>
      <c r="E210" s="11" t="s">
        <v>33</v>
      </c>
    </row>
    <row r="211">
      <c r="A211" s="48">
        <v>0.5923611111111111</v>
      </c>
      <c r="B211" s="61" t="s">
        <v>1231</v>
      </c>
      <c r="C211" s="57" t="s">
        <v>16</v>
      </c>
      <c r="D211" s="61" t="s">
        <v>66</v>
      </c>
      <c r="E211" s="11" t="s">
        <v>29</v>
      </c>
    </row>
    <row r="212">
      <c r="A212" s="48">
        <v>0.5923611111111111</v>
      </c>
      <c r="B212" s="61" t="s">
        <v>1233</v>
      </c>
      <c r="C212" s="57" t="s">
        <v>23</v>
      </c>
      <c r="D212" s="61" t="s">
        <v>1232</v>
      </c>
      <c r="E212" s="11" t="s">
        <v>33</v>
      </c>
    </row>
    <row r="213">
      <c r="A213" s="48">
        <v>0.6027777777777777</v>
      </c>
      <c r="B213" s="61" t="s">
        <v>1231</v>
      </c>
      <c r="C213" s="57" t="s">
        <v>271</v>
      </c>
      <c r="D213" s="61" t="s">
        <v>1232</v>
      </c>
      <c r="E213" s="11" t="s">
        <v>29</v>
      </c>
    </row>
    <row r="214">
      <c r="A214" s="48">
        <v>0.6027777777777777</v>
      </c>
      <c r="B214" s="61" t="s">
        <v>1233</v>
      </c>
      <c r="C214" s="57" t="s">
        <v>393</v>
      </c>
      <c r="D214" s="61" t="s">
        <v>1234</v>
      </c>
      <c r="E214" s="11" t="s">
        <v>33</v>
      </c>
    </row>
    <row r="215">
      <c r="A215" s="48">
        <v>0.6125</v>
      </c>
      <c r="B215" s="61" t="s">
        <v>1232</v>
      </c>
      <c r="C215" s="57" t="s">
        <v>36</v>
      </c>
      <c r="D215" s="61" t="s">
        <v>1234</v>
      </c>
      <c r="E215" s="11" t="s">
        <v>29</v>
      </c>
    </row>
    <row r="216">
      <c r="A216" s="48">
        <v>0.6125</v>
      </c>
      <c r="B216" s="61" t="s">
        <v>66</v>
      </c>
      <c r="C216" s="57" t="s">
        <v>219</v>
      </c>
      <c r="D216" s="61" t="s">
        <v>1233</v>
      </c>
      <c r="E216" s="11" t="s">
        <v>33</v>
      </c>
    </row>
    <row r="217">
      <c r="A217" s="48">
        <v>0.6229166666666667</v>
      </c>
      <c r="B217" s="61" t="s">
        <v>1231</v>
      </c>
      <c r="C217" s="57" t="s">
        <v>18</v>
      </c>
      <c r="D217" s="61" t="s">
        <v>1234</v>
      </c>
      <c r="E217" s="11" t="s">
        <v>29</v>
      </c>
    </row>
    <row r="218">
      <c r="A218" s="48">
        <v>0.6229166666666667</v>
      </c>
      <c r="B218" s="61" t="s">
        <v>1232</v>
      </c>
      <c r="C218" s="57" t="s">
        <v>203</v>
      </c>
      <c r="D218" s="61" t="s">
        <v>66</v>
      </c>
      <c r="E218" s="11" t="s">
        <v>33</v>
      </c>
    </row>
    <row r="219">
      <c r="A219" s="48">
        <v>0.6333333333333333</v>
      </c>
      <c r="B219" s="61" t="s">
        <v>1231</v>
      </c>
      <c r="C219" s="57" t="s">
        <v>220</v>
      </c>
      <c r="D219" s="61" t="s">
        <v>1233</v>
      </c>
      <c r="E219" s="11" t="s">
        <v>29</v>
      </c>
    </row>
    <row r="220">
      <c r="A220" s="48">
        <v>0.6333333333333333</v>
      </c>
      <c r="B220" s="61" t="s">
        <v>1234</v>
      </c>
      <c r="C220" s="57" t="s">
        <v>344</v>
      </c>
      <c r="D220" s="61" t="s">
        <v>66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660</v>
      </c>
      <c r="C223" s="57" t="s">
        <v>155</v>
      </c>
      <c r="D223" s="62" t="s">
        <v>1235</v>
      </c>
      <c r="E223" s="11" t="s">
        <v>9</v>
      </c>
    </row>
    <row r="224">
      <c r="A224" s="48">
        <v>0.6458333333333334</v>
      </c>
      <c r="B224" s="62" t="s">
        <v>275</v>
      </c>
      <c r="C224" s="57" t="s">
        <v>18</v>
      </c>
      <c r="D224" s="62" t="s">
        <v>1236</v>
      </c>
      <c r="E224" s="11" t="s">
        <v>13</v>
      </c>
    </row>
    <row r="225">
      <c r="A225" s="48">
        <v>0.6555555555555556</v>
      </c>
      <c r="B225" s="62" t="s">
        <v>275</v>
      </c>
      <c r="C225" s="57" t="s">
        <v>23</v>
      </c>
      <c r="D225" s="62" t="s">
        <v>1235</v>
      </c>
      <c r="E225" s="11" t="s">
        <v>9</v>
      </c>
    </row>
    <row r="226">
      <c r="A226" s="48">
        <v>0.6555555555555556</v>
      </c>
      <c r="B226" s="62" t="s">
        <v>90</v>
      </c>
      <c r="C226" s="57" t="s">
        <v>220</v>
      </c>
      <c r="D226" s="62" t="s">
        <v>1236</v>
      </c>
      <c r="E226" s="11" t="s">
        <v>13</v>
      </c>
    </row>
    <row r="227">
      <c r="A227" s="48">
        <v>0.6659722222222222</v>
      </c>
      <c r="B227" s="62" t="s">
        <v>90</v>
      </c>
      <c r="C227" s="57" t="s">
        <v>251</v>
      </c>
      <c r="D227" s="62" t="s">
        <v>275</v>
      </c>
      <c r="E227" s="11" t="s">
        <v>9</v>
      </c>
    </row>
    <row r="228">
      <c r="A228" s="48">
        <v>0.6659722222222222</v>
      </c>
      <c r="B228" s="62" t="s">
        <v>1236</v>
      </c>
      <c r="C228" s="57" t="s">
        <v>292</v>
      </c>
      <c r="D228" s="62" t="s">
        <v>660</v>
      </c>
      <c r="E228" s="11" t="s">
        <v>13</v>
      </c>
    </row>
    <row r="229">
      <c r="A229" s="48">
        <v>0.6763888888888889</v>
      </c>
      <c r="B229" s="62" t="s">
        <v>90</v>
      </c>
      <c r="C229" s="57" t="s">
        <v>43</v>
      </c>
      <c r="D229" s="62" t="s">
        <v>1235</v>
      </c>
      <c r="E229" s="11" t="s">
        <v>9</v>
      </c>
    </row>
    <row r="230">
      <c r="A230" s="48">
        <v>0.6763888888888889</v>
      </c>
      <c r="B230" s="62" t="s">
        <v>660</v>
      </c>
      <c r="C230" s="57" t="s">
        <v>181</v>
      </c>
      <c r="D230" s="62" t="s">
        <v>275</v>
      </c>
      <c r="E230" s="11" t="s">
        <v>13</v>
      </c>
    </row>
    <row r="231">
      <c r="A231" s="48">
        <v>0.6861111111111111</v>
      </c>
      <c r="B231" s="62" t="s">
        <v>1236</v>
      </c>
      <c r="C231" s="57" t="s">
        <v>193</v>
      </c>
      <c r="D231" s="62" t="s">
        <v>1235</v>
      </c>
      <c r="E231" s="11" t="s">
        <v>9</v>
      </c>
    </row>
    <row r="232">
      <c r="A232" s="48">
        <v>0.6861111111111111</v>
      </c>
      <c r="B232" s="62" t="s">
        <v>660</v>
      </c>
      <c r="C232" s="57" t="s">
        <v>1189</v>
      </c>
      <c r="D232" s="62" t="s">
        <v>90</v>
      </c>
      <c r="E232" s="11" t="s">
        <v>13</v>
      </c>
    </row>
    <row r="233">
      <c r="A233" s="48">
        <v>0.6965277777777777</v>
      </c>
      <c r="B233" s="62" t="s">
        <v>1235</v>
      </c>
      <c r="C233" s="57" t="s">
        <v>352</v>
      </c>
      <c r="D233" s="62" t="s">
        <v>660</v>
      </c>
      <c r="E233" s="11" t="s">
        <v>9</v>
      </c>
    </row>
    <row r="234">
      <c r="A234" s="48">
        <v>0.6965277777777777</v>
      </c>
      <c r="B234" s="62" t="s">
        <v>1236</v>
      </c>
      <c r="C234" s="57" t="s">
        <v>16</v>
      </c>
      <c r="D234" s="62" t="s">
        <v>275</v>
      </c>
      <c r="E234" s="11" t="s">
        <v>13</v>
      </c>
    </row>
    <row r="235">
      <c r="A235" s="48">
        <v>0.7069444444444445</v>
      </c>
      <c r="B235" s="62" t="s">
        <v>1235</v>
      </c>
      <c r="C235" s="45" t="s">
        <v>41</v>
      </c>
      <c r="D235" s="62" t="s">
        <v>275</v>
      </c>
      <c r="E235" s="11" t="s">
        <v>9</v>
      </c>
    </row>
    <row r="236">
      <c r="A236" s="48">
        <v>0.7069444444444445</v>
      </c>
      <c r="B236" s="62" t="s">
        <v>1236</v>
      </c>
      <c r="C236" s="45" t="s">
        <v>194</v>
      </c>
      <c r="D236" s="62" t="s">
        <v>90</v>
      </c>
      <c r="E236" s="11" t="s">
        <v>13</v>
      </c>
    </row>
    <row r="237">
      <c r="A237" s="48">
        <v>0.7166666666666667</v>
      </c>
      <c r="B237" s="62" t="s">
        <v>275</v>
      </c>
      <c r="C237" s="45" t="s">
        <v>357</v>
      </c>
      <c r="D237" s="62" t="s">
        <v>90</v>
      </c>
      <c r="E237" s="11" t="s">
        <v>9</v>
      </c>
    </row>
    <row r="238">
      <c r="A238" s="48">
        <v>0.7166666666666667</v>
      </c>
      <c r="B238" s="62" t="s">
        <v>660</v>
      </c>
      <c r="C238" s="45" t="s">
        <v>43</v>
      </c>
      <c r="D238" s="62" t="s">
        <v>1236</v>
      </c>
      <c r="E238" s="11" t="s">
        <v>13</v>
      </c>
    </row>
    <row r="239">
      <c r="A239" s="48">
        <v>0.7270833333333333</v>
      </c>
      <c r="B239" s="62" t="s">
        <v>1235</v>
      </c>
      <c r="C239" s="45" t="s">
        <v>219</v>
      </c>
      <c r="D239" s="62" t="s">
        <v>90</v>
      </c>
      <c r="E239" s="11" t="s">
        <v>9</v>
      </c>
    </row>
    <row r="240">
      <c r="A240" s="48">
        <v>0.7270833333333333</v>
      </c>
      <c r="B240" s="62" t="s">
        <v>275</v>
      </c>
      <c r="C240" s="45" t="s">
        <v>425</v>
      </c>
      <c r="D240" s="62" t="s">
        <v>660</v>
      </c>
      <c r="E240" s="11" t="s">
        <v>13</v>
      </c>
    </row>
    <row r="241">
      <c r="A241" s="48">
        <v>0.7375</v>
      </c>
      <c r="B241" s="62" t="s">
        <v>1235</v>
      </c>
      <c r="C241" s="45" t="s">
        <v>193</v>
      </c>
      <c r="D241" s="62" t="s">
        <v>1236</v>
      </c>
      <c r="E241" s="11" t="s">
        <v>9</v>
      </c>
    </row>
    <row r="242">
      <c r="A242" s="48">
        <v>0.7375</v>
      </c>
      <c r="B242" s="62" t="s">
        <v>90</v>
      </c>
      <c r="C242" s="45" t="s">
        <v>218</v>
      </c>
      <c r="D242" s="62" t="s">
        <v>660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1237</v>
      </c>
      <c r="C245" s="57" t="s">
        <v>219</v>
      </c>
      <c r="D245" s="62" t="s">
        <v>1238</v>
      </c>
      <c r="E245" s="11" t="s">
        <v>29</v>
      </c>
    </row>
    <row r="246">
      <c r="A246" s="48">
        <v>0.6458333333333334</v>
      </c>
      <c r="B246" s="62" t="s">
        <v>1028</v>
      </c>
      <c r="C246" s="57" t="s">
        <v>302</v>
      </c>
      <c r="D246" s="62" t="s">
        <v>1239</v>
      </c>
      <c r="E246" s="11" t="s">
        <v>33</v>
      </c>
    </row>
    <row r="247">
      <c r="A247" s="48">
        <v>0.6555555555555556</v>
      </c>
      <c r="B247" s="62" t="s">
        <v>1028</v>
      </c>
      <c r="C247" s="57" t="s">
        <v>324</v>
      </c>
      <c r="D247" s="62" t="s">
        <v>1238</v>
      </c>
      <c r="E247" s="11" t="s">
        <v>29</v>
      </c>
    </row>
    <row r="248">
      <c r="A248" s="48">
        <v>0.6555555555555556</v>
      </c>
      <c r="B248" s="62" t="s">
        <v>1240</v>
      </c>
      <c r="C248" s="57" t="s">
        <v>291</v>
      </c>
      <c r="D248" s="62" t="s">
        <v>1239</v>
      </c>
      <c r="E248" s="11" t="s">
        <v>33</v>
      </c>
    </row>
    <row r="249">
      <c r="A249" s="48">
        <v>0.6659722222222222</v>
      </c>
      <c r="B249" s="62" t="s">
        <v>1240</v>
      </c>
      <c r="C249" s="57" t="s">
        <v>20</v>
      </c>
      <c r="D249" s="62" t="s">
        <v>1028</v>
      </c>
      <c r="E249" s="11" t="s">
        <v>29</v>
      </c>
    </row>
    <row r="250">
      <c r="A250" s="48">
        <v>0.6659722222222222</v>
      </c>
      <c r="B250" s="62" t="s">
        <v>1239</v>
      </c>
      <c r="C250" s="57" t="s">
        <v>289</v>
      </c>
      <c r="D250" s="62" t="s">
        <v>1237</v>
      </c>
      <c r="E250" s="11" t="s">
        <v>33</v>
      </c>
    </row>
    <row r="251">
      <c r="A251" s="48">
        <v>0.6763888888888889</v>
      </c>
      <c r="B251" s="62" t="s">
        <v>1240</v>
      </c>
      <c r="C251" s="57" t="s">
        <v>1015</v>
      </c>
      <c r="D251" s="62" t="s">
        <v>1238</v>
      </c>
      <c r="E251" s="11" t="s">
        <v>29</v>
      </c>
    </row>
    <row r="252">
      <c r="A252" s="48">
        <v>0.6763888888888889</v>
      </c>
      <c r="B252" s="62" t="s">
        <v>1237</v>
      </c>
      <c r="C252" s="57" t="s">
        <v>20</v>
      </c>
      <c r="D252" s="62" t="s">
        <v>1028</v>
      </c>
      <c r="E252" s="11" t="s">
        <v>33</v>
      </c>
    </row>
    <row r="253">
      <c r="A253" s="48">
        <v>0.6861111111111111</v>
      </c>
      <c r="B253" s="62" t="s">
        <v>1239</v>
      </c>
      <c r="C253" s="57" t="s">
        <v>196</v>
      </c>
      <c r="D253" s="62" t="s">
        <v>1238</v>
      </c>
      <c r="E253" s="11" t="s">
        <v>29</v>
      </c>
    </row>
    <row r="254">
      <c r="A254" s="48">
        <v>0.6861111111111111</v>
      </c>
      <c r="B254" s="62" t="s">
        <v>1237</v>
      </c>
      <c r="C254" s="57" t="s">
        <v>7</v>
      </c>
      <c r="D254" s="62" t="s">
        <v>1240</v>
      </c>
      <c r="E254" s="11" t="s">
        <v>33</v>
      </c>
    </row>
    <row r="255">
      <c r="A255" s="48">
        <v>0.6965277777777777</v>
      </c>
      <c r="B255" s="62" t="s">
        <v>1238</v>
      </c>
      <c r="C255" s="57" t="s">
        <v>1241</v>
      </c>
      <c r="D255" s="62" t="s">
        <v>1237</v>
      </c>
      <c r="E255" s="11" t="s">
        <v>29</v>
      </c>
    </row>
    <row r="256">
      <c r="A256" s="48">
        <v>0.6965277777777777</v>
      </c>
      <c r="B256" s="62" t="s">
        <v>1239</v>
      </c>
      <c r="C256" s="57" t="s">
        <v>279</v>
      </c>
      <c r="D256" s="62" t="s">
        <v>1028</v>
      </c>
      <c r="E256" s="11" t="s">
        <v>33</v>
      </c>
      <c r="H256" s="50"/>
    </row>
    <row r="257">
      <c r="A257" s="48">
        <v>0.7069444444444445</v>
      </c>
      <c r="B257" s="62" t="s">
        <v>1238</v>
      </c>
      <c r="C257" s="57" t="s">
        <v>216</v>
      </c>
      <c r="D257" s="62" t="s">
        <v>1028</v>
      </c>
      <c r="E257" s="11" t="s">
        <v>29</v>
      </c>
    </row>
    <row r="258">
      <c r="A258" s="48">
        <v>0.7069444444444445</v>
      </c>
      <c r="B258" s="62" t="s">
        <v>1239</v>
      </c>
      <c r="C258" s="57" t="s">
        <v>426</v>
      </c>
      <c r="D258" s="62" t="s">
        <v>1240</v>
      </c>
      <c r="E258" s="11" t="s">
        <v>33</v>
      </c>
    </row>
    <row r="259">
      <c r="A259" s="48">
        <v>0.7166666666666667</v>
      </c>
      <c r="B259" s="62" t="s">
        <v>1028</v>
      </c>
      <c r="C259" s="57" t="s">
        <v>17</v>
      </c>
      <c r="D259" s="62" t="s">
        <v>1240</v>
      </c>
      <c r="E259" s="11" t="s">
        <v>29</v>
      </c>
    </row>
    <row r="260">
      <c r="A260" s="48">
        <v>0.7166666666666667</v>
      </c>
      <c r="B260" s="62" t="s">
        <v>1237</v>
      </c>
      <c r="C260" s="57" t="s">
        <v>271</v>
      </c>
      <c r="D260" s="62" t="s">
        <v>1239</v>
      </c>
      <c r="E260" s="11" t="s">
        <v>33</v>
      </c>
    </row>
    <row r="261">
      <c r="A261" s="48">
        <v>0.7270833333333333</v>
      </c>
      <c r="B261" s="62" t="s">
        <v>1238</v>
      </c>
      <c r="C261" s="57" t="s">
        <v>303</v>
      </c>
      <c r="D261" s="62" t="s">
        <v>1240</v>
      </c>
      <c r="E261" s="11" t="s">
        <v>29</v>
      </c>
    </row>
    <row r="262">
      <c r="A262" s="48">
        <v>0.7270833333333333</v>
      </c>
      <c r="B262" s="62" t="s">
        <v>1028</v>
      </c>
      <c r="C262" s="57" t="s">
        <v>210</v>
      </c>
      <c r="D262" s="62" t="s">
        <v>1237</v>
      </c>
      <c r="E262" s="11" t="s">
        <v>33</v>
      </c>
    </row>
    <row r="263">
      <c r="A263" s="48">
        <v>0.7375</v>
      </c>
      <c r="B263" s="62" t="s">
        <v>1238</v>
      </c>
      <c r="C263" s="57" t="s">
        <v>1242</v>
      </c>
      <c r="D263" s="62" t="s">
        <v>1239</v>
      </c>
      <c r="E263" s="11" t="s">
        <v>29</v>
      </c>
    </row>
    <row r="264">
      <c r="A264" s="48">
        <v>0.7375</v>
      </c>
      <c r="B264" s="62" t="s">
        <v>1240</v>
      </c>
      <c r="C264" s="57" t="s">
        <v>408</v>
      </c>
      <c r="D264" s="62" t="s">
        <v>1237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1038</v>
      </c>
      <c r="C267" s="45" t="s">
        <v>184</v>
      </c>
      <c r="D267" s="62" t="s">
        <v>1243</v>
      </c>
      <c r="E267" s="11" t="s">
        <v>9</v>
      </c>
    </row>
    <row r="268">
      <c r="A268" s="48">
        <v>0.75</v>
      </c>
      <c r="B268" s="62" t="s">
        <v>1244</v>
      </c>
      <c r="C268" s="45" t="s">
        <v>1245</v>
      </c>
      <c r="D268" s="62" t="s">
        <v>1246</v>
      </c>
      <c r="E268" s="11" t="s">
        <v>13</v>
      </c>
    </row>
    <row r="269">
      <c r="A269" s="48">
        <v>0.7597222222222222</v>
      </c>
      <c r="B269" s="62" t="s">
        <v>1244</v>
      </c>
      <c r="C269" s="45" t="s">
        <v>20</v>
      </c>
      <c r="D269" s="62" t="s">
        <v>1243</v>
      </c>
      <c r="E269" s="11" t="s">
        <v>9</v>
      </c>
    </row>
    <row r="270">
      <c r="A270" s="48">
        <v>0.7597222222222222</v>
      </c>
      <c r="B270" s="62" t="s">
        <v>1247</v>
      </c>
      <c r="C270" s="45" t="s">
        <v>165</v>
      </c>
      <c r="D270" s="62" t="s">
        <v>1246</v>
      </c>
      <c r="E270" s="11" t="s">
        <v>13</v>
      </c>
    </row>
    <row r="271">
      <c r="A271" s="48">
        <v>0.7701388888888889</v>
      </c>
      <c r="B271" s="62" t="s">
        <v>1247</v>
      </c>
      <c r="C271" s="45" t="s">
        <v>181</v>
      </c>
      <c r="D271" s="62" t="s">
        <v>1244</v>
      </c>
      <c r="E271" s="11" t="s">
        <v>9</v>
      </c>
    </row>
    <row r="272">
      <c r="A272" s="48">
        <v>0.7701388888888889</v>
      </c>
      <c r="B272" s="62" t="s">
        <v>1246</v>
      </c>
      <c r="C272" s="45" t="s">
        <v>250</v>
      </c>
      <c r="D272" s="62" t="s">
        <v>1038</v>
      </c>
      <c r="E272" s="11" t="s">
        <v>13</v>
      </c>
    </row>
    <row r="273">
      <c r="A273" s="48">
        <v>0.7805555555555556</v>
      </c>
      <c r="B273" s="62" t="s">
        <v>1247</v>
      </c>
      <c r="C273" s="45" t="s">
        <v>271</v>
      </c>
      <c r="D273" s="62" t="s">
        <v>1243</v>
      </c>
      <c r="E273" s="11" t="s">
        <v>9</v>
      </c>
    </row>
    <row r="274">
      <c r="A274" s="48">
        <v>0.7805555555555556</v>
      </c>
      <c r="B274" s="62" t="s">
        <v>1038</v>
      </c>
      <c r="C274" s="45" t="s">
        <v>20</v>
      </c>
      <c r="D274" s="62" t="s">
        <v>1244</v>
      </c>
      <c r="E274" s="11" t="s">
        <v>13</v>
      </c>
    </row>
    <row r="275">
      <c r="A275" s="48">
        <v>0.7902777777777777</v>
      </c>
      <c r="B275" s="62" t="s">
        <v>1246</v>
      </c>
      <c r="C275" s="45" t="s">
        <v>1248</v>
      </c>
      <c r="D275" s="62" t="s">
        <v>1243</v>
      </c>
      <c r="E275" s="11" t="s">
        <v>9</v>
      </c>
    </row>
    <row r="276">
      <c r="A276" s="48">
        <v>0.7902777777777777</v>
      </c>
      <c r="B276" s="62" t="s">
        <v>1038</v>
      </c>
      <c r="C276" s="45" t="s">
        <v>18</v>
      </c>
      <c r="D276" s="62" t="s">
        <v>1247</v>
      </c>
      <c r="E276" s="11" t="s">
        <v>13</v>
      </c>
    </row>
    <row r="277">
      <c r="A277" s="48">
        <v>0.8006944444444445</v>
      </c>
      <c r="B277" s="62" t="s">
        <v>1243</v>
      </c>
      <c r="C277" s="45" t="s">
        <v>34</v>
      </c>
      <c r="D277" s="62" t="s">
        <v>1038</v>
      </c>
      <c r="E277" s="11" t="s">
        <v>9</v>
      </c>
    </row>
    <row r="278">
      <c r="A278" s="48">
        <v>0.8006944444444445</v>
      </c>
      <c r="B278" s="62" t="s">
        <v>1246</v>
      </c>
      <c r="C278" s="45" t="s">
        <v>218</v>
      </c>
      <c r="D278" s="62" t="s">
        <v>1244</v>
      </c>
      <c r="E278" s="11" t="s">
        <v>13</v>
      </c>
    </row>
    <row r="279">
      <c r="A279" s="48">
        <v>0.8111111111111111</v>
      </c>
      <c r="B279" s="62" t="s">
        <v>1243</v>
      </c>
      <c r="C279" s="45" t="s">
        <v>158</v>
      </c>
      <c r="D279" s="62" t="s">
        <v>1244</v>
      </c>
      <c r="E279" s="11" t="s">
        <v>9</v>
      </c>
    </row>
    <row r="280">
      <c r="A280" s="48">
        <v>0.8111111111111111</v>
      </c>
      <c r="B280" s="62" t="s">
        <v>1246</v>
      </c>
      <c r="C280" s="45" t="s">
        <v>20</v>
      </c>
      <c r="D280" s="62" t="s">
        <v>1247</v>
      </c>
      <c r="E280" s="11" t="s">
        <v>13</v>
      </c>
    </row>
    <row r="281">
      <c r="A281" s="48">
        <v>0.8208333333333333</v>
      </c>
      <c r="B281" s="62" t="s">
        <v>1244</v>
      </c>
      <c r="C281" s="45" t="s">
        <v>164</v>
      </c>
      <c r="D281" s="62" t="s">
        <v>1247</v>
      </c>
      <c r="E281" s="11" t="s">
        <v>9</v>
      </c>
    </row>
    <row r="282">
      <c r="A282" s="48">
        <v>0.8208333333333333</v>
      </c>
      <c r="B282" s="62" t="s">
        <v>1038</v>
      </c>
      <c r="C282" s="45" t="s">
        <v>1249</v>
      </c>
      <c r="D282" s="62" t="s">
        <v>1246</v>
      </c>
      <c r="E282" s="11" t="s">
        <v>13</v>
      </c>
    </row>
    <row r="283">
      <c r="A283" s="48">
        <v>0.83125</v>
      </c>
      <c r="B283" s="62" t="s">
        <v>1243</v>
      </c>
      <c r="C283" s="45" t="s">
        <v>193</v>
      </c>
      <c r="D283" s="62" t="s">
        <v>1247</v>
      </c>
      <c r="E283" s="11" t="s">
        <v>9</v>
      </c>
    </row>
    <row r="284">
      <c r="A284" s="48">
        <v>0.83125</v>
      </c>
      <c r="B284" s="62" t="s">
        <v>1244</v>
      </c>
      <c r="C284" s="45" t="s">
        <v>477</v>
      </c>
      <c r="D284" s="62" t="s">
        <v>1038</v>
      </c>
      <c r="E284" s="11" t="s">
        <v>13</v>
      </c>
    </row>
    <row r="285">
      <c r="A285" s="48">
        <v>0.8416666666666667</v>
      </c>
      <c r="B285" s="62" t="s">
        <v>1243</v>
      </c>
      <c r="C285" s="45" t="s">
        <v>712</v>
      </c>
      <c r="D285" s="62" t="s">
        <v>1246</v>
      </c>
      <c r="E285" s="11" t="s">
        <v>9</v>
      </c>
    </row>
    <row r="286">
      <c r="A286" s="48">
        <v>0.8416666666666667</v>
      </c>
      <c r="B286" s="62" t="s">
        <v>1247</v>
      </c>
      <c r="C286" s="45" t="s">
        <v>291</v>
      </c>
      <c r="D286" s="62" t="s">
        <v>1038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1250</v>
      </c>
      <c r="C289" s="57" t="s">
        <v>193</v>
      </c>
      <c r="D289" s="62" t="s">
        <v>1251</v>
      </c>
      <c r="E289" s="11" t="s">
        <v>29</v>
      </c>
    </row>
    <row r="290">
      <c r="A290" s="48">
        <v>0.75</v>
      </c>
      <c r="B290" s="62" t="s">
        <v>1252</v>
      </c>
      <c r="C290" s="57" t="s">
        <v>209</v>
      </c>
      <c r="D290" s="62" t="s">
        <v>1253</v>
      </c>
      <c r="E290" s="11" t="s">
        <v>33</v>
      </c>
    </row>
    <row r="291">
      <c r="A291" s="48">
        <v>0.7597222222222222</v>
      </c>
      <c r="B291" s="62" t="s">
        <v>1252</v>
      </c>
      <c r="C291" s="57" t="s">
        <v>16</v>
      </c>
      <c r="D291" s="62" t="s">
        <v>1251</v>
      </c>
      <c r="E291" s="11" t="s">
        <v>29</v>
      </c>
    </row>
    <row r="292">
      <c r="A292" s="48">
        <v>0.7597222222222222</v>
      </c>
      <c r="B292" s="62" t="s">
        <v>305</v>
      </c>
      <c r="C292" s="57" t="s">
        <v>43</v>
      </c>
      <c r="D292" s="62" t="s">
        <v>1253</v>
      </c>
      <c r="E292" s="11" t="s">
        <v>33</v>
      </c>
    </row>
    <row r="293">
      <c r="A293" s="48">
        <v>0.7701388888888889</v>
      </c>
      <c r="B293" s="62" t="s">
        <v>305</v>
      </c>
      <c r="C293" s="57" t="s">
        <v>248</v>
      </c>
      <c r="D293" s="62" t="s">
        <v>1252</v>
      </c>
      <c r="E293" s="11" t="s">
        <v>29</v>
      </c>
    </row>
    <row r="294">
      <c r="A294" s="48">
        <v>0.7701388888888889</v>
      </c>
      <c r="B294" s="62" t="s">
        <v>1253</v>
      </c>
      <c r="C294" s="57" t="s">
        <v>203</v>
      </c>
      <c r="D294" s="62" t="s">
        <v>1250</v>
      </c>
      <c r="E294" s="11" t="s">
        <v>33</v>
      </c>
    </row>
    <row r="295">
      <c r="A295" s="48">
        <v>0.7805555555555556</v>
      </c>
      <c r="B295" s="62" t="s">
        <v>305</v>
      </c>
      <c r="C295" s="57" t="s">
        <v>43</v>
      </c>
      <c r="D295" s="62" t="s">
        <v>1251</v>
      </c>
      <c r="E295" s="11" t="s">
        <v>29</v>
      </c>
    </row>
    <row r="296">
      <c r="A296" s="48">
        <v>0.7805555555555556</v>
      </c>
      <c r="B296" s="62" t="s">
        <v>1250</v>
      </c>
      <c r="C296" s="57" t="s">
        <v>208</v>
      </c>
      <c r="D296" s="62" t="s">
        <v>1252</v>
      </c>
      <c r="E296" s="11" t="s">
        <v>33</v>
      </c>
    </row>
    <row r="297">
      <c r="A297" s="48">
        <v>0.7902777777777777</v>
      </c>
      <c r="B297" s="62" t="s">
        <v>1253</v>
      </c>
      <c r="C297" s="57" t="s">
        <v>181</v>
      </c>
      <c r="D297" s="62" t="s">
        <v>1251</v>
      </c>
      <c r="E297" s="11" t="s">
        <v>29</v>
      </c>
    </row>
    <row r="298">
      <c r="A298" s="48">
        <v>0.7902777777777777</v>
      </c>
      <c r="B298" s="62" t="s">
        <v>1250</v>
      </c>
      <c r="C298" s="57" t="s">
        <v>207</v>
      </c>
      <c r="D298" s="62" t="s">
        <v>305</v>
      </c>
      <c r="E298" s="11" t="s">
        <v>33</v>
      </c>
    </row>
    <row r="299">
      <c r="A299" s="48">
        <v>0.8006944444444445</v>
      </c>
      <c r="B299" s="62" t="s">
        <v>1251</v>
      </c>
      <c r="C299" s="57" t="s">
        <v>7</v>
      </c>
      <c r="D299" s="62" t="s">
        <v>1250</v>
      </c>
      <c r="E299" s="11" t="s">
        <v>29</v>
      </c>
    </row>
    <row r="300">
      <c r="A300" s="48">
        <v>0.8006944444444445</v>
      </c>
      <c r="B300" s="62" t="s">
        <v>1253</v>
      </c>
      <c r="C300" s="57" t="s">
        <v>1254</v>
      </c>
      <c r="D300" s="62" t="s">
        <v>1252</v>
      </c>
      <c r="E300" s="11" t="s">
        <v>33</v>
      </c>
    </row>
    <row r="301">
      <c r="A301" s="48">
        <v>0.8111111111111111</v>
      </c>
      <c r="B301" s="62" t="s">
        <v>1251</v>
      </c>
      <c r="C301" s="57" t="s">
        <v>194</v>
      </c>
      <c r="D301" s="62" t="s">
        <v>1252</v>
      </c>
      <c r="E301" s="11" t="s">
        <v>29</v>
      </c>
    </row>
    <row r="302">
      <c r="A302" s="48">
        <v>0.8111111111111111</v>
      </c>
      <c r="B302" s="62" t="s">
        <v>1253</v>
      </c>
      <c r="C302" s="57" t="s">
        <v>940</v>
      </c>
      <c r="D302" s="62" t="s">
        <v>305</v>
      </c>
      <c r="E302" s="11" t="s">
        <v>33</v>
      </c>
    </row>
    <row r="303">
      <c r="A303" s="48">
        <v>0.8208333333333333</v>
      </c>
      <c r="B303" s="62" t="s">
        <v>1252</v>
      </c>
      <c r="C303" s="57" t="s">
        <v>1255</v>
      </c>
      <c r="D303" s="62" t="s">
        <v>305</v>
      </c>
      <c r="E303" s="11" t="s">
        <v>29</v>
      </c>
    </row>
    <row r="304">
      <c r="A304" s="48">
        <v>0.8208333333333333</v>
      </c>
      <c r="B304" s="62" t="s">
        <v>1250</v>
      </c>
      <c r="C304" s="57" t="s">
        <v>250</v>
      </c>
      <c r="D304" s="62" t="s">
        <v>1253</v>
      </c>
      <c r="E304" s="11" t="s">
        <v>33</v>
      </c>
    </row>
    <row r="305">
      <c r="A305" s="48">
        <v>0.83125</v>
      </c>
      <c r="B305" s="62" t="s">
        <v>1251</v>
      </c>
      <c r="C305" s="57" t="s">
        <v>16</v>
      </c>
      <c r="D305" s="62" t="s">
        <v>305</v>
      </c>
      <c r="E305" s="11" t="s">
        <v>29</v>
      </c>
    </row>
    <row r="306">
      <c r="A306" s="48">
        <v>0.83125</v>
      </c>
      <c r="B306" s="62" t="s">
        <v>1252</v>
      </c>
      <c r="C306" s="57" t="s">
        <v>278</v>
      </c>
      <c r="D306" s="62" t="s">
        <v>1250</v>
      </c>
      <c r="E306" s="11" t="s">
        <v>33</v>
      </c>
    </row>
    <row r="307">
      <c r="A307" s="48">
        <v>0.8416666666666667</v>
      </c>
      <c r="B307" s="62" t="s">
        <v>1251</v>
      </c>
      <c r="C307" s="57" t="s">
        <v>16</v>
      </c>
      <c r="D307" s="62" t="s">
        <v>1253</v>
      </c>
      <c r="E307" s="11" t="s">
        <v>29</v>
      </c>
    </row>
    <row r="308">
      <c r="A308" s="48">
        <v>0.8416666666666667</v>
      </c>
      <c r="B308" s="62" t="s">
        <v>305</v>
      </c>
      <c r="C308" s="57" t="s">
        <v>193</v>
      </c>
      <c r="D308" s="62" t="s">
        <v>1250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1256</v>
      </c>
      <c r="C311" s="57" t="s">
        <v>41</v>
      </c>
      <c r="D311" s="62" t="s">
        <v>1257</v>
      </c>
      <c r="E311" s="11" t="s">
        <v>9</v>
      </c>
    </row>
    <row r="312">
      <c r="A312" s="48">
        <v>0.8541666666666666</v>
      </c>
      <c r="B312" s="62" t="s">
        <v>1258</v>
      </c>
      <c r="C312" s="57" t="s">
        <v>408</v>
      </c>
      <c r="D312" s="62" t="s">
        <v>1259</v>
      </c>
      <c r="E312" s="11" t="s">
        <v>13</v>
      </c>
    </row>
    <row r="313">
      <c r="A313" s="48">
        <v>0.8638888888888889</v>
      </c>
      <c r="B313" s="62" t="s">
        <v>1258</v>
      </c>
      <c r="C313" s="57" t="s">
        <v>185</v>
      </c>
      <c r="D313" s="62" t="s">
        <v>1257</v>
      </c>
      <c r="E313" s="11" t="s">
        <v>9</v>
      </c>
    </row>
    <row r="314">
      <c r="A314" s="48">
        <v>0.8638888888888889</v>
      </c>
      <c r="B314" s="62" t="s">
        <v>1260</v>
      </c>
      <c r="C314" s="57" t="s">
        <v>159</v>
      </c>
      <c r="D314" s="62" t="s">
        <v>1259</v>
      </c>
      <c r="E314" s="11" t="s">
        <v>13</v>
      </c>
    </row>
    <row r="315">
      <c r="A315" s="48">
        <v>0.8743055555555556</v>
      </c>
      <c r="B315" s="62" t="s">
        <v>1260</v>
      </c>
      <c r="C315" s="57" t="s">
        <v>279</v>
      </c>
      <c r="D315" s="62" t="s">
        <v>1258</v>
      </c>
      <c r="E315" s="11" t="s">
        <v>9</v>
      </c>
    </row>
    <row r="316">
      <c r="A316" s="48">
        <v>0.8743055555555556</v>
      </c>
      <c r="B316" s="62" t="s">
        <v>1259</v>
      </c>
      <c r="C316" s="57" t="s">
        <v>18</v>
      </c>
      <c r="D316" s="62" t="s">
        <v>1256</v>
      </c>
      <c r="E316" s="11" t="s">
        <v>13</v>
      </c>
    </row>
    <row r="317">
      <c r="A317" s="48">
        <v>0.8847222222222222</v>
      </c>
      <c r="B317" s="62" t="s">
        <v>1260</v>
      </c>
      <c r="C317" s="57" t="s">
        <v>158</v>
      </c>
      <c r="D317" s="66" t="s">
        <v>1257</v>
      </c>
      <c r="E317" s="11" t="s">
        <v>9</v>
      </c>
    </row>
    <row r="318">
      <c r="A318" s="48">
        <v>0.8847222222222222</v>
      </c>
      <c r="B318" s="62" t="s">
        <v>1256</v>
      </c>
      <c r="C318" s="57" t="s">
        <v>20</v>
      </c>
      <c r="D318" s="62" t="s">
        <v>1258</v>
      </c>
      <c r="E318" s="11" t="s">
        <v>13</v>
      </c>
    </row>
    <row r="319">
      <c r="A319" s="48">
        <v>0.8944444444444445</v>
      </c>
      <c r="B319" s="62" t="s">
        <v>1259</v>
      </c>
      <c r="C319" s="57" t="s">
        <v>570</v>
      </c>
      <c r="D319" s="62" t="s">
        <v>1257</v>
      </c>
      <c r="E319" s="11" t="s">
        <v>9</v>
      </c>
    </row>
    <row r="320">
      <c r="A320" s="48">
        <v>0.8944444444444445</v>
      </c>
      <c r="B320" s="62" t="s">
        <v>1256</v>
      </c>
      <c r="C320" s="57" t="s">
        <v>193</v>
      </c>
      <c r="D320" s="62" t="s">
        <v>1260</v>
      </c>
      <c r="E320" s="11" t="s">
        <v>13</v>
      </c>
    </row>
    <row r="321">
      <c r="A321" s="48">
        <v>0.9048611111111111</v>
      </c>
      <c r="B321" s="62" t="s">
        <v>1257</v>
      </c>
      <c r="C321" s="57" t="s">
        <v>193</v>
      </c>
      <c r="D321" s="62" t="s">
        <v>1256</v>
      </c>
      <c r="E321" s="11" t="s">
        <v>9</v>
      </c>
    </row>
    <row r="322">
      <c r="A322" s="48">
        <v>0.9048611111111111</v>
      </c>
      <c r="B322" s="62" t="s">
        <v>1259</v>
      </c>
      <c r="C322" s="57" t="s">
        <v>1261</v>
      </c>
      <c r="D322" s="62" t="s">
        <v>1258</v>
      </c>
      <c r="E322" s="11" t="s">
        <v>13</v>
      </c>
    </row>
    <row r="323">
      <c r="A323" s="48">
        <v>0.9152777777777777</v>
      </c>
      <c r="B323" s="62" t="s">
        <v>1257</v>
      </c>
      <c r="C323" s="45" t="s">
        <v>195</v>
      </c>
      <c r="D323" s="62" t="s">
        <v>1258</v>
      </c>
      <c r="E323" s="11" t="s">
        <v>9</v>
      </c>
    </row>
    <row r="324">
      <c r="A324" s="48">
        <v>0.9152777777777777</v>
      </c>
      <c r="B324" s="62" t="s">
        <v>1259</v>
      </c>
      <c r="C324" s="45" t="s">
        <v>209</v>
      </c>
      <c r="D324" s="62" t="s">
        <v>1260</v>
      </c>
      <c r="E324" s="11" t="s">
        <v>13</v>
      </c>
    </row>
    <row r="325">
      <c r="A325" s="48">
        <v>0.925</v>
      </c>
      <c r="B325" s="62" t="s">
        <v>1258</v>
      </c>
      <c r="C325" s="45" t="s">
        <v>7</v>
      </c>
      <c r="D325" s="62" t="s">
        <v>1260</v>
      </c>
      <c r="E325" s="11" t="s">
        <v>9</v>
      </c>
    </row>
    <row r="326">
      <c r="A326" s="48">
        <v>0.925</v>
      </c>
      <c r="B326" s="62" t="s">
        <v>1256</v>
      </c>
      <c r="C326" s="45" t="s">
        <v>1262</v>
      </c>
      <c r="D326" s="62" t="s">
        <v>1259</v>
      </c>
      <c r="E326" s="11" t="s">
        <v>13</v>
      </c>
    </row>
    <row r="327">
      <c r="A327" s="48">
        <v>0.9354166666666667</v>
      </c>
      <c r="B327" s="62" t="s">
        <v>1257</v>
      </c>
      <c r="C327" s="45" t="s">
        <v>280</v>
      </c>
      <c r="D327" s="62" t="s">
        <v>1260</v>
      </c>
      <c r="E327" s="11" t="s">
        <v>9</v>
      </c>
    </row>
    <row r="328">
      <c r="A328" s="48">
        <v>0.9354166666666667</v>
      </c>
      <c r="B328" s="62" t="s">
        <v>1258</v>
      </c>
      <c r="C328" s="45" t="s">
        <v>279</v>
      </c>
      <c r="D328" s="62" t="s">
        <v>1256</v>
      </c>
      <c r="E328" s="11" t="s">
        <v>13</v>
      </c>
    </row>
    <row r="329">
      <c r="A329" s="48">
        <v>0.9458333333333333</v>
      </c>
      <c r="B329" s="62" t="s">
        <v>1257</v>
      </c>
      <c r="C329" s="45" t="s">
        <v>507</v>
      </c>
      <c r="D329" s="62" t="s">
        <v>1259</v>
      </c>
      <c r="E329" s="11" t="s">
        <v>9</v>
      </c>
    </row>
    <row r="330">
      <c r="A330" s="48">
        <v>0.9458333333333333</v>
      </c>
      <c r="B330" s="62" t="s">
        <v>1260</v>
      </c>
      <c r="C330" s="45" t="s">
        <v>166</v>
      </c>
      <c r="D330" s="62" t="s">
        <v>1256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1263</v>
      </c>
      <c r="C333" s="57" t="s">
        <v>155</v>
      </c>
      <c r="D333" s="62" t="s">
        <v>1264</v>
      </c>
      <c r="E333" s="11" t="s">
        <v>29</v>
      </c>
    </row>
    <row r="334">
      <c r="A334" s="48">
        <v>0.8541666666666666</v>
      </c>
      <c r="B334" s="62" t="s">
        <v>1183</v>
      </c>
      <c r="C334" s="57" t="s">
        <v>1265</v>
      </c>
      <c r="D334" s="62" t="s">
        <v>1266</v>
      </c>
      <c r="E334" s="11" t="s">
        <v>33</v>
      </c>
    </row>
    <row r="335">
      <c r="A335" s="48">
        <v>0.8638888888888889</v>
      </c>
      <c r="B335" s="62" t="s">
        <v>1183</v>
      </c>
      <c r="C335" s="57" t="s">
        <v>16</v>
      </c>
      <c r="D335" s="62" t="s">
        <v>1264</v>
      </c>
      <c r="E335" s="11" t="s">
        <v>29</v>
      </c>
    </row>
    <row r="336">
      <c r="A336" s="48">
        <v>0.8638888888888889</v>
      </c>
      <c r="B336" s="62" t="s">
        <v>328</v>
      </c>
      <c r="C336" s="57" t="s">
        <v>352</v>
      </c>
      <c r="D336" s="62" t="s">
        <v>1266</v>
      </c>
      <c r="E336" s="11" t="s">
        <v>33</v>
      </c>
    </row>
    <row r="337">
      <c r="A337" s="48">
        <v>0.8743055555555556</v>
      </c>
      <c r="B337" s="62" t="s">
        <v>328</v>
      </c>
      <c r="C337" s="57" t="s">
        <v>248</v>
      </c>
      <c r="D337" s="62" t="s">
        <v>1183</v>
      </c>
      <c r="E337" s="11" t="s">
        <v>29</v>
      </c>
    </row>
    <row r="338">
      <c r="A338" s="48">
        <v>0.8743055555555556</v>
      </c>
      <c r="B338" s="62" t="s">
        <v>1266</v>
      </c>
      <c r="C338" s="57" t="s">
        <v>336</v>
      </c>
      <c r="D338" s="62" t="s">
        <v>1263</v>
      </c>
      <c r="E338" s="11" t="s">
        <v>33</v>
      </c>
    </row>
    <row r="339">
      <c r="A339" s="48">
        <v>0.8847222222222222</v>
      </c>
      <c r="B339" s="62" t="s">
        <v>328</v>
      </c>
      <c r="C339" s="57" t="s">
        <v>189</v>
      </c>
      <c r="D339" s="62" t="s">
        <v>1264</v>
      </c>
      <c r="E339" s="11" t="s">
        <v>29</v>
      </c>
    </row>
    <row r="340">
      <c r="A340" s="48">
        <v>0.8847222222222222</v>
      </c>
      <c r="B340" s="62" t="s">
        <v>1263</v>
      </c>
      <c r="C340" s="57" t="s">
        <v>335</v>
      </c>
      <c r="D340" s="62" t="s">
        <v>1183</v>
      </c>
      <c r="E340" s="11" t="s">
        <v>33</v>
      </c>
    </row>
    <row r="341">
      <c r="A341" s="48">
        <v>0.8944444444444445</v>
      </c>
      <c r="B341" s="62" t="s">
        <v>1266</v>
      </c>
      <c r="C341" s="57" t="s">
        <v>195</v>
      </c>
      <c r="D341" s="62" t="s">
        <v>1264</v>
      </c>
      <c r="E341" s="11" t="s">
        <v>29</v>
      </c>
    </row>
    <row r="342">
      <c r="A342" s="48">
        <v>0.8944444444444445</v>
      </c>
      <c r="B342" s="62" t="s">
        <v>1263</v>
      </c>
      <c r="C342" s="57" t="s">
        <v>536</v>
      </c>
      <c r="D342" s="62" t="s">
        <v>328</v>
      </c>
      <c r="E342" s="11" t="s">
        <v>33</v>
      </c>
    </row>
    <row r="343">
      <c r="A343" s="48">
        <v>0.9048611111111111</v>
      </c>
      <c r="B343" s="62" t="s">
        <v>1264</v>
      </c>
      <c r="C343" s="57" t="s">
        <v>302</v>
      </c>
      <c r="D343" s="62" t="s">
        <v>1263</v>
      </c>
      <c r="E343" s="11" t="s">
        <v>29</v>
      </c>
    </row>
    <row r="344">
      <c r="A344" s="48">
        <v>0.9048611111111111</v>
      </c>
      <c r="B344" s="62" t="s">
        <v>1266</v>
      </c>
      <c r="C344" s="57" t="s">
        <v>158</v>
      </c>
      <c r="D344" s="62" t="s">
        <v>1183</v>
      </c>
      <c r="E344" s="11" t="s">
        <v>33</v>
      </c>
    </row>
    <row r="345">
      <c r="A345" s="48">
        <v>0.9152777777777777</v>
      </c>
      <c r="B345" s="62" t="s">
        <v>1264</v>
      </c>
      <c r="C345" s="57" t="s">
        <v>41</v>
      </c>
      <c r="D345" s="62" t="s">
        <v>1183</v>
      </c>
      <c r="E345" s="11" t="s">
        <v>29</v>
      </c>
    </row>
    <row r="346">
      <c r="A346" s="48">
        <v>0.9152777777777777</v>
      </c>
      <c r="B346" s="62" t="s">
        <v>1266</v>
      </c>
      <c r="C346" s="57" t="s">
        <v>203</v>
      </c>
      <c r="D346" s="62" t="s">
        <v>328</v>
      </c>
      <c r="E346" s="11" t="s">
        <v>33</v>
      </c>
    </row>
    <row r="347">
      <c r="A347" s="48">
        <v>0.925</v>
      </c>
      <c r="B347" s="62" t="s">
        <v>1183</v>
      </c>
      <c r="C347" s="57" t="s">
        <v>425</v>
      </c>
      <c r="D347" s="62" t="s">
        <v>328</v>
      </c>
      <c r="E347" s="11" t="s">
        <v>29</v>
      </c>
    </row>
    <row r="348">
      <c r="A348" s="48">
        <v>0.925</v>
      </c>
      <c r="B348" s="62" t="s">
        <v>1263</v>
      </c>
      <c r="C348" s="57" t="s">
        <v>155</v>
      </c>
      <c r="D348" s="62" t="s">
        <v>1266</v>
      </c>
      <c r="E348" s="11" t="s">
        <v>33</v>
      </c>
    </row>
    <row r="349">
      <c r="A349" s="48">
        <v>0.9354166666666667</v>
      </c>
      <c r="B349" s="62" t="s">
        <v>1264</v>
      </c>
      <c r="C349" s="57" t="s">
        <v>36</v>
      </c>
      <c r="D349" s="62" t="s">
        <v>328</v>
      </c>
      <c r="E349" s="11" t="s">
        <v>29</v>
      </c>
    </row>
    <row r="350">
      <c r="A350" s="48">
        <v>0.9354166666666667</v>
      </c>
      <c r="B350" s="62" t="s">
        <v>1183</v>
      </c>
      <c r="C350" s="57" t="s">
        <v>517</v>
      </c>
      <c r="D350" s="62" t="s">
        <v>1263</v>
      </c>
      <c r="E350" s="11" t="s">
        <v>33</v>
      </c>
    </row>
    <row r="351">
      <c r="A351" s="48">
        <v>0.9458333333333333</v>
      </c>
      <c r="B351" s="62" t="s">
        <v>1264</v>
      </c>
      <c r="C351" s="57" t="s">
        <v>158</v>
      </c>
      <c r="D351" s="62" t="s">
        <v>1266</v>
      </c>
      <c r="E351" s="11" t="s">
        <v>29</v>
      </c>
    </row>
    <row r="352">
      <c r="A352" s="48">
        <v>0.9458333333333333</v>
      </c>
      <c r="B352" s="62" t="s">
        <v>328</v>
      </c>
      <c r="C352" s="57" t="s">
        <v>158</v>
      </c>
      <c r="D352" s="62" t="s">
        <v>1263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1267</v>
      </c>
      <c r="C355" s="45" t="s">
        <v>16</v>
      </c>
      <c r="D355" s="62" t="s">
        <v>1268</v>
      </c>
      <c r="E355" s="11" t="s">
        <v>9</v>
      </c>
    </row>
    <row r="356">
      <c r="A356" s="48">
        <v>0.9583333333333334</v>
      </c>
      <c r="B356" s="62" t="s">
        <v>125</v>
      </c>
      <c r="C356" s="45" t="s">
        <v>181</v>
      </c>
      <c r="D356" s="62" t="s">
        <v>126</v>
      </c>
      <c r="E356" s="11" t="s">
        <v>13</v>
      </c>
    </row>
    <row r="357">
      <c r="A357" s="48">
        <v>0.9680555555555556</v>
      </c>
      <c r="B357" s="62" t="s">
        <v>125</v>
      </c>
      <c r="C357" s="45" t="s">
        <v>18</v>
      </c>
      <c r="D357" s="62" t="s">
        <v>1268</v>
      </c>
      <c r="E357" s="11" t="s">
        <v>9</v>
      </c>
    </row>
    <row r="358">
      <c r="A358" s="48">
        <v>0.9680555555555556</v>
      </c>
      <c r="B358" s="62" t="s">
        <v>1269</v>
      </c>
      <c r="C358" s="45" t="s">
        <v>208</v>
      </c>
      <c r="D358" s="62" t="s">
        <v>126</v>
      </c>
      <c r="E358" s="11" t="s">
        <v>13</v>
      </c>
    </row>
    <row r="359">
      <c r="A359" s="48">
        <v>0.9784722222222222</v>
      </c>
      <c r="B359" s="62" t="s">
        <v>1269</v>
      </c>
      <c r="C359" s="45" t="s">
        <v>20</v>
      </c>
      <c r="D359" s="62" t="s">
        <v>125</v>
      </c>
      <c r="E359" s="11" t="s">
        <v>9</v>
      </c>
    </row>
    <row r="360">
      <c r="A360" s="48">
        <v>0.9784722222222222</v>
      </c>
      <c r="B360" s="62" t="s">
        <v>126</v>
      </c>
      <c r="C360" s="45" t="s">
        <v>193</v>
      </c>
      <c r="D360" s="62" t="s">
        <v>1267</v>
      </c>
      <c r="E360" s="11" t="s">
        <v>13</v>
      </c>
    </row>
    <row r="361">
      <c r="A361" s="48">
        <v>0.9888888888888889</v>
      </c>
      <c r="B361" s="62" t="s">
        <v>1269</v>
      </c>
      <c r="C361" s="45" t="s">
        <v>177</v>
      </c>
      <c r="D361" s="62" t="s">
        <v>1268</v>
      </c>
      <c r="E361" s="11" t="s">
        <v>9</v>
      </c>
    </row>
    <row r="362">
      <c r="A362" s="48">
        <v>0.9888888888888889</v>
      </c>
      <c r="B362" s="62" t="s">
        <v>1267</v>
      </c>
      <c r="C362" s="45" t="s">
        <v>20</v>
      </c>
      <c r="D362" s="62" t="s">
        <v>125</v>
      </c>
      <c r="E362" s="11" t="s">
        <v>13</v>
      </c>
    </row>
    <row r="363">
      <c r="A363" s="48">
        <v>0.9986111111111111</v>
      </c>
      <c r="B363" s="62" t="s">
        <v>126</v>
      </c>
      <c r="C363" s="45" t="s">
        <v>20</v>
      </c>
      <c r="D363" s="62" t="s">
        <v>1268</v>
      </c>
      <c r="E363" s="11" t="s">
        <v>9</v>
      </c>
    </row>
    <row r="364">
      <c r="A364" s="48">
        <v>0.9986111111111111</v>
      </c>
      <c r="B364" s="62" t="s">
        <v>1267</v>
      </c>
      <c r="C364" s="45" t="s">
        <v>163</v>
      </c>
      <c r="D364" s="62" t="s">
        <v>1269</v>
      </c>
      <c r="E364" s="11" t="s">
        <v>13</v>
      </c>
    </row>
    <row r="365">
      <c r="A365" s="48">
        <v>0.009027777777777777</v>
      </c>
      <c r="B365" s="62" t="s">
        <v>1268</v>
      </c>
      <c r="C365" s="45" t="s">
        <v>193</v>
      </c>
      <c r="D365" s="62" t="s">
        <v>1267</v>
      </c>
      <c r="E365" s="11" t="s">
        <v>9</v>
      </c>
    </row>
    <row r="366">
      <c r="A366" s="48">
        <v>0.009027777777777777</v>
      </c>
      <c r="B366" s="62" t="s">
        <v>126</v>
      </c>
      <c r="C366" s="45" t="s">
        <v>158</v>
      </c>
      <c r="D366" s="62" t="s">
        <v>125</v>
      </c>
      <c r="E366" s="11" t="s">
        <v>13</v>
      </c>
    </row>
    <row r="367">
      <c r="A367" s="48">
        <v>0.019444444444444445</v>
      </c>
      <c r="B367" s="62" t="s">
        <v>1268</v>
      </c>
      <c r="C367" s="45" t="s">
        <v>17</v>
      </c>
      <c r="D367" s="62" t="s">
        <v>125</v>
      </c>
      <c r="E367" s="11" t="s">
        <v>9</v>
      </c>
    </row>
    <row r="368">
      <c r="A368" s="48">
        <v>0.019444444444444445</v>
      </c>
      <c r="B368" s="62" t="s">
        <v>126</v>
      </c>
      <c r="C368" s="45" t="s">
        <v>440</v>
      </c>
      <c r="D368" s="62" t="s">
        <v>1269</v>
      </c>
      <c r="E368" s="11" t="s">
        <v>13</v>
      </c>
    </row>
    <row r="369">
      <c r="A369" s="48">
        <v>0.029166666666666667</v>
      </c>
      <c r="B369" s="62" t="s">
        <v>125</v>
      </c>
      <c r="C369" s="45" t="s">
        <v>209</v>
      </c>
      <c r="D369" s="62" t="s">
        <v>1269</v>
      </c>
      <c r="E369" s="11" t="s">
        <v>9</v>
      </c>
    </row>
    <row r="370">
      <c r="A370" s="48">
        <v>0.029166666666666667</v>
      </c>
      <c r="B370" s="62" t="s">
        <v>1267</v>
      </c>
      <c r="C370" s="45" t="s">
        <v>194</v>
      </c>
      <c r="D370" s="62" t="s">
        <v>126</v>
      </c>
      <c r="E370" s="11" t="s">
        <v>13</v>
      </c>
    </row>
    <row r="371">
      <c r="A371" s="48">
        <v>0.03958333333333333</v>
      </c>
      <c r="B371" s="62" t="s">
        <v>1268</v>
      </c>
      <c r="C371" s="45" t="s">
        <v>291</v>
      </c>
      <c r="D371" s="62" t="s">
        <v>1269</v>
      </c>
      <c r="E371" s="11" t="s">
        <v>9</v>
      </c>
    </row>
    <row r="372">
      <c r="A372" s="48">
        <v>0.03958333333333333</v>
      </c>
      <c r="B372" s="62" t="s">
        <v>125</v>
      </c>
      <c r="C372" s="45" t="s">
        <v>158</v>
      </c>
      <c r="D372" s="62" t="s">
        <v>1267</v>
      </c>
      <c r="E372" s="11" t="s">
        <v>13</v>
      </c>
    </row>
    <row r="373">
      <c r="A373" s="48">
        <v>0.05</v>
      </c>
      <c r="B373" s="62" t="s">
        <v>1268</v>
      </c>
      <c r="C373" s="45" t="s">
        <v>327</v>
      </c>
      <c r="D373" s="62" t="s">
        <v>126</v>
      </c>
      <c r="E373" s="11" t="s">
        <v>9</v>
      </c>
    </row>
    <row r="374">
      <c r="A374" s="48">
        <v>0.05</v>
      </c>
      <c r="B374" s="62" t="s">
        <v>1269</v>
      </c>
      <c r="C374" s="45" t="s">
        <v>301</v>
      </c>
      <c r="D374" s="62" t="s">
        <v>1267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1270</v>
      </c>
      <c r="C377" s="57" t="s">
        <v>41</v>
      </c>
      <c r="D377" s="62" t="s">
        <v>484</v>
      </c>
      <c r="E377" s="11" t="s">
        <v>29</v>
      </c>
    </row>
    <row r="378">
      <c r="A378" s="48">
        <v>0.9583333333333334</v>
      </c>
      <c r="B378" s="62" t="s">
        <v>1271</v>
      </c>
      <c r="C378" s="57" t="s">
        <v>324</v>
      </c>
      <c r="D378" s="62" t="s">
        <v>49</v>
      </c>
      <c r="E378" s="11" t="s">
        <v>33</v>
      </c>
    </row>
    <row r="379">
      <c r="A379" s="48">
        <v>0.9680555555555556</v>
      </c>
      <c r="B379" s="62" t="s">
        <v>1271</v>
      </c>
      <c r="C379" s="57" t="s">
        <v>173</v>
      </c>
      <c r="D379" s="62" t="s">
        <v>484</v>
      </c>
      <c r="E379" s="11" t="s">
        <v>29</v>
      </c>
    </row>
    <row r="380">
      <c r="A380" s="48">
        <v>0.9680555555555556</v>
      </c>
      <c r="B380" s="62" t="s">
        <v>475</v>
      </c>
      <c r="C380" s="57" t="s">
        <v>162</v>
      </c>
      <c r="D380" s="62" t="s">
        <v>49</v>
      </c>
      <c r="E380" s="11" t="s">
        <v>33</v>
      </c>
    </row>
    <row r="381">
      <c r="A381" s="48">
        <v>0.9784722222222222</v>
      </c>
      <c r="B381" s="62" t="s">
        <v>475</v>
      </c>
      <c r="C381" s="57" t="s">
        <v>1272</v>
      </c>
      <c r="D381" s="62" t="s">
        <v>1271</v>
      </c>
      <c r="E381" s="11" t="s">
        <v>29</v>
      </c>
    </row>
    <row r="382">
      <c r="A382" s="48">
        <v>0.9784722222222222</v>
      </c>
      <c r="B382" s="62" t="s">
        <v>49</v>
      </c>
      <c r="C382" s="54" t="s">
        <v>248</v>
      </c>
      <c r="D382" s="62" t="s">
        <v>1270</v>
      </c>
      <c r="E382" s="11" t="s">
        <v>33</v>
      </c>
    </row>
    <row r="383">
      <c r="A383" s="48">
        <v>0.9888888888888889</v>
      </c>
      <c r="B383" s="62" t="s">
        <v>475</v>
      </c>
      <c r="C383" s="57" t="s">
        <v>219</v>
      </c>
      <c r="D383" s="62" t="s">
        <v>484</v>
      </c>
      <c r="E383" s="11" t="s">
        <v>29</v>
      </c>
    </row>
    <row r="384">
      <c r="A384" s="48">
        <v>0.9888888888888889</v>
      </c>
      <c r="B384" s="62" t="s">
        <v>1270</v>
      </c>
      <c r="C384" s="57" t="s">
        <v>220</v>
      </c>
      <c r="D384" s="62" t="s">
        <v>1271</v>
      </c>
      <c r="E384" s="11" t="s">
        <v>33</v>
      </c>
    </row>
    <row r="385">
      <c r="A385" s="48">
        <v>0.9986111111111111</v>
      </c>
      <c r="B385" s="62" t="s">
        <v>49</v>
      </c>
      <c r="C385" s="57" t="s">
        <v>302</v>
      </c>
      <c r="D385" s="62" t="s">
        <v>484</v>
      </c>
      <c r="E385" s="11" t="s">
        <v>29</v>
      </c>
    </row>
    <row r="386">
      <c r="A386" s="48">
        <v>0.9986111111111111</v>
      </c>
      <c r="B386" s="62" t="s">
        <v>1270</v>
      </c>
      <c r="C386" s="57" t="s">
        <v>289</v>
      </c>
      <c r="D386" s="62" t="s">
        <v>475</v>
      </c>
      <c r="E386" s="11" t="s">
        <v>33</v>
      </c>
      <c r="H386" s="50" t="s">
        <v>861</v>
      </c>
    </row>
    <row r="387">
      <c r="A387" s="48">
        <v>0.009027777777777777</v>
      </c>
      <c r="B387" s="62" t="s">
        <v>484</v>
      </c>
      <c r="C387" s="57" t="s">
        <v>23</v>
      </c>
      <c r="D387" s="62" t="s">
        <v>1270</v>
      </c>
      <c r="E387" s="11" t="s">
        <v>29</v>
      </c>
    </row>
    <row r="388">
      <c r="A388" s="48">
        <v>0.009027777777777777</v>
      </c>
      <c r="B388" s="62" t="s">
        <v>49</v>
      </c>
      <c r="C388" s="57" t="s">
        <v>181</v>
      </c>
      <c r="D388" s="62" t="s">
        <v>1271</v>
      </c>
      <c r="E388" s="11" t="s">
        <v>33</v>
      </c>
    </row>
    <row r="389">
      <c r="A389" s="48">
        <v>0.019444444444444445</v>
      </c>
      <c r="B389" s="62" t="s">
        <v>484</v>
      </c>
      <c r="C389" s="57" t="s">
        <v>189</v>
      </c>
      <c r="D389" s="62" t="s">
        <v>1271</v>
      </c>
      <c r="E389" s="11" t="s">
        <v>29</v>
      </c>
    </row>
    <row r="390">
      <c r="A390" s="48">
        <v>0.019444444444444445</v>
      </c>
      <c r="B390" s="62" t="s">
        <v>49</v>
      </c>
      <c r="C390" s="57" t="s">
        <v>16</v>
      </c>
      <c r="D390" s="62" t="s">
        <v>475</v>
      </c>
      <c r="E390" s="11" t="s">
        <v>33</v>
      </c>
    </row>
    <row r="391">
      <c r="A391" s="48">
        <v>0.029166666666666667</v>
      </c>
      <c r="B391" s="62" t="s">
        <v>1271</v>
      </c>
      <c r="C391" s="57" t="s">
        <v>218</v>
      </c>
      <c r="D391" s="62" t="s">
        <v>475</v>
      </c>
      <c r="E391" s="11" t="s">
        <v>29</v>
      </c>
    </row>
    <row r="392">
      <c r="A392" s="48">
        <v>0.029166666666666667</v>
      </c>
      <c r="B392" s="62" t="s">
        <v>1270</v>
      </c>
      <c r="C392" s="57" t="s">
        <v>210</v>
      </c>
      <c r="D392" s="62" t="s">
        <v>49</v>
      </c>
      <c r="E392" s="11" t="s">
        <v>33</v>
      </c>
    </row>
    <row r="393">
      <c r="A393" s="48">
        <v>0.03958333333333333</v>
      </c>
      <c r="B393" s="62" t="s">
        <v>484</v>
      </c>
      <c r="C393" s="57" t="s">
        <v>271</v>
      </c>
      <c r="D393" s="62" t="s">
        <v>475</v>
      </c>
      <c r="E393" s="11" t="s">
        <v>29</v>
      </c>
    </row>
    <row r="394">
      <c r="A394" s="48">
        <v>0.03958333333333333</v>
      </c>
      <c r="B394" s="62" t="s">
        <v>1271</v>
      </c>
      <c r="C394" s="57" t="s">
        <v>31</v>
      </c>
      <c r="D394" s="62" t="s">
        <v>1270</v>
      </c>
      <c r="E394" s="11" t="s">
        <v>33</v>
      </c>
    </row>
    <row r="395">
      <c r="A395" s="48">
        <v>0.05</v>
      </c>
      <c r="B395" s="62" t="s">
        <v>484</v>
      </c>
      <c r="C395" s="57" t="s">
        <v>193</v>
      </c>
      <c r="D395" s="62" t="s">
        <v>49</v>
      </c>
      <c r="E395" s="11" t="s">
        <v>29</v>
      </c>
    </row>
    <row r="396">
      <c r="A396" s="48">
        <v>0.05</v>
      </c>
      <c r="B396" s="62" t="s">
        <v>475</v>
      </c>
      <c r="C396" s="57" t="s">
        <v>394</v>
      </c>
      <c r="D396" s="62" t="s">
        <v>1270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53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48">
        <v>0.0625</v>
      </c>
      <c r="B3" s="61" t="s">
        <v>1273</v>
      </c>
      <c r="C3" s="45" t="s">
        <v>193</v>
      </c>
      <c r="D3" s="62" t="s">
        <v>136</v>
      </c>
      <c r="E3" s="11" t="s">
        <v>9</v>
      </c>
    </row>
    <row r="4">
      <c r="A4" s="48">
        <v>0.0625</v>
      </c>
      <c r="B4" s="61" t="s">
        <v>1274</v>
      </c>
      <c r="C4" s="45" t="s">
        <v>20</v>
      </c>
      <c r="D4" s="61" t="s">
        <v>1275</v>
      </c>
      <c r="E4" s="11" t="s">
        <v>13</v>
      </c>
    </row>
    <row r="5">
      <c r="A5" s="48">
        <v>0.07222222222222222</v>
      </c>
      <c r="B5" s="62" t="s">
        <v>1274</v>
      </c>
      <c r="C5" s="45" t="s">
        <v>14</v>
      </c>
      <c r="D5" s="61" t="s">
        <v>136</v>
      </c>
      <c r="E5" s="11" t="s">
        <v>9</v>
      </c>
    </row>
    <row r="6">
      <c r="A6" s="48">
        <v>0.07222222222222222</v>
      </c>
      <c r="B6" s="61" t="s">
        <v>1184</v>
      </c>
      <c r="C6" s="45" t="s">
        <v>16</v>
      </c>
      <c r="D6" s="62" t="s">
        <v>1275</v>
      </c>
      <c r="E6" s="11" t="s">
        <v>13</v>
      </c>
    </row>
    <row r="7">
      <c r="A7" s="48">
        <v>0.08263888888888889</v>
      </c>
      <c r="B7" s="62" t="s">
        <v>1184</v>
      </c>
      <c r="C7" s="45" t="s">
        <v>163</v>
      </c>
      <c r="D7" s="61" t="s">
        <v>1274</v>
      </c>
      <c r="E7" s="11" t="s">
        <v>9</v>
      </c>
    </row>
    <row r="8">
      <c r="A8" s="48">
        <v>0.08263888888888889</v>
      </c>
      <c r="B8" s="61" t="s">
        <v>1275</v>
      </c>
      <c r="C8" s="45" t="s">
        <v>545</v>
      </c>
      <c r="D8" s="61" t="s">
        <v>1273</v>
      </c>
      <c r="E8" s="11" t="s">
        <v>13</v>
      </c>
    </row>
    <row r="9">
      <c r="A9" s="48">
        <v>0.09305555555555556</v>
      </c>
      <c r="B9" s="62" t="s">
        <v>1184</v>
      </c>
      <c r="C9" s="45" t="s">
        <v>16</v>
      </c>
      <c r="D9" s="62" t="s">
        <v>136</v>
      </c>
      <c r="E9" s="11" t="s">
        <v>9</v>
      </c>
    </row>
    <row r="10">
      <c r="A10" s="48">
        <v>0.09305555555555556</v>
      </c>
      <c r="B10" s="61" t="s">
        <v>1273</v>
      </c>
      <c r="C10" s="45" t="s">
        <v>233</v>
      </c>
      <c r="D10" s="61" t="s">
        <v>1274</v>
      </c>
      <c r="E10" s="11" t="s">
        <v>13</v>
      </c>
    </row>
    <row r="11">
      <c r="A11" s="48">
        <v>0.10277777777777777</v>
      </c>
      <c r="B11" s="62" t="s">
        <v>1275</v>
      </c>
      <c r="C11" s="45" t="s">
        <v>525</v>
      </c>
      <c r="D11" s="61" t="s">
        <v>136</v>
      </c>
      <c r="E11" s="11" t="s">
        <v>9</v>
      </c>
    </row>
    <row r="12">
      <c r="A12" s="48">
        <v>0.10277777777777777</v>
      </c>
      <c r="B12" s="61" t="s">
        <v>1273</v>
      </c>
      <c r="C12" s="45" t="s">
        <v>245</v>
      </c>
      <c r="D12" s="62" t="s">
        <v>1184</v>
      </c>
      <c r="E12" s="11" t="s">
        <v>13</v>
      </c>
    </row>
    <row r="13">
      <c r="A13" s="48">
        <v>0.11319444444444444</v>
      </c>
      <c r="B13" s="62" t="s">
        <v>136</v>
      </c>
      <c r="C13" s="45" t="s">
        <v>164</v>
      </c>
      <c r="D13" s="61" t="s">
        <v>1273</v>
      </c>
      <c r="E13" s="11" t="s">
        <v>9</v>
      </c>
    </row>
    <row r="14">
      <c r="A14" s="48">
        <v>0.11319444444444444</v>
      </c>
      <c r="B14" s="61" t="s">
        <v>1275</v>
      </c>
      <c r="C14" s="45" t="s">
        <v>545</v>
      </c>
      <c r="D14" s="61" t="s">
        <v>1274</v>
      </c>
      <c r="E14" s="11" t="s">
        <v>13</v>
      </c>
    </row>
    <row r="15">
      <c r="A15" s="48">
        <v>0.12361111111111112</v>
      </c>
      <c r="B15" s="61" t="s">
        <v>136</v>
      </c>
      <c r="C15" s="45" t="s">
        <v>442</v>
      </c>
      <c r="D15" s="62" t="s">
        <v>1274</v>
      </c>
      <c r="E15" s="11" t="s">
        <v>9</v>
      </c>
    </row>
    <row r="16">
      <c r="A16" s="48">
        <v>0.12361111111111112</v>
      </c>
      <c r="B16" s="62" t="s">
        <v>1275</v>
      </c>
      <c r="C16" s="45" t="s">
        <v>218</v>
      </c>
      <c r="D16" s="61" t="s">
        <v>1184</v>
      </c>
      <c r="E16" s="11" t="s">
        <v>13</v>
      </c>
    </row>
    <row r="17">
      <c r="A17" s="48">
        <v>0.13333333333333333</v>
      </c>
      <c r="B17" s="61" t="s">
        <v>1274</v>
      </c>
      <c r="C17" s="45" t="s">
        <v>194</v>
      </c>
      <c r="D17" s="62" t="s">
        <v>1184</v>
      </c>
      <c r="E17" s="11" t="s">
        <v>9</v>
      </c>
    </row>
    <row r="18">
      <c r="A18" s="48">
        <v>0.13333333333333333</v>
      </c>
      <c r="B18" s="61" t="s">
        <v>1273</v>
      </c>
      <c r="C18" s="45" t="s">
        <v>336</v>
      </c>
      <c r="D18" s="61" t="s">
        <v>1275</v>
      </c>
      <c r="E18" s="11" t="s">
        <v>13</v>
      </c>
    </row>
    <row r="19">
      <c r="A19" s="48">
        <v>0.14375</v>
      </c>
      <c r="B19" s="62" t="s">
        <v>136</v>
      </c>
      <c r="C19" s="45" t="s">
        <v>1226</v>
      </c>
      <c r="D19" s="62" t="s">
        <v>1184</v>
      </c>
      <c r="E19" s="11" t="s">
        <v>9</v>
      </c>
    </row>
    <row r="20">
      <c r="A20" s="48">
        <v>0.14375</v>
      </c>
      <c r="B20" s="61" t="s">
        <v>1274</v>
      </c>
      <c r="C20" s="45" t="s">
        <v>173</v>
      </c>
      <c r="D20" s="61" t="s">
        <v>1273</v>
      </c>
      <c r="E20" s="11" t="s">
        <v>13</v>
      </c>
    </row>
    <row r="21">
      <c r="A21" s="48">
        <v>0.15416666666666667</v>
      </c>
      <c r="B21" s="61" t="s">
        <v>136</v>
      </c>
      <c r="C21" s="45" t="s">
        <v>14</v>
      </c>
      <c r="D21" s="62" t="s">
        <v>1275</v>
      </c>
      <c r="E21" s="11" t="s">
        <v>9</v>
      </c>
    </row>
    <row r="22">
      <c r="A22" s="48">
        <v>0.15416666666666667</v>
      </c>
      <c r="B22" s="62" t="s">
        <v>1184</v>
      </c>
      <c r="C22" s="45" t="s">
        <v>23</v>
      </c>
      <c r="D22" s="61" t="s">
        <v>1273</v>
      </c>
      <c r="E22" s="11" t="s">
        <v>13</v>
      </c>
    </row>
    <row r="23">
      <c r="A23" s="51"/>
      <c r="B23" s="1" t="s">
        <v>25</v>
      </c>
      <c r="C23" s="2"/>
      <c r="D23" s="3"/>
      <c r="E23" s="73"/>
    </row>
    <row r="24">
      <c r="A24" s="4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48">
        <v>0.0625</v>
      </c>
      <c r="B25" s="61" t="s">
        <v>28</v>
      </c>
      <c r="C25" s="45" t="s">
        <v>225</v>
      </c>
      <c r="D25" s="61" t="s">
        <v>482</v>
      </c>
      <c r="E25" s="11" t="s">
        <v>29</v>
      </c>
    </row>
    <row r="26">
      <c r="A26" s="48">
        <v>0.0625</v>
      </c>
      <c r="B26" s="61" t="s">
        <v>1276</v>
      </c>
      <c r="C26" s="45" t="s">
        <v>181</v>
      </c>
      <c r="D26" s="61" t="s">
        <v>1130</v>
      </c>
      <c r="E26" s="11" t="s">
        <v>33</v>
      </c>
    </row>
    <row r="27">
      <c r="A27" s="48">
        <v>0.07222222222222222</v>
      </c>
      <c r="B27" s="62" t="s">
        <v>1276</v>
      </c>
      <c r="C27" s="45" t="s">
        <v>166</v>
      </c>
      <c r="D27" s="62" t="s">
        <v>482</v>
      </c>
      <c r="E27" s="11" t="s">
        <v>29</v>
      </c>
    </row>
    <row r="28">
      <c r="A28" s="48">
        <v>0.07222222222222222</v>
      </c>
      <c r="B28" s="61" t="s">
        <v>1201</v>
      </c>
      <c r="C28" s="45" t="s">
        <v>1277</v>
      </c>
      <c r="D28" s="61" t="s">
        <v>1130</v>
      </c>
      <c r="E28" s="11" t="s">
        <v>33</v>
      </c>
    </row>
    <row r="29">
      <c r="A29" s="48">
        <v>0.08263888888888889</v>
      </c>
      <c r="B29" s="62" t="s">
        <v>1201</v>
      </c>
      <c r="C29" s="45" t="s">
        <v>160</v>
      </c>
      <c r="D29" s="61" t="s">
        <v>1276</v>
      </c>
      <c r="E29" s="11" t="s">
        <v>29</v>
      </c>
    </row>
    <row r="30">
      <c r="A30" s="48">
        <v>0.08263888888888889</v>
      </c>
      <c r="B30" s="61" t="s">
        <v>1130</v>
      </c>
      <c r="C30" s="45" t="s">
        <v>271</v>
      </c>
      <c r="D30" s="61" t="s">
        <v>28</v>
      </c>
      <c r="E30" s="11" t="s">
        <v>33</v>
      </c>
    </row>
    <row r="31">
      <c r="A31" s="48">
        <v>0.09305555555555556</v>
      </c>
      <c r="B31" s="62" t="s">
        <v>1201</v>
      </c>
      <c r="C31" s="45" t="s">
        <v>173</v>
      </c>
      <c r="D31" s="61" t="s">
        <v>482</v>
      </c>
      <c r="E31" s="11" t="s">
        <v>29</v>
      </c>
    </row>
    <row r="32">
      <c r="A32" s="48">
        <v>0.09305555555555556</v>
      </c>
      <c r="B32" s="61" t="s">
        <v>28</v>
      </c>
      <c r="C32" s="45" t="s">
        <v>44</v>
      </c>
      <c r="D32" s="62" t="s">
        <v>1276</v>
      </c>
      <c r="E32" s="11" t="s">
        <v>33</v>
      </c>
    </row>
    <row r="33">
      <c r="A33" s="48">
        <v>0.10277777777777777</v>
      </c>
      <c r="B33" s="61" t="s">
        <v>1130</v>
      </c>
      <c r="C33" s="45" t="s">
        <v>327</v>
      </c>
      <c r="D33" s="61" t="s">
        <v>482</v>
      </c>
      <c r="E33" s="11" t="s">
        <v>29</v>
      </c>
    </row>
    <row r="34">
      <c r="A34" s="48">
        <v>0.10277777777777777</v>
      </c>
      <c r="B34" s="61" t="s">
        <v>28</v>
      </c>
      <c r="C34" s="45" t="s">
        <v>196</v>
      </c>
      <c r="D34" s="61" t="s">
        <v>1201</v>
      </c>
      <c r="E34" s="11" t="s">
        <v>33</v>
      </c>
    </row>
    <row r="35">
      <c r="A35" s="48">
        <v>0.11319444444444444</v>
      </c>
      <c r="B35" s="61" t="s">
        <v>482</v>
      </c>
      <c r="C35" s="45" t="s">
        <v>351</v>
      </c>
      <c r="D35" s="61" t="s">
        <v>28</v>
      </c>
      <c r="E35" s="11" t="s">
        <v>29</v>
      </c>
    </row>
    <row r="36">
      <c r="A36" s="48">
        <v>0.11319444444444444</v>
      </c>
      <c r="B36" s="61" t="s">
        <v>1130</v>
      </c>
      <c r="C36" s="45" t="s">
        <v>220</v>
      </c>
      <c r="D36" s="61" t="s">
        <v>1276</v>
      </c>
      <c r="E36" s="11" t="s">
        <v>33</v>
      </c>
    </row>
    <row r="37">
      <c r="A37" s="48">
        <v>0.12361111111111112</v>
      </c>
      <c r="B37" s="62" t="s">
        <v>482</v>
      </c>
      <c r="C37" s="45" t="s">
        <v>196</v>
      </c>
      <c r="D37" s="62" t="s">
        <v>1276</v>
      </c>
      <c r="E37" s="11" t="s">
        <v>29</v>
      </c>
    </row>
    <row r="38">
      <c r="A38" s="48">
        <v>0.12361111111111112</v>
      </c>
      <c r="B38" s="61" t="s">
        <v>1130</v>
      </c>
      <c r="C38" s="45" t="s">
        <v>173</v>
      </c>
      <c r="D38" s="61" t="s">
        <v>1201</v>
      </c>
      <c r="E38" s="11" t="s">
        <v>33</v>
      </c>
    </row>
    <row r="39">
      <c r="A39" s="48">
        <v>0.13333333333333333</v>
      </c>
      <c r="B39" s="61" t="s">
        <v>1276</v>
      </c>
      <c r="C39" s="45" t="s">
        <v>180</v>
      </c>
      <c r="D39" s="62" t="s">
        <v>1201</v>
      </c>
      <c r="E39" s="11" t="s">
        <v>29</v>
      </c>
    </row>
    <row r="40">
      <c r="A40" s="48">
        <v>0.13333333333333333</v>
      </c>
      <c r="B40" s="61" t="s">
        <v>28</v>
      </c>
      <c r="C40" s="45" t="s">
        <v>195</v>
      </c>
      <c r="D40" s="61" t="s">
        <v>1130</v>
      </c>
      <c r="E40" s="11" t="s">
        <v>33</v>
      </c>
    </row>
    <row r="41">
      <c r="A41" s="48">
        <v>0.14375</v>
      </c>
      <c r="B41" s="61" t="s">
        <v>482</v>
      </c>
      <c r="C41" s="45" t="s">
        <v>292</v>
      </c>
      <c r="D41" s="62" t="s">
        <v>1201</v>
      </c>
      <c r="E41" s="11" t="s">
        <v>29</v>
      </c>
    </row>
    <row r="42">
      <c r="A42" s="48">
        <v>0.14375</v>
      </c>
      <c r="B42" s="62" t="s">
        <v>1276</v>
      </c>
      <c r="C42" s="45" t="s">
        <v>301</v>
      </c>
      <c r="D42" s="61" t="s">
        <v>28</v>
      </c>
      <c r="E42" s="11" t="s">
        <v>33</v>
      </c>
    </row>
    <row r="43">
      <c r="A43" s="48">
        <v>0.15416666666666667</v>
      </c>
      <c r="B43" s="61" t="s">
        <v>482</v>
      </c>
      <c r="C43" s="45" t="s">
        <v>162</v>
      </c>
      <c r="D43" s="61" t="s">
        <v>1130</v>
      </c>
      <c r="E43" s="11" t="s">
        <v>29</v>
      </c>
    </row>
    <row r="44">
      <c r="A44" s="48">
        <v>0.15416666666666667</v>
      </c>
      <c r="B44" s="61" t="s">
        <v>1201</v>
      </c>
      <c r="C44" s="45" t="s">
        <v>193</v>
      </c>
      <c r="D44" s="61" t="s">
        <v>28</v>
      </c>
      <c r="E44" s="11" t="s">
        <v>33</v>
      </c>
    </row>
    <row r="45">
      <c r="A45" s="51"/>
      <c r="B45" s="1" t="s">
        <v>45</v>
      </c>
      <c r="C45" s="2"/>
      <c r="D45" s="3"/>
      <c r="E45" s="18"/>
    </row>
    <row r="46">
      <c r="A46" s="47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48">
        <v>0.16666666666666666</v>
      </c>
      <c r="B47" s="61" t="s">
        <v>1048</v>
      </c>
      <c r="C47" s="45" t="s">
        <v>1186</v>
      </c>
      <c r="D47" s="61" t="s">
        <v>1204</v>
      </c>
      <c r="E47" s="11" t="s">
        <v>9</v>
      </c>
    </row>
    <row r="48">
      <c r="A48" s="48">
        <v>0.16666666666666666</v>
      </c>
      <c r="B48" s="61" t="s">
        <v>1278</v>
      </c>
      <c r="C48" s="45" t="s">
        <v>256</v>
      </c>
      <c r="D48" s="61" t="s">
        <v>806</v>
      </c>
      <c r="E48" s="11" t="s">
        <v>13</v>
      </c>
    </row>
    <row r="49">
      <c r="A49" s="48">
        <v>0.1763888888888889</v>
      </c>
      <c r="B49" s="61" t="s">
        <v>1278</v>
      </c>
      <c r="C49" s="45" t="s">
        <v>14</v>
      </c>
      <c r="D49" s="61" t="s">
        <v>1204</v>
      </c>
      <c r="E49" s="11" t="s">
        <v>9</v>
      </c>
    </row>
    <row r="50">
      <c r="A50" s="48">
        <v>0.1763888888888889</v>
      </c>
      <c r="B50" s="61" t="s">
        <v>143</v>
      </c>
      <c r="C50" s="45" t="s">
        <v>194</v>
      </c>
      <c r="D50" s="61" t="s">
        <v>806</v>
      </c>
      <c r="E50" s="11" t="s">
        <v>13</v>
      </c>
    </row>
    <row r="51">
      <c r="A51" s="48">
        <v>0.18680555555555556</v>
      </c>
      <c r="B51" s="61" t="s">
        <v>143</v>
      </c>
      <c r="C51" s="45" t="s">
        <v>250</v>
      </c>
      <c r="D51" s="61" t="s">
        <v>1278</v>
      </c>
      <c r="E51" s="11" t="s">
        <v>9</v>
      </c>
    </row>
    <row r="52">
      <c r="A52" s="48">
        <v>0.18680555555555556</v>
      </c>
      <c r="B52" s="61" t="s">
        <v>806</v>
      </c>
      <c r="C52" s="45" t="s">
        <v>218</v>
      </c>
      <c r="D52" s="61" t="s">
        <v>1048</v>
      </c>
      <c r="E52" s="11" t="s">
        <v>13</v>
      </c>
    </row>
    <row r="53">
      <c r="A53" s="48">
        <v>0.19722222222222222</v>
      </c>
      <c r="B53" s="61" t="s">
        <v>143</v>
      </c>
      <c r="C53" s="45" t="s">
        <v>173</v>
      </c>
      <c r="D53" s="61" t="s">
        <v>1204</v>
      </c>
      <c r="E53" s="11" t="s">
        <v>9</v>
      </c>
    </row>
    <row r="54">
      <c r="A54" s="48">
        <v>0.19722222222222222</v>
      </c>
      <c r="B54" s="61" t="s">
        <v>1048</v>
      </c>
      <c r="C54" s="45" t="s">
        <v>173</v>
      </c>
      <c r="D54" s="61" t="s">
        <v>1278</v>
      </c>
      <c r="E54" s="11" t="s">
        <v>13</v>
      </c>
    </row>
    <row r="55">
      <c r="A55" s="48">
        <v>0.20694444444444443</v>
      </c>
      <c r="B55" s="61" t="s">
        <v>806</v>
      </c>
      <c r="C55" s="45" t="s">
        <v>7</v>
      </c>
      <c r="D55" s="61" t="s">
        <v>1204</v>
      </c>
      <c r="E55" s="11" t="s">
        <v>9</v>
      </c>
    </row>
    <row r="56">
      <c r="A56" s="48">
        <v>0.20694444444444443</v>
      </c>
      <c r="B56" s="61" t="s">
        <v>1048</v>
      </c>
      <c r="C56" s="45" t="s">
        <v>342</v>
      </c>
      <c r="D56" s="61" t="s">
        <v>143</v>
      </c>
      <c r="E56" s="11" t="s">
        <v>13</v>
      </c>
    </row>
    <row r="57">
      <c r="A57" s="48">
        <v>0.21736111111111112</v>
      </c>
      <c r="B57" s="61" t="s">
        <v>1204</v>
      </c>
      <c r="C57" s="45" t="s">
        <v>210</v>
      </c>
      <c r="D57" s="61" t="s">
        <v>1048</v>
      </c>
      <c r="E57" s="11" t="s">
        <v>9</v>
      </c>
    </row>
    <row r="58">
      <c r="A58" s="48">
        <v>0.21736111111111112</v>
      </c>
      <c r="B58" s="61" t="s">
        <v>806</v>
      </c>
      <c r="C58" s="45" t="s">
        <v>545</v>
      </c>
      <c r="D58" s="61" t="s">
        <v>1278</v>
      </c>
      <c r="E58" s="11" t="s">
        <v>13</v>
      </c>
    </row>
    <row r="59">
      <c r="A59" s="48">
        <v>0.22777777777777777</v>
      </c>
      <c r="B59" s="61" t="s">
        <v>1204</v>
      </c>
      <c r="C59" s="45" t="s">
        <v>271</v>
      </c>
      <c r="D59" s="61" t="s">
        <v>1278</v>
      </c>
      <c r="E59" s="11" t="s">
        <v>9</v>
      </c>
    </row>
    <row r="60">
      <c r="A60" s="48">
        <v>0.22777777777777777</v>
      </c>
      <c r="B60" s="61" t="s">
        <v>806</v>
      </c>
      <c r="C60" s="45" t="s">
        <v>16</v>
      </c>
      <c r="D60" s="61" t="s">
        <v>143</v>
      </c>
      <c r="E60" s="11" t="s">
        <v>13</v>
      </c>
    </row>
    <row r="61">
      <c r="A61" s="48">
        <v>0.2375</v>
      </c>
      <c r="B61" s="61" t="s">
        <v>1278</v>
      </c>
      <c r="C61" s="45" t="s">
        <v>404</v>
      </c>
      <c r="D61" s="61" t="s">
        <v>143</v>
      </c>
      <c r="E61" s="11" t="s">
        <v>9</v>
      </c>
    </row>
    <row r="62">
      <c r="A62" s="48">
        <v>0.2375</v>
      </c>
      <c r="B62" s="61" t="s">
        <v>1048</v>
      </c>
      <c r="C62" s="45" t="s">
        <v>230</v>
      </c>
      <c r="D62" s="61" t="s">
        <v>806</v>
      </c>
      <c r="E62" s="11" t="s">
        <v>13</v>
      </c>
    </row>
    <row r="63">
      <c r="A63" s="48">
        <v>0.24791666666666667</v>
      </c>
      <c r="B63" s="61" t="s">
        <v>1204</v>
      </c>
      <c r="C63" s="45" t="s">
        <v>185</v>
      </c>
      <c r="D63" s="61" t="s">
        <v>143</v>
      </c>
      <c r="E63" s="11" t="s">
        <v>9</v>
      </c>
    </row>
    <row r="64">
      <c r="A64" s="48">
        <v>0.24791666666666667</v>
      </c>
      <c r="B64" s="61" t="s">
        <v>1278</v>
      </c>
      <c r="C64" s="45" t="s">
        <v>16</v>
      </c>
      <c r="D64" s="61" t="s">
        <v>1048</v>
      </c>
      <c r="E64" s="11" t="s">
        <v>13</v>
      </c>
    </row>
    <row r="65">
      <c r="A65" s="48">
        <v>0.25833333333333336</v>
      </c>
      <c r="B65" s="61" t="s">
        <v>1204</v>
      </c>
      <c r="C65" s="45" t="s">
        <v>24</v>
      </c>
      <c r="D65" s="61" t="s">
        <v>806</v>
      </c>
      <c r="E65" s="11" t="s">
        <v>9</v>
      </c>
    </row>
    <row r="66">
      <c r="A66" s="48">
        <v>0.25833333333333336</v>
      </c>
      <c r="B66" s="61" t="s">
        <v>143</v>
      </c>
      <c r="C66" s="45" t="s">
        <v>248</v>
      </c>
      <c r="D66" s="61" t="s">
        <v>1048</v>
      </c>
      <c r="E66" s="11" t="s">
        <v>13</v>
      </c>
    </row>
    <row r="67">
      <c r="A67" s="51"/>
      <c r="B67" s="1" t="s">
        <v>45</v>
      </c>
      <c r="C67" s="2"/>
      <c r="D67" s="3"/>
      <c r="E67" s="4"/>
    </row>
    <row r="68">
      <c r="A68" s="47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48">
        <v>0.16666666666666666</v>
      </c>
      <c r="B69" s="61" t="s">
        <v>52</v>
      </c>
      <c r="C69" s="45" t="s">
        <v>203</v>
      </c>
      <c r="D69" s="61" t="s">
        <v>1279</v>
      </c>
      <c r="E69" s="11" t="s">
        <v>29</v>
      </c>
    </row>
    <row r="70">
      <c r="A70" s="48">
        <v>0.16666666666666666</v>
      </c>
      <c r="B70" s="61" t="s">
        <v>1280</v>
      </c>
      <c r="C70" s="45" t="s">
        <v>251</v>
      </c>
      <c r="D70" s="61" t="s">
        <v>1281</v>
      </c>
      <c r="E70" s="11" t="s">
        <v>33</v>
      </c>
    </row>
    <row r="71">
      <c r="A71" s="48">
        <v>0.1763888888888889</v>
      </c>
      <c r="B71" s="61" t="s">
        <v>1280</v>
      </c>
      <c r="C71" s="45" t="s">
        <v>23</v>
      </c>
      <c r="D71" s="61" t="s">
        <v>1279</v>
      </c>
      <c r="E71" s="11" t="s">
        <v>29</v>
      </c>
    </row>
    <row r="72">
      <c r="A72" s="48">
        <v>0.1763888888888889</v>
      </c>
      <c r="B72" s="61" t="s">
        <v>1282</v>
      </c>
      <c r="C72" s="45" t="s">
        <v>177</v>
      </c>
      <c r="D72" s="61" t="s">
        <v>1281</v>
      </c>
      <c r="E72" s="11" t="s">
        <v>33</v>
      </c>
    </row>
    <row r="73">
      <c r="A73" s="48">
        <v>0.18680555555555556</v>
      </c>
      <c r="B73" s="61" t="s">
        <v>1282</v>
      </c>
      <c r="C73" s="45" t="s">
        <v>574</v>
      </c>
      <c r="D73" s="61" t="s">
        <v>1280</v>
      </c>
      <c r="E73" s="11" t="s">
        <v>29</v>
      </c>
    </row>
    <row r="74">
      <c r="A74" s="48">
        <v>0.18680555555555556</v>
      </c>
      <c r="B74" s="61" t="s">
        <v>1281</v>
      </c>
      <c r="C74" s="45" t="s">
        <v>239</v>
      </c>
      <c r="D74" s="61" t="s">
        <v>52</v>
      </c>
      <c r="E74" s="11" t="s">
        <v>33</v>
      </c>
    </row>
    <row r="75">
      <c r="A75" s="48">
        <v>0.19722222222222222</v>
      </c>
      <c r="B75" s="61" t="s">
        <v>1282</v>
      </c>
      <c r="C75" s="45" t="s">
        <v>18</v>
      </c>
      <c r="D75" s="61" t="s">
        <v>1279</v>
      </c>
      <c r="E75" s="11" t="s">
        <v>29</v>
      </c>
    </row>
    <row r="76">
      <c r="A76" s="48">
        <v>0.19722222222222222</v>
      </c>
      <c r="B76" s="61" t="s">
        <v>52</v>
      </c>
      <c r="C76" s="45" t="s">
        <v>158</v>
      </c>
      <c r="D76" s="61" t="s">
        <v>1280</v>
      </c>
      <c r="E76" s="11" t="s">
        <v>33</v>
      </c>
    </row>
    <row r="77">
      <c r="A77" s="48">
        <v>0.20694444444444443</v>
      </c>
      <c r="B77" s="61" t="s">
        <v>1281</v>
      </c>
      <c r="C77" s="45" t="s">
        <v>158</v>
      </c>
      <c r="D77" s="61" t="s">
        <v>1279</v>
      </c>
      <c r="E77" s="11" t="s">
        <v>29</v>
      </c>
    </row>
    <row r="78">
      <c r="A78" s="48">
        <v>0.20694444444444443</v>
      </c>
      <c r="B78" s="61" t="s">
        <v>52</v>
      </c>
      <c r="C78" s="45" t="s">
        <v>23</v>
      </c>
      <c r="D78" s="61" t="s">
        <v>1282</v>
      </c>
      <c r="E78" s="11" t="s">
        <v>33</v>
      </c>
    </row>
    <row r="79">
      <c r="A79" s="48">
        <v>0.21736111111111112</v>
      </c>
      <c r="B79" s="61" t="s">
        <v>1279</v>
      </c>
      <c r="C79" s="45" t="s">
        <v>327</v>
      </c>
      <c r="D79" s="61" t="s">
        <v>52</v>
      </c>
      <c r="E79" s="11" t="s">
        <v>29</v>
      </c>
    </row>
    <row r="80">
      <c r="A80" s="48">
        <v>0.21736111111111112</v>
      </c>
      <c r="B80" s="61" t="s">
        <v>1281</v>
      </c>
      <c r="C80" s="45" t="s">
        <v>155</v>
      </c>
      <c r="D80" s="61" t="s">
        <v>1280</v>
      </c>
      <c r="E80" s="11" t="s">
        <v>33</v>
      </c>
    </row>
    <row r="81">
      <c r="A81" s="48">
        <v>0.22777777777777777</v>
      </c>
      <c r="B81" s="61" t="s">
        <v>1279</v>
      </c>
      <c r="C81" s="45" t="s">
        <v>162</v>
      </c>
      <c r="D81" s="61" t="s">
        <v>1280</v>
      </c>
      <c r="E81" s="11" t="s">
        <v>29</v>
      </c>
    </row>
    <row r="82">
      <c r="A82" s="48">
        <v>0.22777777777777777</v>
      </c>
      <c r="B82" s="61" t="s">
        <v>1281</v>
      </c>
      <c r="C82" s="45" t="s">
        <v>209</v>
      </c>
      <c r="D82" s="61" t="s">
        <v>1282</v>
      </c>
      <c r="E82" s="11" t="s">
        <v>33</v>
      </c>
    </row>
    <row r="83">
      <c r="A83" s="48">
        <v>0.2375</v>
      </c>
      <c r="B83" s="61" t="s">
        <v>1280</v>
      </c>
      <c r="C83" s="45" t="s">
        <v>155</v>
      </c>
      <c r="D83" s="61" t="s">
        <v>1282</v>
      </c>
      <c r="E83" s="11" t="s">
        <v>29</v>
      </c>
    </row>
    <row r="84">
      <c r="A84" s="48">
        <v>0.2375</v>
      </c>
      <c r="B84" s="61" t="s">
        <v>52</v>
      </c>
      <c r="C84" s="45" t="s">
        <v>162</v>
      </c>
      <c r="D84" s="61" t="s">
        <v>1281</v>
      </c>
      <c r="E84" s="11" t="s">
        <v>33</v>
      </c>
    </row>
    <row r="85">
      <c r="A85" s="48">
        <v>0.24791666666666667</v>
      </c>
      <c r="B85" s="61" t="s">
        <v>1279</v>
      </c>
      <c r="C85" s="45" t="s">
        <v>257</v>
      </c>
      <c r="D85" s="61" t="s">
        <v>1282</v>
      </c>
      <c r="E85" s="11" t="s">
        <v>29</v>
      </c>
    </row>
    <row r="86">
      <c r="A86" s="48">
        <v>0.24791666666666667</v>
      </c>
      <c r="B86" s="61" t="s">
        <v>1280</v>
      </c>
      <c r="C86" s="45" t="s">
        <v>16</v>
      </c>
      <c r="D86" s="61" t="s">
        <v>52</v>
      </c>
      <c r="E86" s="11" t="s">
        <v>33</v>
      </c>
    </row>
    <row r="87">
      <c r="A87" s="48">
        <v>0.25833333333333336</v>
      </c>
      <c r="B87" s="61" t="s">
        <v>1279</v>
      </c>
      <c r="C87" s="45" t="s">
        <v>160</v>
      </c>
      <c r="D87" s="61" t="s">
        <v>1281</v>
      </c>
      <c r="E87" s="11" t="s">
        <v>29</v>
      </c>
    </row>
    <row r="88">
      <c r="A88" s="48">
        <v>0.25833333333333336</v>
      </c>
      <c r="B88" s="61" t="s">
        <v>1282</v>
      </c>
      <c r="C88" s="45" t="s">
        <v>23</v>
      </c>
      <c r="D88" s="61" t="s">
        <v>52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1283</v>
      </c>
      <c r="C91" s="45" t="s">
        <v>20</v>
      </c>
      <c r="D91" s="61" t="s">
        <v>1284</v>
      </c>
      <c r="E91" s="11" t="s">
        <v>9</v>
      </c>
    </row>
    <row r="92">
      <c r="A92" s="48">
        <v>0.3333333333333333</v>
      </c>
      <c r="B92" s="61" t="s">
        <v>1285</v>
      </c>
      <c r="C92" s="45" t="s">
        <v>162</v>
      </c>
      <c r="D92" s="61" t="s">
        <v>1286</v>
      </c>
      <c r="E92" s="11" t="s">
        <v>13</v>
      </c>
    </row>
    <row r="93">
      <c r="A93" s="48">
        <v>0.34305555555555556</v>
      </c>
      <c r="B93" s="61" t="s">
        <v>1285</v>
      </c>
      <c r="C93" s="45" t="s">
        <v>7</v>
      </c>
      <c r="D93" s="61" t="s">
        <v>1284</v>
      </c>
      <c r="E93" s="11" t="s">
        <v>9</v>
      </c>
    </row>
    <row r="94">
      <c r="A94" s="48">
        <v>0.34305555555555556</v>
      </c>
      <c r="B94" s="61" t="s">
        <v>1213</v>
      </c>
      <c r="C94" s="45" t="s">
        <v>248</v>
      </c>
      <c r="D94" s="61" t="s">
        <v>1286</v>
      </c>
      <c r="E94" s="11" t="s">
        <v>13</v>
      </c>
    </row>
    <row r="95">
      <c r="A95" s="48">
        <v>0.35347222222222224</v>
      </c>
      <c r="B95" s="61" t="s">
        <v>1213</v>
      </c>
      <c r="C95" s="45" t="s">
        <v>198</v>
      </c>
      <c r="D95" s="61" t="s">
        <v>1285</v>
      </c>
      <c r="E95" s="11" t="s">
        <v>9</v>
      </c>
    </row>
    <row r="96">
      <c r="A96" s="48">
        <v>0.35347222222222224</v>
      </c>
      <c r="B96" s="61" t="s">
        <v>1286</v>
      </c>
      <c r="C96" s="45" t="s">
        <v>440</v>
      </c>
      <c r="D96" s="61" t="s">
        <v>1283</v>
      </c>
      <c r="E96" s="11" t="s">
        <v>13</v>
      </c>
    </row>
    <row r="97">
      <c r="A97" s="48">
        <v>0.3638888888888889</v>
      </c>
      <c r="B97" s="61" t="s">
        <v>1213</v>
      </c>
      <c r="C97" s="45" t="s">
        <v>42</v>
      </c>
      <c r="D97" s="61" t="s">
        <v>1284</v>
      </c>
      <c r="E97" s="11" t="s">
        <v>9</v>
      </c>
    </row>
    <row r="98">
      <c r="A98" s="48">
        <v>0.3638888888888889</v>
      </c>
      <c r="B98" s="61" t="s">
        <v>1283</v>
      </c>
      <c r="C98" s="45" t="s">
        <v>27</v>
      </c>
      <c r="D98" s="61" t="s">
        <v>1285</v>
      </c>
      <c r="E98" s="11" t="s">
        <v>13</v>
      </c>
    </row>
    <row r="99">
      <c r="A99" s="48">
        <v>0.3736111111111111</v>
      </c>
      <c r="B99" s="61" t="s">
        <v>1286</v>
      </c>
      <c r="C99" s="45" t="s">
        <v>7</v>
      </c>
      <c r="D99" s="61" t="s">
        <v>1284</v>
      </c>
      <c r="E99" s="11" t="s">
        <v>9</v>
      </c>
    </row>
    <row r="100">
      <c r="A100" s="48">
        <v>0.3736111111111111</v>
      </c>
      <c r="B100" s="61" t="s">
        <v>1283</v>
      </c>
      <c r="C100" s="45" t="s">
        <v>158</v>
      </c>
      <c r="D100" s="61" t="s">
        <v>1213</v>
      </c>
      <c r="E100" s="11" t="s">
        <v>13</v>
      </c>
    </row>
    <row r="101">
      <c r="A101" s="48">
        <v>0.3840277777777778</v>
      </c>
      <c r="B101" s="61" t="s">
        <v>1284</v>
      </c>
      <c r="C101" s="45" t="s">
        <v>227</v>
      </c>
      <c r="D101" s="61" t="s">
        <v>1283</v>
      </c>
      <c r="E101" s="11" t="s">
        <v>9</v>
      </c>
    </row>
    <row r="102">
      <c r="A102" s="48">
        <v>0.3840277777777778</v>
      </c>
      <c r="B102" s="61" t="s">
        <v>1286</v>
      </c>
      <c r="C102" s="45" t="s">
        <v>185</v>
      </c>
      <c r="D102" s="61" t="s">
        <v>1285</v>
      </c>
      <c r="E102" s="11" t="s">
        <v>13</v>
      </c>
    </row>
    <row r="103">
      <c r="A103" s="48">
        <v>0.39444444444444443</v>
      </c>
      <c r="B103" s="61" t="s">
        <v>1284</v>
      </c>
      <c r="C103" s="45" t="s">
        <v>163</v>
      </c>
      <c r="D103" s="61" t="s">
        <v>1285</v>
      </c>
      <c r="E103" s="11" t="s">
        <v>9</v>
      </c>
    </row>
    <row r="104">
      <c r="A104" s="48">
        <v>0.39444444444444443</v>
      </c>
      <c r="B104" s="61" t="s">
        <v>1286</v>
      </c>
      <c r="C104" s="45" t="s">
        <v>193</v>
      </c>
      <c r="D104" s="61" t="s">
        <v>1213</v>
      </c>
      <c r="E104" s="11" t="s">
        <v>13</v>
      </c>
    </row>
    <row r="105">
      <c r="A105" s="48">
        <v>0.4041666666666667</v>
      </c>
      <c r="B105" s="61" t="s">
        <v>1285</v>
      </c>
      <c r="C105" s="45" t="s">
        <v>19</v>
      </c>
      <c r="D105" s="61" t="s">
        <v>1213</v>
      </c>
      <c r="E105" s="11" t="s">
        <v>9</v>
      </c>
    </row>
    <row r="106">
      <c r="A106" s="48">
        <v>0.4041666666666667</v>
      </c>
      <c r="B106" s="61" t="s">
        <v>1283</v>
      </c>
      <c r="C106" s="45" t="s">
        <v>219</v>
      </c>
      <c r="D106" s="61" t="s">
        <v>1286</v>
      </c>
      <c r="E106" s="11" t="s">
        <v>13</v>
      </c>
    </row>
    <row r="107">
      <c r="A107" s="48">
        <v>0.41458333333333336</v>
      </c>
      <c r="B107" s="61" t="s">
        <v>1284</v>
      </c>
      <c r="C107" s="45" t="s">
        <v>442</v>
      </c>
      <c r="D107" s="61" t="s">
        <v>1213</v>
      </c>
      <c r="E107" s="11" t="s">
        <v>9</v>
      </c>
    </row>
    <row r="108">
      <c r="A108" s="48">
        <v>0.41458333333333336</v>
      </c>
      <c r="B108" s="61" t="s">
        <v>1285</v>
      </c>
      <c r="C108" s="45" t="s">
        <v>16</v>
      </c>
      <c r="D108" s="61" t="s">
        <v>1283</v>
      </c>
      <c r="E108" s="11" t="s">
        <v>13</v>
      </c>
    </row>
    <row r="109">
      <c r="A109" s="48">
        <v>0.425</v>
      </c>
      <c r="B109" s="61" t="s">
        <v>1284</v>
      </c>
      <c r="C109" s="45" t="s">
        <v>7</v>
      </c>
      <c r="D109" s="61" t="s">
        <v>1286</v>
      </c>
      <c r="E109" s="11" t="s">
        <v>9</v>
      </c>
    </row>
    <row r="110">
      <c r="A110" s="48">
        <v>0.425</v>
      </c>
      <c r="B110" s="61" t="s">
        <v>1213</v>
      </c>
      <c r="C110" s="45" t="s">
        <v>11</v>
      </c>
      <c r="D110" s="61" t="s">
        <v>1283</v>
      </c>
      <c r="E110" s="11" t="s">
        <v>13</v>
      </c>
    </row>
    <row r="111">
      <c r="A111" s="5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9">
        <v>0.3333333333333333</v>
      </c>
      <c r="B113" s="61" t="s">
        <v>510</v>
      </c>
      <c r="C113" s="45" t="s">
        <v>155</v>
      </c>
      <c r="D113" s="61" t="s">
        <v>1287</v>
      </c>
      <c r="E113" s="11" t="s">
        <v>29</v>
      </c>
    </row>
    <row r="114">
      <c r="A114" s="30">
        <v>0.3333333333333333</v>
      </c>
      <c r="B114" s="61" t="s">
        <v>833</v>
      </c>
      <c r="C114" s="45" t="s">
        <v>23</v>
      </c>
      <c r="D114" s="61" t="s">
        <v>1288</v>
      </c>
      <c r="E114" s="11" t="s">
        <v>33</v>
      </c>
    </row>
    <row r="115">
      <c r="A115" s="30">
        <v>0.34305555555555556</v>
      </c>
      <c r="B115" s="61" t="s">
        <v>833</v>
      </c>
      <c r="C115" s="45" t="s">
        <v>209</v>
      </c>
      <c r="D115" s="61" t="s">
        <v>1287</v>
      </c>
      <c r="E115" s="11" t="s">
        <v>29</v>
      </c>
    </row>
    <row r="116">
      <c r="A116" s="30">
        <v>0.34305555555555556</v>
      </c>
      <c r="B116" s="61" t="s">
        <v>1215</v>
      </c>
      <c r="C116" s="45" t="s">
        <v>194</v>
      </c>
      <c r="D116" s="61" t="s">
        <v>1288</v>
      </c>
      <c r="E116" s="11" t="s">
        <v>33</v>
      </c>
    </row>
    <row r="117">
      <c r="A117" s="30">
        <v>0.35347222222222224</v>
      </c>
      <c r="B117" s="61" t="s">
        <v>1215</v>
      </c>
      <c r="C117" s="45" t="s">
        <v>289</v>
      </c>
      <c r="D117" s="61" t="s">
        <v>833</v>
      </c>
      <c r="E117" s="11" t="s">
        <v>29</v>
      </c>
    </row>
    <row r="118">
      <c r="A118" s="30">
        <v>0.35347222222222224</v>
      </c>
      <c r="B118" s="61" t="s">
        <v>1288</v>
      </c>
      <c r="C118" s="45" t="s">
        <v>210</v>
      </c>
      <c r="D118" s="61" t="s">
        <v>510</v>
      </c>
      <c r="E118" s="11" t="s">
        <v>33</v>
      </c>
      <c r="I118" s="50"/>
    </row>
    <row r="119">
      <c r="A119" s="30">
        <v>0.3638888888888889</v>
      </c>
      <c r="B119" s="61" t="s">
        <v>1215</v>
      </c>
      <c r="C119" s="45" t="s">
        <v>16</v>
      </c>
      <c r="D119" s="61" t="s">
        <v>1287</v>
      </c>
      <c r="E119" s="11" t="s">
        <v>29</v>
      </c>
    </row>
    <row r="120">
      <c r="A120" s="30">
        <v>0.3638888888888889</v>
      </c>
      <c r="B120" s="61" t="s">
        <v>510</v>
      </c>
      <c r="C120" s="45" t="s">
        <v>198</v>
      </c>
      <c r="D120" s="61" t="s">
        <v>833</v>
      </c>
      <c r="E120" s="11" t="s">
        <v>33</v>
      </c>
    </row>
    <row r="121">
      <c r="A121" s="30">
        <v>0.3736111111111111</v>
      </c>
      <c r="B121" s="61" t="s">
        <v>1288</v>
      </c>
      <c r="C121" s="45" t="s">
        <v>344</v>
      </c>
      <c r="D121" s="61" t="s">
        <v>1287</v>
      </c>
      <c r="E121" s="11" t="s">
        <v>29</v>
      </c>
    </row>
    <row r="122">
      <c r="A122" s="30">
        <v>0.3736111111111111</v>
      </c>
      <c r="B122" s="61" t="s">
        <v>510</v>
      </c>
      <c r="C122" s="45" t="s">
        <v>43</v>
      </c>
      <c r="D122" s="61" t="s">
        <v>1215</v>
      </c>
      <c r="E122" s="11" t="s">
        <v>33</v>
      </c>
    </row>
    <row r="123">
      <c r="A123" s="30">
        <v>0.3840277777777778</v>
      </c>
      <c r="B123" s="61" t="s">
        <v>1287</v>
      </c>
      <c r="C123" s="45" t="s">
        <v>342</v>
      </c>
      <c r="D123" s="61" t="s">
        <v>510</v>
      </c>
      <c r="E123" s="11" t="s">
        <v>29</v>
      </c>
    </row>
    <row r="124">
      <c r="A124" s="30">
        <v>0.3840277777777778</v>
      </c>
      <c r="B124" s="61" t="s">
        <v>1288</v>
      </c>
      <c r="C124" s="45" t="s">
        <v>1289</v>
      </c>
      <c r="D124" s="61" t="s">
        <v>833</v>
      </c>
      <c r="E124" s="11" t="s">
        <v>33</v>
      </c>
    </row>
    <row r="125">
      <c r="A125" s="30">
        <v>0.39444444444444443</v>
      </c>
      <c r="B125" s="61" t="s">
        <v>1287</v>
      </c>
      <c r="C125" s="45" t="s">
        <v>162</v>
      </c>
      <c r="D125" s="61" t="s">
        <v>833</v>
      </c>
      <c r="E125" s="11" t="s">
        <v>29</v>
      </c>
    </row>
    <row r="126">
      <c r="A126" s="30">
        <v>0.39444444444444443</v>
      </c>
      <c r="B126" s="61" t="s">
        <v>1288</v>
      </c>
      <c r="C126" s="45" t="s">
        <v>229</v>
      </c>
      <c r="D126" s="61" t="s">
        <v>1215</v>
      </c>
      <c r="E126" s="11" t="s">
        <v>33</v>
      </c>
    </row>
    <row r="127">
      <c r="A127" s="30">
        <v>0.4041666666666667</v>
      </c>
      <c r="B127" s="61" t="s">
        <v>833</v>
      </c>
      <c r="C127" s="45" t="s">
        <v>21</v>
      </c>
      <c r="D127" s="61" t="s">
        <v>1215</v>
      </c>
      <c r="E127" s="11" t="s">
        <v>29</v>
      </c>
      <c r="G127" s="45"/>
    </row>
    <row r="128">
      <c r="A128" s="30">
        <v>0.4041666666666667</v>
      </c>
      <c r="B128" s="61" t="s">
        <v>510</v>
      </c>
      <c r="C128" s="45" t="s">
        <v>292</v>
      </c>
      <c r="D128" s="61" t="s">
        <v>1288</v>
      </c>
      <c r="E128" s="11" t="s">
        <v>33</v>
      </c>
    </row>
    <row r="129">
      <c r="A129" s="30">
        <v>0.41458333333333336</v>
      </c>
      <c r="B129" s="61" t="s">
        <v>1287</v>
      </c>
      <c r="C129" s="45" t="s">
        <v>251</v>
      </c>
      <c r="D129" s="61" t="s">
        <v>1215</v>
      </c>
      <c r="E129" s="11" t="s">
        <v>29</v>
      </c>
    </row>
    <row r="130">
      <c r="A130" s="30">
        <v>0.41458333333333336</v>
      </c>
      <c r="B130" s="61" t="s">
        <v>833</v>
      </c>
      <c r="C130" s="45" t="s">
        <v>545</v>
      </c>
      <c r="D130" s="61" t="s">
        <v>510</v>
      </c>
      <c r="E130" s="11" t="s">
        <v>33</v>
      </c>
    </row>
    <row r="131">
      <c r="A131" s="30">
        <v>0.425</v>
      </c>
      <c r="B131" s="61" t="s">
        <v>1287</v>
      </c>
      <c r="C131" s="45" t="s">
        <v>744</v>
      </c>
      <c r="D131" s="61" t="s">
        <v>1288</v>
      </c>
      <c r="E131" s="11" t="s">
        <v>29</v>
      </c>
    </row>
    <row r="132">
      <c r="A132" s="30">
        <v>0.425</v>
      </c>
      <c r="B132" s="61" t="s">
        <v>1215</v>
      </c>
      <c r="C132" s="45" t="s">
        <v>23</v>
      </c>
      <c r="D132" s="61" t="s">
        <v>510</v>
      </c>
      <c r="E132" s="11" t="s">
        <v>33</v>
      </c>
    </row>
    <row r="133">
      <c r="A133" s="5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1290</v>
      </c>
      <c r="C135" s="57" t="s">
        <v>208</v>
      </c>
      <c r="D135" s="61" t="s">
        <v>235</v>
      </c>
      <c r="E135" s="11" t="s">
        <v>9</v>
      </c>
    </row>
    <row r="136">
      <c r="A136" s="48">
        <v>0.4375</v>
      </c>
      <c r="B136" s="61" t="s">
        <v>1291</v>
      </c>
      <c r="C136" s="57" t="s">
        <v>334</v>
      </c>
      <c r="D136" s="61" t="s">
        <v>400</v>
      </c>
      <c r="E136" s="11" t="s">
        <v>13</v>
      </c>
    </row>
    <row r="137">
      <c r="A137" s="48">
        <v>0.44722222222222224</v>
      </c>
      <c r="B137" s="61" t="s">
        <v>1291</v>
      </c>
      <c r="C137" s="57" t="s">
        <v>22</v>
      </c>
      <c r="D137" s="61" t="s">
        <v>235</v>
      </c>
      <c r="E137" s="11" t="s">
        <v>9</v>
      </c>
    </row>
    <row r="138">
      <c r="A138" s="48">
        <v>0.44722222222222224</v>
      </c>
      <c r="B138" s="61" t="s">
        <v>396</v>
      </c>
      <c r="C138" s="57" t="s">
        <v>302</v>
      </c>
      <c r="D138" s="61" t="s">
        <v>400</v>
      </c>
      <c r="E138" s="11" t="s">
        <v>13</v>
      </c>
    </row>
    <row r="139">
      <c r="A139" s="48">
        <v>0.4576388888888889</v>
      </c>
      <c r="B139" s="61" t="s">
        <v>396</v>
      </c>
      <c r="C139" s="57" t="s">
        <v>380</v>
      </c>
      <c r="D139" s="61" t="s">
        <v>1291</v>
      </c>
      <c r="E139" s="11" t="s">
        <v>9</v>
      </c>
    </row>
    <row r="140">
      <c r="A140" s="48">
        <v>0.4576388888888889</v>
      </c>
      <c r="B140" s="61" t="s">
        <v>400</v>
      </c>
      <c r="C140" s="57" t="s">
        <v>20</v>
      </c>
      <c r="D140" s="61" t="s">
        <v>1290</v>
      </c>
      <c r="E140" s="11" t="s">
        <v>13</v>
      </c>
    </row>
    <row r="141">
      <c r="A141" s="48">
        <v>0.46805555555555556</v>
      </c>
      <c r="B141" s="61" t="s">
        <v>396</v>
      </c>
      <c r="C141" s="57" t="s">
        <v>418</v>
      </c>
      <c r="D141" s="61" t="s">
        <v>235</v>
      </c>
      <c r="E141" s="11" t="s">
        <v>9</v>
      </c>
    </row>
    <row r="142">
      <c r="A142" s="48">
        <v>0.46805555555555556</v>
      </c>
      <c r="B142" s="61" t="s">
        <v>1290</v>
      </c>
      <c r="C142" s="57" t="s">
        <v>292</v>
      </c>
      <c r="D142" s="61" t="s">
        <v>1291</v>
      </c>
      <c r="E142" s="11" t="s">
        <v>13</v>
      </c>
    </row>
    <row r="143">
      <c r="A143" s="48">
        <v>0.4777777777777778</v>
      </c>
      <c r="B143" s="61" t="s">
        <v>400</v>
      </c>
      <c r="C143" s="57" t="s">
        <v>195</v>
      </c>
      <c r="D143" s="61" t="s">
        <v>235</v>
      </c>
      <c r="E143" s="11" t="s">
        <v>9</v>
      </c>
    </row>
    <row r="144">
      <c r="A144" s="48">
        <v>0.4777777777777778</v>
      </c>
      <c r="B144" s="61" t="s">
        <v>1290</v>
      </c>
      <c r="C144" s="57" t="s">
        <v>195</v>
      </c>
      <c r="D144" s="61" t="s">
        <v>396</v>
      </c>
      <c r="E144" s="11" t="s">
        <v>13</v>
      </c>
    </row>
    <row r="145">
      <c r="A145" s="48">
        <v>0.48819444444444443</v>
      </c>
      <c r="B145" s="61" t="s">
        <v>235</v>
      </c>
      <c r="C145" s="57" t="s">
        <v>354</v>
      </c>
      <c r="D145" s="61" t="s">
        <v>1290</v>
      </c>
      <c r="E145" s="11" t="s">
        <v>9</v>
      </c>
    </row>
    <row r="146">
      <c r="A146" s="48">
        <v>0.48819444444444443</v>
      </c>
      <c r="B146" s="61" t="s">
        <v>400</v>
      </c>
      <c r="C146" s="57" t="s">
        <v>251</v>
      </c>
      <c r="D146" s="61" t="s">
        <v>1291</v>
      </c>
      <c r="E146" s="11" t="s">
        <v>13</v>
      </c>
    </row>
    <row r="147">
      <c r="A147" s="48">
        <v>0.4986111111111111</v>
      </c>
      <c r="B147" s="61" t="s">
        <v>235</v>
      </c>
      <c r="C147" s="45" t="s">
        <v>302</v>
      </c>
      <c r="D147" s="61" t="s">
        <v>1291</v>
      </c>
      <c r="E147" s="11" t="s">
        <v>9</v>
      </c>
    </row>
    <row r="148">
      <c r="A148" s="48">
        <v>0.4986111111111111</v>
      </c>
      <c r="B148" s="61" t="s">
        <v>400</v>
      </c>
      <c r="C148" s="45" t="s">
        <v>210</v>
      </c>
      <c r="D148" s="61" t="s">
        <v>396</v>
      </c>
      <c r="E148" s="11" t="s">
        <v>13</v>
      </c>
    </row>
    <row r="149">
      <c r="A149" s="48">
        <v>0.5083333333333333</v>
      </c>
      <c r="B149" s="61" t="s">
        <v>1291</v>
      </c>
      <c r="C149" s="45" t="s">
        <v>184</v>
      </c>
      <c r="D149" s="61" t="s">
        <v>396</v>
      </c>
      <c r="E149" s="11" t="s">
        <v>9</v>
      </c>
    </row>
    <row r="150">
      <c r="A150" s="48">
        <v>0.5083333333333333</v>
      </c>
      <c r="B150" s="61" t="s">
        <v>1290</v>
      </c>
      <c r="C150" s="45" t="s">
        <v>193</v>
      </c>
      <c r="D150" s="61" t="s">
        <v>400</v>
      </c>
      <c r="E150" s="11" t="s">
        <v>13</v>
      </c>
    </row>
    <row r="151">
      <c r="A151" s="48">
        <v>0.51875</v>
      </c>
      <c r="B151" s="61" t="s">
        <v>235</v>
      </c>
      <c r="C151" s="45" t="s">
        <v>227</v>
      </c>
      <c r="D151" s="61" t="s">
        <v>396</v>
      </c>
      <c r="E151" s="11" t="s">
        <v>9</v>
      </c>
    </row>
    <row r="152">
      <c r="A152" s="48">
        <v>0.51875</v>
      </c>
      <c r="B152" s="61" t="s">
        <v>1291</v>
      </c>
      <c r="C152" s="45" t="s">
        <v>610</v>
      </c>
      <c r="D152" s="61" t="s">
        <v>1290</v>
      </c>
      <c r="E152" s="11" t="s">
        <v>13</v>
      </c>
    </row>
    <row r="153">
      <c r="A153" s="48">
        <v>0.5291666666666667</v>
      </c>
      <c r="B153" s="61" t="s">
        <v>235</v>
      </c>
      <c r="C153" s="45" t="s">
        <v>257</v>
      </c>
      <c r="D153" s="61" t="s">
        <v>400</v>
      </c>
      <c r="E153" s="11" t="s">
        <v>9</v>
      </c>
    </row>
    <row r="154">
      <c r="A154" s="48">
        <v>0.5291666666666667</v>
      </c>
      <c r="B154" s="61" t="s">
        <v>396</v>
      </c>
      <c r="C154" s="45" t="s">
        <v>43</v>
      </c>
      <c r="D154" s="61" t="s">
        <v>1290</v>
      </c>
      <c r="E154" s="11" t="s">
        <v>13</v>
      </c>
    </row>
    <row r="155">
      <c r="A155" s="5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406</v>
      </c>
      <c r="C157" s="45" t="s">
        <v>271</v>
      </c>
      <c r="D157" s="61" t="s">
        <v>1292</v>
      </c>
      <c r="E157" s="11" t="s">
        <v>29</v>
      </c>
    </row>
    <row r="158">
      <c r="A158" s="48">
        <v>0.4375</v>
      </c>
      <c r="B158" s="61" t="s">
        <v>1293</v>
      </c>
      <c r="C158" s="45" t="s">
        <v>248</v>
      </c>
      <c r="D158" s="61" t="s">
        <v>1294</v>
      </c>
      <c r="E158" s="11" t="s">
        <v>33</v>
      </c>
    </row>
    <row r="159">
      <c r="A159" s="48">
        <v>0.44722222222222224</v>
      </c>
      <c r="B159" s="61" t="s">
        <v>1293</v>
      </c>
      <c r="C159" s="45" t="s">
        <v>155</v>
      </c>
      <c r="D159" s="61" t="s">
        <v>1292</v>
      </c>
      <c r="E159" s="11" t="s">
        <v>29</v>
      </c>
    </row>
    <row r="160">
      <c r="A160" s="48">
        <v>0.44722222222222224</v>
      </c>
      <c r="B160" s="61" t="s">
        <v>1295</v>
      </c>
      <c r="C160" s="45" t="s">
        <v>344</v>
      </c>
      <c r="D160" s="61" t="s">
        <v>1294</v>
      </c>
      <c r="E160" s="11" t="s">
        <v>33</v>
      </c>
    </row>
    <row r="161">
      <c r="A161" s="48">
        <v>0.4576388888888889</v>
      </c>
      <c r="B161" s="61" t="s">
        <v>1295</v>
      </c>
      <c r="C161" s="45" t="s">
        <v>184</v>
      </c>
      <c r="D161" s="61" t="s">
        <v>1293</v>
      </c>
      <c r="E161" s="11" t="s">
        <v>29</v>
      </c>
    </row>
    <row r="162">
      <c r="A162" s="48">
        <v>0.4576388888888889</v>
      </c>
      <c r="B162" s="61" t="s">
        <v>1294</v>
      </c>
      <c r="C162" s="45" t="s">
        <v>181</v>
      </c>
      <c r="D162" s="61" t="s">
        <v>406</v>
      </c>
      <c r="E162" s="11" t="s">
        <v>33</v>
      </c>
    </row>
    <row r="163">
      <c r="A163" s="48">
        <v>0.46805555555555556</v>
      </c>
      <c r="B163" s="61" t="s">
        <v>1295</v>
      </c>
      <c r="C163" s="45" t="s">
        <v>292</v>
      </c>
      <c r="D163" s="61" t="s">
        <v>1292</v>
      </c>
      <c r="E163" s="11" t="s">
        <v>29</v>
      </c>
    </row>
    <row r="164">
      <c r="A164" s="48">
        <v>0.46805555555555556</v>
      </c>
      <c r="B164" s="61" t="s">
        <v>406</v>
      </c>
      <c r="C164" s="45" t="s">
        <v>20</v>
      </c>
      <c r="D164" s="61" t="s">
        <v>1293</v>
      </c>
      <c r="E164" s="11" t="s">
        <v>33</v>
      </c>
    </row>
    <row r="165">
      <c r="A165" s="48">
        <v>0.4777777777777778</v>
      </c>
      <c r="B165" s="61" t="s">
        <v>1294</v>
      </c>
      <c r="C165" s="45" t="s">
        <v>20</v>
      </c>
      <c r="D165" s="61" t="s">
        <v>1292</v>
      </c>
      <c r="E165" s="11" t="s">
        <v>29</v>
      </c>
    </row>
    <row r="166">
      <c r="A166" s="48">
        <v>0.4777777777777778</v>
      </c>
      <c r="B166" s="61" t="s">
        <v>406</v>
      </c>
      <c r="C166" s="45" t="s">
        <v>248</v>
      </c>
      <c r="D166" s="61" t="s">
        <v>1295</v>
      </c>
      <c r="E166" s="11" t="s">
        <v>33</v>
      </c>
      <c r="G166" s="50"/>
    </row>
    <row r="167">
      <c r="A167" s="48">
        <v>0.48819444444444443</v>
      </c>
      <c r="B167" s="61" t="s">
        <v>1292</v>
      </c>
      <c r="C167" s="45" t="s">
        <v>14</v>
      </c>
      <c r="D167" s="61" t="s">
        <v>406</v>
      </c>
      <c r="E167" s="11" t="s">
        <v>29</v>
      </c>
    </row>
    <row r="168">
      <c r="A168" s="48">
        <v>0.48819444444444443</v>
      </c>
      <c r="B168" s="61" t="s">
        <v>1294</v>
      </c>
      <c r="C168" s="45" t="s">
        <v>194</v>
      </c>
      <c r="D168" s="61" t="s">
        <v>1293</v>
      </c>
      <c r="E168" s="11" t="s">
        <v>33</v>
      </c>
    </row>
    <row r="169">
      <c r="A169" s="48">
        <v>0.4986111111111111</v>
      </c>
      <c r="B169" s="61" t="s">
        <v>1292</v>
      </c>
      <c r="C169" s="45" t="s">
        <v>193</v>
      </c>
      <c r="D169" s="61" t="s">
        <v>1293</v>
      </c>
      <c r="E169" s="11" t="s">
        <v>29</v>
      </c>
    </row>
    <row r="170">
      <c r="A170" s="48">
        <v>0.4986111111111111</v>
      </c>
      <c r="B170" s="61" t="s">
        <v>1294</v>
      </c>
      <c r="C170" s="45" t="s">
        <v>289</v>
      </c>
      <c r="D170" s="61" t="s">
        <v>1295</v>
      </c>
      <c r="E170" s="11" t="s">
        <v>33</v>
      </c>
    </row>
    <row r="171">
      <c r="A171" s="48">
        <v>0.5083333333333333</v>
      </c>
      <c r="B171" s="61" t="s">
        <v>1293</v>
      </c>
      <c r="C171" s="45" t="s">
        <v>209</v>
      </c>
      <c r="D171" s="61" t="s">
        <v>1295</v>
      </c>
      <c r="E171" s="11" t="s">
        <v>29</v>
      </c>
    </row>
    <row r="172">
      <c r="A172" s="48">
        <v>0.5083333333333333</v>
      </c>
      <c r="B172" s="61" t="s">
        <v>406</v>
      </c>
      <c r="C172" s="45" t="s">
        <v>344</v>
      </c>
      <c r="D172" s="61" t="s">
        <v>1294</v>
      </c>
      <c r="E172" s="11" t="s">
        <v>33</v>
      </c>
    </row>
    <row r="173">
      <c r="A173" s="48">
        <v>0.51875</v>
      </c>
      <c r="B173" s="61" t="s">
        <v>1292</v>
      </c>
      <c r="C173" s="45" t="s">
        <v>517</v>
      </c>
      <c r="D173" s="61" t="s">
        <v>1295</v>
      </c>
      <c r="E173" s="11" t="s">
        <v>29</v>
      </c>
    </row>
    <row r="174">
      <c r="A174" s="48">
        <v>0.51875</v>
      </c>
      <c r="B174" s="61" t="s">
        <v>1293</v>
      </c>
      <c r="C174" s="45" t="s">
        <v>23</v>
      </c>
      <c r="D174" s="61" t="s">
        <v>406</v>
      </c>
      <c r="E174" s="11" t="s">
        <v>33</v>
      </c>
    </row>
    <row r="175">
      <c r="A175" s="48">
        <v>0.5291666666666667</v>
      </c>
      <c r="B175" s="61" t="s">
        <v>1292</v>
      </c>
      <c r="C175" s="45" t="s">
        <v>291</v>
      </c>
      <c r="D175" s="61" t="s">
        <v>1294</v>
      </c>
      <c r="E175" s="11" t="s">
        <v>29</v>
      </c>
    </row>
    <row r="176">
      <c r="A176" s="48">
        <v>0.5291666666666667</v>
      </c>
      <c r="B176" s="61" t="s">
        <v>1295</v>
      </c>
      <c r="C176" s="45" t="s">
        <v>18</v>
      </c>
      <c r="D176" s="61" t="s">
        <v>406</v>
      </c>
      <c r="E176" s="11" t="s">
        <v>33</v>
      </c>
    </row>
    <row r="177">
      <c r="A177" s="5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1296</v>
      </c>
      <c r="C179" s="45" t="s">
        <v>18</v>
      </c>
      <c r="D179" s="61" t="s">
        <v>80</v>
      </c>
      <c r="E179" s="11" t="s">
        <v>9</v>
      </c>
    </row>
    <row r="180">
      <c r="A180" s="48">
        <v>0.5416666666666666</v>
      </c>
      <c r="B180" s="61" t="s">
        <v>1297</v>
      </c>
      <c r="C180" s="45" t="s">
        <v>442</v>
      </c>
      <c r="D180" s="61" t="s">
        <v>529</v>
      </c>
      <c r="E180" s="11" t="s">
        <v>13</v>
      </c>
    </row>
    <row r="181">
      <c r="A181" s="48">
        <v>0.5513888888888889</v>
      </c>
      <c r="B181" s="61" t="s">
        <v>1297</v>
      </c>
      <c r="C181" s="45" t="s">
        <v>280</v>
      </c>
      <c r="D181" s="61" t="s">
        <v>80</v>
      </c>
      <c r="E181" s="11" t="s">
        <v>9</v>
      </c>
    </row>
    <row r="182">
      <c r="A182" s="48">
        <v>0.5513888888888889</v>
      </c>
      <c r="B182" s="61" t="s">
        <v>409</v>
      </c>
      <c r="C182" s="45" t="s">
        <v>185</v>
      </c>
      <c r="D182" s="61" t="s">
        <v>529</v>
      </c>
      <c r="E182" s="11" t="s">
        <v>13</v>
      </c>
    </row>
    <row r="183">
      <c r="A183" s="48">
        <v>0.5618055555555556</v>
      </c>
      <c r="B183" s="61" t="s">
        <v>409</v>
      </c>
      <c r="C183" s="45" t="s">
        <v>248</v>
      </c>
      <c r="D183" s="61" t="s">
        <v>1297</v>
      </c>
      <c r="E183" s="11" t="s">
        <v>9</v>
      </c>
    </row>
    <row r="184">
      <c r="A184" s="48">
        <v>0.5618055555555556</v>
      </c>
      <c r="B184" s="61" t="s">
        <v>529</v>
      </c>
      <c r="C184" s="45" t="s">
        <v>14</v>
      </c>
      <c r="D184" s="61" t="s">
        <v>1296</v>
      </c>
      <c r="E184" s="11" t="s">
        <v>13</v>
      </c>
    </row>
    <row r="185">
      <c r="A185" s="48">
        <v>0.5722222222222222</v>
      </c>
      <c r="B185" s="61" t="s">
        <v>409</v>
      </c>
      <c r="C185" s="45" t="s">
        <v>19</v>
      </c>
      <c r="D185" s="61" t="s">
        <v>80</v>
      </c>
      <c r="E185" s="11" t="s">
        <v>9</v>
      </c>
    </row>
    <row r="186">
      <c r="A186" s="48">
        <v>0.5722222222222222</v>
      </c>
      <c r="B186" s="61" t="s">
        <v>1296</v>
      </c>
      <c r="C186" s="45" t="s">
        <v>251</v>
      </c>
      <c r="D186" s="61" t="s">
        <v>1297</v>
      </c>
      <c r="E186" s="11" t="s">
        <v>13</v>
      </c>
    </row>
    <row r="187">
      <c r="A187" s="48">
        <v>0.5819444444444445</v>
      </c>
      <c r="B187" s="61" t="s">
        <v>529</v>
      </c>
      <c r="C187" s="45" t="s">
        <v>256</v>
      </c>
      <c r="D187" s="61" t="s">
        <v>80</v>
      </c>
      <c r="E187" s="11" t="s">
        <v>9</v>
      </c>
    </row>
    <row r="188">
      <c r="A188" s="48">
        <v>0.5819444444444445</v>
      </c>
      <c r="B188" s="61" t="s">
        <v>1296</v>
      </c>
      <c r="C188" s="45" t="s">
        <v>162</v>
      </c>
      <c r="D188" s="61" t="s">
        <v>409</v>
      </c>
      <c r="E188" s="11" t="s">
        <v>13</v>
      </c>
    </row>
    <row r="189">
      <c r="A189" s="48">
        <v>0.5923611111111111</v>
      </c>
      <c r="B189" s="61" t="s">
        <v>80</v>
      </c>
      <c r="C189" s="45" t="s">
        <v>158</v>
      </c>
      <c r="D189" s="61" t="s">
        <v>1296</v>
      </c>
      <c r="E189" s="11" t="s">
        <v>9</v>
      </c>
    </row>
    <row r="190">
      <c r="A190" s="48">
        <v>0.5923611111111111</v>
      </c>
      <c r="B190" s="61" t="s">
        <v>529</v>
      </c>
      <c r="C190" s="45" t="s">
        <v>229</v>
      </c>
      <c r="D190" s="61" t="s">
        <v>1297</v>
      </c>
      <c r="E190" s="11" t="s">
        <v>13</v>
      </c>
    </row>
    <row r="191">
      <c r="A191" s="48">
        <v>0.6027777777777777</v>
      </c>
      <c r="B191" s="61" t="s">
        <v>80</v>
      </c>
      <c r="C191" s="45" t="s">
        <v>210</v>
      </c>
      <c r="D191" s="61" t="s">
        <v>1297</v>
      </c>
      <c r="E191" s="11" t="s">
        <v>9</v>
      </c>
    </row>
    <row r="192">
      <c r="A192" s="48">
        <v>0.6027777777777777</v>
      </c>
      <c r="B192" s="61" t="s">
        <v>529</v>
      </c>
      <c r="C192" s="45" t="s">
        <v>289</v>
      </c>
      <c r="D192" s="61" t="s">
        <v>409</v>
      </c>
      <c r="E192" s="11" t="s">
        <v>13</v>
      </c>
    </row>
    <row r="193">
      <c r="A193" s="48">
        <v>0.6125</v>
      </c>
      <c r="B193" s="61" t="s">
        <v>1297</v>
      </c>
      <c r="C193" s="45" t="s">
        <v>39</v>
      </c>
      <c r="D193" s="61" t="s">
        <v>409</v>
      </c>
      <c r="E193" s="11" t="s">
        <v>9</v>
      </c>
    </row>
    <row r="194">
      <c r="A194" s="48">
        <v>0.6125</v>
      </c>
      <c r="B194" s="61" t="s">
        <v>1296</v>
      </c>
      <c r="C194" s="45" t="s">
        <v>248</v>
      </c>
      <c r="D194" s="61" t="s">
        <v>529</v>
      </c>
      <c r="E194" s="11" t="s">
        <v>13</v>
      </c>
    </row>
    <row r="195">
      <c r="A195" s="48">
        <v>0.6229166666666667</v>
      </c>
      <c r="B195" s="61" t="s">
        <v>80</v>
      </c>
      <c r="C195" s="45" t="s">
        <v>23</v>
      </c>
      <c r="D195" s="61" t="s">
        <v>409</v>
      </c>
      <c r="E195" s="11" t="s">
        <v>9</v>
      </c>
    </row>
    <row r="196">
      <c r="A196" s="48">
        <v>0.6229166666666667</v>
      </c>
      <c r="B196" s="61" t="s">
        <v>1297</v>
      </c>
      <c r="C196" s="45" t="s">
        <v>155</v>
      </c>
      <c r="D196" s="61" t="s">
        <v>1296</v>
      </c>
      <c r="E196" s="11" t="s">
        <v>13</v>
      </c>
    </row>
    <row r="197">
      <c r="A197" s="48">
        <v>0.6333333333333333</v>
      </c>
      <c r="B197" s="61" t="s">
        <v>80</v>
      </c>
      <c r="C197" s="45" t="s">
        <v>477</v>
      </c>
      <c r="D197" s="61" t="s">
        <v>529</v>
      </c>
      <c r="E197" s="11" t="s">
        <v>9</v>
      </c>
    </row>
    <row r="198">
      <c r="A198" s="48">
        <v>0.6333333333333333</v>
      </c>
      <c r="B198" s="61" t="s">
        <v>409</v>
      </c>
      <c r="C198" s="45" t="s">
        <v>218</v>
      </c>
      <c r="D198" s="61" t="s">
        <v>1296</v>
      </c>
      <c r="E198" s="11" t="s">
        <v>13</v>
      </c>
    </row>
    <row r="199">
      <c r="A199" s="5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84</v>
      </c>
      <c r="C201" s="57" t="s">
        <v>383</v>
      </c>
      <c r="D201" s="61" t="s">
        <v>1298</v>
      </c>
      <c r="E201" s="11" t="s">
        <v>29</v>
      </c>
    </row>
    <row r="202">
      <c r="A202" s="48">
        <v>0.5416666666666666</v>
      </c>
      <c r="B202" s="61" t="s">
        <v>629</v>
      </c>
      <c r="C202" s="57" t="s">
        <v>257</v>
      </c>
      <c r="D202" s="61" t="s">
        <v>1299</v>
      </c>
      <c r="E202" s="11" t="s">
        <v>33</v>
      </c>
    </row>
    <row r="203">
      <c r="A203" s="48">
        <v>0.5513888888888889</v>
      </c>
      <c r="B203" s="61" t="s">
        <v>629</v>
      </c>
      <c r="C203" s="57" t="s">
        <v>477</v>
      </c>
      <c r="D203" s="61" t="s">
        <v>1298</v>
      </c>
      <c r="E203" s="11" t="s">
        <v>29</v>
      </c>
    </row>
    <row r="204">
      <c r="A204" s="48">
        <v>0.5513888888888889</v>
      </c>
      <c r="B204" s="61" t="s">
        <v>88</v>
      </c>
      <c r="C204" s="57" t="s">
        <v>182</v>
      </c>
      <c r="D204" s="61" t="s">
        <v>1299</v>
      </c>
      <c r="E204" s="11" t="s">
        <v>33</v>
      </c>
    </row>
    <row r="205">
      <c r="A205" s="48">
        <v>0.5618055555555556</v>
      </c>
      <c r="B205" s="61" t="s">
        <v>88</v>
      </c>
      <c r="C205" s="57" t="s">
        <v>289</v>
      </c>
      <c r="D205" s="61" t="s">
        <v>629</v>
      </c>
      <c r="E205" s="11" t="s">
        <v>29</v>
      </c>
    </row>
    <row r="206">
      <c r="A206" s="48">
        <v>0.5618055555555556</v>
      </c>
      <c r="B206" s="61" t="s">
        <v>1299</v>
      </c>
      <c r="C206" s="57" t="s">
        <v>185</v>
      </c>
      <c r="D206" s="61" t="s">
        <v>84</v>
      </c>
      <c r="E206" s="11" t="s">
        <v>33</v>
      </c>
    </row>
    <row r="207">
      <c r="A207" s="48">
        <v>0.5722222222222222</v>
      </c>
      <c r="B207" s="61" t="s">
        <v>88</v>
      </c>
      <c r="C207" s="57" t="s">
        <v>19</v>
      </c>
      <c r="D207" s="61" t="s">
        <v>1298</v>
      </c>
      <c r="E207" s="11" t="s">
        <v>29</v>
      </c>
    </row>
    <row r="208">
      <c r="A208" s="48">
        <v>0.5722222222222222</v>
      </c>
      <c r="B208" s="61" t="s">
        <v>84</v>
      </c>
      <c r="C208" s="57" t="s">
        <v>208</v>
      </c>
      <c r="D208" s="61" t="s">
        <v>629</v>
      </c>
      <c r="E208" s="11" t="s">
        <v>33</v>
      </c>
    </row>
    <row r="209">
      <c r="A209" s="48">
        <v>0.5819444444444445</v>
      </c>
      <c r="B209" s="61" t="s">
        <v>1299</v>
      </c>
      <c r="C209" s="57" t="s">
        <v>17</v>
      </c>
      <c r="D209" s="61" t="s">
        <v>1298</v>
      </c>
      <c r="E209" s="11" t="s">
        <v>29</v>
      </c>
      <c r="H209" s="50"/>
    </row>
    <row r="210">
      <c r="A210" s="48">
        <v>0.5819444444444445</v>
      </c>
      <c r="B210" s="61" t="s">
        <v>84</v>
      </c>
      <c r="C210" s="57" t="s">
        <v>19</v>
      </c>
      <c r="D210" s="61" t="s">
        <v>88</v>
      </c>
      <c r="E210" s="11" t="s">
        <v>33</v>
      </c>
    </row>
    <row r="211">
      <c r="A211" s="48">
        <v>0.5923611111111111</v>
      </c>
      <c r="B211" s="61" t="s">
        <v>1298</v>
      </c>
      <c r="C211" s="57" t="s">
        <v>20</v>
      </c>
      <c r="D211" s="61" t="s">
        <v>84</v>
      </c>
      <c r="E211" s="11" t="s">
        <v>29</v>
      </c>
    </row>
    <row r="212">
      <c r="A212" s="48">
        <v>0.5923611111111111</v>
      </c>
      <c r="B212" s="61" t="s">
        <v>1299</v>
      </c>
      <c r="C212" s="57" t="s">
        <v>24</v>
      </c>
      <c r="D212" s="61" t="s">
        <v>629</v>
      </c>
      <c r="E212" s="11" t="s">
        <v>33</v>
      </c>
    </row>
    <row r="213">
      <c r="A213" s="48">
        <v>0.6027777777777777</v>
      </c>
      <c r="B213" s="61" t="s">
        <v>1298</v>
      </c>
      <c r="C213" s="45" t="s">
        <v>43</v>
      </c>
      <c r="D213" s="61" t="s">
        <v>629</v>
      </c>
      <c r="E213" s="11" t="s">
        <v>29</v>
      </c>
    </row>
    <row r="214">
      <c r="A214" s="48">
        <v>0.6027777777777777</v>
      </c>
      <c r="B214" s="61" t="s">
        <v>1299</v>
      </c>
      <c r="C214" s="45" t="s">
        <v>786</v>
      </c>
      <c r="D214" s="61" t="s">
        <v>88</v>
      </c>
      <c r="E214" s="11" t="s">
        <v>33</v>
      </c>
    </row>
    <row r="215">
      <c r="A215" s="48">
        <v>0.6125</v>
      </c>
      <c r="B215" s="61" t="s">
        <v>629</v>
      </c>
      <c r="C215" s="45" t="s">
        <v>244</v>
      </c>
      <c r="D215" s="61" t="s">
        <v>88</v>
      </c>
      <c r="E215" s="11" t="s">
        <v>29</v>
      </c>
    </row>
    <row r="216">
      <c r="A216" s="48">
        <v>0.6125</v>
      </c>
      <c r="B216" s="61" t="s">
        <v>84</v>
      </c>
      <c r="C216" s="45" t="s">
        <v>208</v>
      </c>
      <c r="D216" s="61" t="s">
        <v>1299</v>
      </c>
      <c r="E216" s="11" t="s">
        <v>33</v>
      </c>
    </row>
    <row r="217">
      <c r="A217" s="48">
        <v>0.6229166666666667</v>
      </c>
      <c r="B217" s="61" t="s">
        <v>1298</v>
      </c>
      <c r="C217" s="45" t="s">
        <v>279</v>
      </c>
      <c r="D217" s="61" t="s">
        <v>88</v>
      </c>
      <c r="E217" s="11" t="s">
        <v>29</v>
      </c>
    </row>
    <row r="218">
      <c r="A218" s="48">
        <v>0.6229166666666667</v>
      </c>
      <c r="B218" s="61" t="s">
        <v>629</v>
      </c>
      <c r="C218" s="45" t="s">
        <v>162</v>
      </c>
      <c r="D218" s="61" t="s">
        <v>84</v>
      </c>
      <c r="E218" s="11" t="s">
        <v>33</v>
      </c>
    </row>
    <row r="219">
      <c r="A219" s="48">
        <v>0.6333333333333333</v>
      </c>
      <c r="B219" s="61" t="s">
        <v>1298</v>
      </c>
      <c r="C219" s="45" t="s">
        <v>20</v>
      </c>
      <c r="D219" s="61" t="s">
        <v>1299</v>
      </c>
      <c r="E219" s="11" t="s">
        <v>29</v>
      </c>
    </row>
    <row r="220">
      <c r="A220" s="48">
        <v>0.6333333333333333</v>
      </c>
      <c r="B220" s="61" t="s">
        <v>88</v>
      </c>
      <c r="C220" s="45" t="s">
        <v>250</v>
      </c>
      <c r="D220" s="61" t="s">
        <v>84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660</v>
      </c>
      <c r="C223" s="57" t="s">
        <v>162</v>
      </c>
      <c r="D223" s="62" t="s">
        <v>1300</v>
      </c>
      <c r="E223" s="11" t="s">
        <v>9</v>
      </c>
    </row>
    <row r="224">
      <c r="A224" s="48">
        <v>0.6458333333333334</v>
      </c>
      <c r="B224" s="62" t="s">
        <v>423</v>
      </c>
      <c r="C224" s="57" t="s">
        <v>404</v>
      </c>
      <c r="D224" s="62" t="s">
        <v>950</v>
      </c>
      <c r="E224" s="11" t="s">
        <v>13</v>
      </c>
    </row>
    <row r="225">
      <c r="A225" s="48">
        <v>0.6555555555555556</v>
      </c>
      <c r="B225" s="62" t="s">
        <v>423</v>
      </c>
      <c r="C225" s="57" t="s">
        <v>162</v>
      </c>
      <c r="D225" s="62" t="s">
        <v>1300</v>
      </c>
      <c r="E225" s="11" t="s">
        <v>9</v>
      </c>
    </row>
    <row r="226">
      <c r="A226" s="48">
        <v>0.6555555555555556</v>
      </c>
      <c r="B226" s="62" t="s">
        <v>1301</v>
      </c>
      <c r="C226" s="57" t="s">
        <v>155</v>
      </c>
      <c r="D226" s="62" t="s">
        <v>950</v>
      </c>
      <c r="E226" s="11" t="s">
        <v>13</v>
      </c>
    </row>
    <row r="227">
      <c r="A227" s="48">
        <v>0.6659722222222222</v>
      </c>
      <c r="B227" s="62" t="s">
        <v>1301</v>
      </c>
      <c r="C227" s="57" t="s">
        <v>17</v>
      </c>
      <c r="D227" s="62" t="s">
        <v>423</v>
      </c>
      <c r="E227" s="11" t="s">
        <v>9</v>
      </c>
    </row>
    <row r="228">
      <c r="A228" s="48">
        <v>0.6659722222222222</v>
      </c>
      <c r="B228" s="62" t="s">
        <v>950</v>
      </c>
      <c r="C228" s="57" t="s">
        <v>251</v>
      </c>
      <c r="D228" s="62" t="s">
        <v>660</v>
      </c>
      <c r="E228" s="11" t="s">
        <v>13</v>
      </c>
    </row>
    <row r="229">
      <c r="A229" s="48">
        <v>0.6763888888888889</v>
      </c>
      <c r="B229" s="62" t="s">
        <v>1301</v>
      </c>
      <c r="C229" s="57" t="s">
        <v>158</v>
      </c>
      <c r="D229" s="62" t="s">
        <v>1300</v>
      </c>
      <c r="E229" s="11" t="s">
        <v>9</v>
      </c>
    </row>
    <row r="230">
      <c r="A230" s="48">
        <v>0.6763888888888889</v>
      </c>
      <c r="B230" s="62" t="s">
        <v>660</v>
      </c>
      <c r="C230" s="57" t="s">
        <v>554</v>
      </c>
      <c r="D230" s="62" t="s">
        <v>423</v>
      </c>
      <c r="E230" s="11" t="s">
        <v>13</v>
      </c>
    </row>
    <row r="231">
      <c r="A231" s="48">
        <v>0.6861111111111111</v>
      </c>
      <c r="B231" s="62" t="s">
        <v>950</v>
      </c>
      <c r="C231" s="57" t="s">
        <v>195</v>
      </c>
      <c r="D231" s="62" t="s">
        <v>1300</v>
      </c>
      <c r="E231" s="11" t="s">
        <v>9</v>
      </c>
    </row>
    <row r="232">
      <c r="A232" s="48">
        <v>0.6861111111111111</v>
      </c>
      <c r="B232" s="62" t="s">
        <v>660</v>
      </c>
      <c r="C232" s="57" t="s">
        <v>208</v>
      </c>
      <c r="D232" s="62" t="s">
        <v>1301</v>
      </c>
      <c r="E232" s="11" t="s">
        <v>13</v>
      </c>
    </row>
    <row r="233">
      <c r="A233" s="48">
        <v>0.6965277777777777</v>
      </c>
      <c r="B233" s="62" t="s">
        <v>1300</v>
      </c>
      <c r="C233" s="57" t="s">
        <v>173</v>
      </c>
      <c r="D233" s="62" t="s">
        <v>660</v>
      </c>
      <c r="E233" s="11" t="s">
        <v>9</v>
      </c>
    </row>
    <row r="234">
      <c r="A234" s="48">
        <v>0.6965277777777777</v>
      </c>
      <c r="B234" s="62" t="s">
        <v>950</v>
      </c>
      <c r="C234" s="57" t="s">
        <v>18</v>
      </c>
      <c r="D234" s="62" t="s">
        <v>423</v>
      </c>
      <c r="E234" s="11" t="s">
        <v>13</v>
      </c>
    </row>
    <row r="235">
      <c r="A235" s="48">
        <v>0.7069444444444445</v>
      </c>
      <c r="B235" s="62" t="s">
        <v>1300</v>
      </c>
      <c r="C235" s="45" t="s">
        <v>7</v>
      </c>
      <c r="D235" s="62" t="s">
        <v>423</v>
      </c>
      <c r="E235" s="11" t="s">
        <v>9</v>
      </c>
    </row>
    <row r="236">
      <c r="A236" s="48">
        <v>0.7069444444444445</v>
      </c>
      <c r="B236" s="62" t="s">
        <v>950</v>
      </c>
      <c r="C236" s="45" t="s">
        <v>344</v>
      </c>
      <c r="D236" s="62" t="s">
        <v>1301</v>
      </c>
      <c r="E236" s="11" t="s">
        <v>13</v>
      </c>
    </row>
    <row r="237">
      <c r="A237" s="48">
        <v>0.7166666666666667</v>
      </c>
      <c r="B237" s="62" t="s">
        <v>423</v>
      </c>
      <c r="C237" s="45" t="s">
        <v>181</v>
      </c>
      <c r="D237" s="62" t="s">
        <v>1301</v>
      </c>
      <c r="E237" s="11" t="s">
        <v>9</v>
      </c>
    </row>
    <row r="238">
      <c r="A238" s="48">
        <v>0.7166666666666667</v>
      </c>
      <c r="B238" s="62" t="s">
        <v>660</v>
      </c>
      <c r="C238" s="45" t="s">
        <v>24</v>
      </c>
      <c r="D238" s="62" t="s">
        <v>950</v>
      </c>
      <c r="E238" s="11" t="s">
        <v>13</v>
      </c>
    </row>
    <row r="239">
      <c r="A239" s="48">
        <v>0.7270833333333333</v>
      </c>
      <c r="B239" s="62" t="s">
        <v>1300</v>
      </c>
      <c r="C239" s="45" t="s">
        <v>162</v>
      </c>
      <c r="D239" s="62" t="s">
        <v>1301</v>
      </c>
      <c r="E239" s="11" t="s">
        <v>9</v>
      </c>
    </row>
    <row r="240">
      <c r="A240" s="48">
        <v>0.7270833333333333</v>
      </c>
      <c r="B240" s="62" t="s">
        <v>423</v>
      </c>
      <c r="C240" s="45" t="s">
        <v>18</v>
      </c>
      <c r="D240" s="62" t="s">
        <v>660</v>
      </c>
      <c r="E240" s="11" t="s">
        <v>13</v>
      </c>
    </row>
    <row r="241">
      <c r="A241" s="48">
        <v>0.7375</v>
      </c>
      <c r="B241" s="62" t="s">
        <v>1300</v>
      </c>
      <c r="C241" s="45" t="s">
        <v>17</v>
      </c>
      <c r="D241" s="62" t="s">
        <v>950</v>
      </c>
      <c r="E241" s="11" t="s">
        <v>9</v>
      </c>
    </row>
    <row r="242">
      <c r="A242" s="48">
        <v>0.7375</v>
      </c>
      <c r="B242" s="62" t="s">
        <v>1301</v>
      </c>
      <c r="C242" s="45" t="s">
        <v>248</v>
      </c>
      <c r="D242" s="62" t="s">
        <v>660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1302</v>
      </c>
      <c r="C245" s="57" t="s">
        <v>43</v>
      </c>
      <c r="D245" s="62" t="s">
        <v>1303</v>
      </c>
      <c r="E245" s="11" t="s">
        <v>29</v>
      </c>
    </row>
    <row r="246">
      <c r="A246" s="48">
        <v>0.6458333333333334</v>
      </c>
      <c r="B246" s="62" t="s">
        <v>1304</v>
      </c>
      <c r="C246" s="57" t="s">
        <v>23</v>
      </c>
      <c r="D246" s="62" t="s">
        <v>1305</v>
      </c>
      <c r="E246" s="11" t="s">
        <v>33</v>
      </c>
    </row>
    <row r="247">
      <c r="A247" s="48">
        <v>0.6555555555555556</v>
      </c>
      <c r="B247" s="62" t="s">
        <v>1304</v>
      </c>
      <c r="C247" s="57" t="s">
        <v>218</v>
      </c>
      <c r="D247" s="62" t="s">
        <v>1303</v>
      </c>
      <c r="E247" s="11" t="s">
        <v>29</v>
      </c>
    </row>
    <row r="248">
      <c r="A248" s="48">
        <v>0.6555555555555556</v>
      </c>
      <c r="B248" s="62" t="s">
        <v>1093</v>
      </c>
      <c r="C248" s="57" t="s">
        <v>24</v>
      </c>
      <c r="D248" s="62" t="s">
        <v>1305</v>
      </c>
      <c r="E248" s="11" t="s">
        <v>33</v>
      </c>
    </row>
    <row r="249">
      <c r="A249" s="48">
        <v>0.6659722222222222</v>
      </c>
      <c r="B249" s="62" t="s">
        <v>1093</v>
      </c>
      <c r="C249" s="57" t="s">
        <v>19</v>
      </c>
      <c r="D249" s="62" t="s">
        <v>1304</v>
      </c>
      <c r="E249" s="11" t="s">
        <v>29</v>
      </c>
    </row>
    <row r="250">
      <c r="A250" s="48">
        <v>0.6659722222222222</v>
      </c>
      <c r="B250" s="62" t="s">
        <v>1305</v>
      </c>
      <c r="C250" s="57" t="s">
        <v>16</v>
      </c>
      <c r="D250" s="62" t="s">
        <v>1302</v>
      </c>
      <c r="E250" s="11" t="s">
        <v>33</v>
      </c>
    </row>
    <row r="251">
      <c r="A251" s="48">
        <v>0.6763888888888889</v>
      </c>
      <c r="B251" s="62" t="s">
        <v>1093</v>
      </c>
      <c r="C251" s="57" t="s">
        <v>207</v>
      </c>
      <c r="D251" s="62" t="s">
        <v>1303</v>
      </c>
      <c r="E251" s="11" t="s">
        <v>29</v>
      </c>
    </row>
    <row r="252">
      <c r="A252" s="48">
        <v>0.6763888888888889</v>
      </c>
      <c r="B252" s="62" t="s">
        <v>1302</v>
      </c>
      <c r="C252" s="57" t="s">
        <v>194</v>
      </c>
      <c r="D252" s="62" t="s">
        <v>1304</v>
      </c>
      <c r="E252" s="11" t="s">
        <v>33</v>
      </c>
    </row>
    <row r="253">
      <c r="A253" s="48">
        <v>0.6861111111111111</v>
      </c>
      <c r="B253" s="62" t="s">
        <v>1305</v>
      </c>
      <c r="C253" s="57" t="s">
        <v>211</v>
      </c>
      <c r="D253" s="62" t="s">
        <v>1303</v>
      </c>
      <c r="E253" s="11" t="s">
        <v>29</v>
      </c>
    </row>
    <row r="254">
      <c r="A254" s="48">
        <v>0.6861111111111111</v>
      </c>
      <c r="B254" s="62" t="s">
        <v>1302</v>
      </c>
      <c r="C254" s="57" t="s">
        <v>376</v>
      </c>
      <c r="D254" s="62" t="s">
        <v>1093</v>
      </c>
      <c r="E254" s="11" t="s">
        <v>33</v>
      </c>
    </row>
    <row r="255">
      <c r="A255" s="48">
        <v>0.6965277777777777</v>
      </c>
      <c r="B255" s="62" t="s">
        <v>1303</v>
      </c>
      <c r="C255" s="57" t="s">
        <v>210</v>
      </c>
      <c r="D255" s="62" t="s">
        <v>1302</v>
      </c>
      <c r="E255" s="11" t="s">
        <v>29</v>
      </c>
    </row>
    <row r="256">
      <c r="A256" s="48">
        <v>0.6965277777777777</v>
      </c>
      <c r="B256" s="62" t="s">
        <v>1305</v>
      </c>
      <c r="C256" s="57" t="s">
        <v>163</v>
      </c>
      <c r="D256" s="62" t="s">
        <v>1304</v>
      </c>
      <c r="E256" s="11" t="s">
        <v>33</v>
      </c>
    </row>
    <row r="257">
      <c r="A257" s="48">
        <v>0.7069444444444445</v>
      </c>
      <c r="B257" s="62" t="s">
        <v>1303</v>
      </c>
      <c r="C257" s="57" t="s">
        <v>251</v>
      </c>
      <c r="D257" s="62" t="s">
        <v>1304</v>
      </c>
      <c r="E257" s="11" t="s">
        <v>29</v>
      </c>
    </row>
    <row r="258">
      <c r="A258" s="48">
        <v>0.7069444444444445</v>
      </c>
      <c r="B258" s="62" t="s">
        <v>1305</v>
      </c>
      <c r="C258" s="57" t="s">
        <v>231</v>
      </c>
      <c r="D258" s="62" t="s">
        <v>1093</v>
      </c>
      <c r="E258" s="11" t="s">
        <v>33</v>
      </c>
    </row>
    <row r="259">
      <c r="A259" s="48">
        <v>0.7166666666666667</v>
      </c>
      <c r="B259" s="62" t="s">
        <v>1304</v>
      </c>
      <c r="C259" s="57" t="s">
        <v>1226</v>
      </c>
      <c r="D259" s="62" t="s">
        <v>1093</v>
      </c>
      <c r="E259" s="11" t="s">
        <v>29</v>
      </c>
    </row>
    <row r="260">
      <c r="A260" s="48">
        <v>0.7166666666666667</v>
      </c>
      <c r="B260" s="62" t="s">
        <v>1302</v>
      </c>
      <c r="C260" s="57" t="s">
        <v>279</v>
      </c>
      <c r="D260" s="62" t="s">
        <v>1305</v>
      </c>
      <c r="E260" s="11" t="s">
        <v>33</v>
      </c>
    </row>
    <row r="261">
      <c r="A261" s="48">
        <v>0.7270833333333333</v>
      </c>
      <c r="B261" s="62" t="s">
        <v>1303</v>
      </c>
      <c r="C261" s="57" t="s">
        <v>291</v>
      </c>
      <c r="D261" s="62" t="s">
        <v>1093</v>
      </c>
      <c r="E261" s="11" t="s">
        <v>29</v>
      </c>
    </row>
    <row r="262">
      <c r="A262" s="48">
        <v>0.7270833333333333</v>
      </c>
      <c r="B262" s="62" t="s">
        <v>1304</v>
      </c>
      <c r="C262" s="57" t="s">
        <v>1153</v>
      </c>
      <c r="D262" s="62" t="s">
        <v>1302</v>
      </c>
      <c r="E262" s="11" t="s">
        <v>33</v>
      </c>
    </row>
    <row r="263">
      <c r="A263" s="48">
        <v>0.7375</v>
      </c>
      <c r="B263" s="62" t="s">
        <v>1303</v>
      </c>
      <c r="C263" s="57" t="s">
        <v>20</v>
      </c>
      <c r="D263" s="62" t="s">
        <v>1305</v>
      </c>
      <c r="E263" s="11" t="s">
        <v>29</v>
      </c>
    </row>
    <row r="264">
      <c r="A264" s="48">
        <v>0.7375</v>
      </c>
      <c r="B264" s="62" t="s">
        <v>1093</v>
      </c>
      <c r="C264" s="57" t="s">
        <v>195</v>
      </c>
      <c r="D264" s="62" t="s">
        <v>1302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1038</v>
      </c>
      <c r="C267" s="77" t="s">
        <v>18</v>
      </c>
      <c r="D267" s="62" t="s">
        <v>1306</v>
      </c>
      <c r="E267" s="11" t="s">
        <v>9</v>
      </c>
    </row>
    <row r="268">
      <c r="A268" s="48">
        <v>0.75</v>
      </c>
      <c r="B268" s="62" t="s">
        <v>1307</v>
      </c>
      <c r="C268" s="54" t="s">
        <v>203</v>
      </c>
      <c r="D268" s="62" t="s">
        <v>1308</v>
      </c>
      <c r="E268" s="11" t="s">
        <v>13</v>
      </c>
    </row>
    <row r="269">
      <c r="A269" s="48">
        <v>0.7597222222222222</v>
      </c>
      <c r="B269" s="62" t="s">
        <v>1307</v>
      </c>
      <c r="C269" s="45" t="s">
        <v>24</v>
      </c>
      <c r="D269" s="62" t="s">
        <v>1306</v>
      </c>
      <c r="E269" s="11" t="s">
        <v>9</v>
      </c>
    </row>
    <row r="270">
      <c r="A270" s="48">
        <v>0.7597222222222222</v>
      </c>
      <c r="B270" s="62" t="s">
        <v>1309</v>
      </c>
      <c r="C270" s="45" t="s">
        <v>227</v>
      </c>
      <c r="D270" s="62" t="s">
        <v>1308</v>
      </c>
      <c r="E270" s="11" t="s">
        <v>13</v>
      </c>
    </row>
    <row r="271">
      <c r="A271" s="48">
        <v>0.7701388888888889</v>
      </c>
      <c r="B271" s="62" t="s">
        <v>1309</v>
      </c>
      <c r="C271" s="45" t="s">
        <v>173</v>
      </c>
      <c r="D271" s="62" t="s">
        <v>1307</v>
      </c>
      <c r="E271" s="11" t="s">
        <v>9</v>
      </c>
    </row>
    <row r="272">
      <c r="A272" s="48">
        <v>0.7701388888888889</v>
      </c>
      <c r="B272" s="62" t="s">
        <v>1308</v>
      </c>
      <c r="C272" s="45" t="s">
        <v>181</v>
      </c>
      <c r="D272" s="62" t="s">
        <v>1038</v>
      </c>
      <c r="E272" s="11" t="s">
        <v>13</v>
      </c>
    </row>
    <row r="273">
      <c r="A273" s="48">
        <v>0.7805555555555556</v>
      </c>
      <c r="B273" s="62" t="s">
        <v>1309</v>
      </c>
      <c r="C273" s="45" t="s">
        <v>17</v>
      </c>
      <c r="D273" s="62" t="s">
        <v>1306</v>
      </c>
      <c r="E273" s="11" t="s">
        <v>9</v>
      </c>
    </row>
    <row r="274">
      <c r="A274" s="48">
        <v>0.7805555555555556</v>
      </c>
      <c r="B274" s="62" t="s">
        <v>1038</v>
      </c>
      <c r="C274" s="45" t="s">
        <v>158</v>
      </c>
      <c r="D274" s="62" t="s">
        <v>1307</v>
      </c>
      <c r="E274" s="11" t="s">
        <v>13</v>
      </c>
    </row>
    <row r="275">
      <c r="A275" s="48">
        <v>0.7902777777777777</v>
      </c>
      <c r="B275" s="62" t="s">
        <v>1308</v>
      </c>
      <c r="C275" s="45" t="s">
        <v>160</v>
      </c>
      <c r="D275" s="62" t="s">
        <v>1306</v>
      </c>
      <c r="E275" s="11" t="s">
        <v>9</v>
      </c>
    </row>
    <row r="276">
      <c r="A276" s="48">
        <v>0.7902777777777777</v>
      </c>
      <c r="B276" s="62" t="s">
        <v>1038</v>
      </c>
      <c r="C276" s="45" t="s">
        <v>166</v>
      </c>
      <c r="D276" s="62" t="s">
        <v>1309</v>
      </c>
      <c r="E276" s="11" t="s">
        <v>13</v>
      </c>
    </row>
    <row r="277">
      <c r="A277" s="48">
        <v>0.8006944444444445</v>
      </c>
      <c r="B277" s="62" t="s">
        <v>1306</v>
      </c>
      <c r="C277" s="45" t="s">
        <v>203</v>
      </c>
      <c r="D277" s="62" t="s">
        <v>1038</v>
      </c>
      <c r="E277" s="11" t="s">
        <v>9</v>
      </c>
    </row>
    <row r="278">
      <c r="A278" s="48">
        <v>0.8006944444444445</v>
      </c>
      <c r="B278" s="62" t="s">
        <v>1308</v>
      </c>
      <c r="C278" s="45" t="s">
        <v>173</v>
      </c>
      <c r="D278" s="62" t="s">
        <v>1307</v>
      </c>
      <c r="E278" s="11" t="s">
        <v>13</v>
      </c>
    </row>
    <row r="279">
      <c r="A279" s="48">
        <v>0.8111111111111111</v>
      </c>
      <c r="B279" s="62" t="s">
        <v>1306</v>
      </c>
      <c r="C279" s="45" t="s">
        <v>23</v>
      </c>
      <c r="D279" s="62" t="s">
        <v>1307</v>
      </c>
      <c r="E279" s="11" t="s">
        <v>9</v>
      </c>
    </row>
    <row r="280">
      <c r="A280" s="48">
        <v>0.8111111111111111</v>
      </c>
      <c r="B280" s="62" t="s">
        <v>1308</v>
      </c>
      <c r="C280" s="45" t="s">
        <v>43</v>
      </c>
      <c r="D280" s="62" t="s">
        <v>1309</v>
      </c>
      <c r="E280" s="11" t="s">
        <v>13</v>
      </c>
    </row>
    <row r="281">
      <c r="A281" s="48">
        <v>0.8208333333333333</v>
      </c>
      <c r="B281" s="62" t="s">
        <v>1307</v>
      </c>
      <c r="C281" s="45" t="s">
        <v>163</v>
      </c>
      <c r="D281" s="62" t="s">
        <v>1309</v>
      </c>
      <c r="E281" s="11" t="s">
        <v>9</v>
      </c>
    </row>
    <row r="282">
      <c r="A282" s="48">
        <v>0.8208333333333333</v>
      </c>
      <c r="B282" s="62" t="s">
        <v>1038</v>
      </c>
      <c r="C282" s="45" t="s">
        <v>193</v>
      </c>
      <c r="D282" s="62" t="s">
        <v>1308</v>
      </c>
      <c r="E282" s="11" t="s">
        <v>13</v>
      </c>
    </row>
    <row r="283">
      <c r="A283" s="48">
        <v>0.83125</v>
      </c>
      <c r="B283" s="62" t="s">
        <v>1306</v>
      </c>
      <c r="C283" s="45" t="s">
        <v>158</v>
      </c>
      <c r="D283" s="62" t="s">
        <v>1309</v>
      </c>
      <c r="E283" s="11" t="s">
        <v>9</v>
      </c>
    </row>
    <row r="284">
      <c r="A284" s="48">
        <v>0.83125</v>
      </c>
      <c r="B284" s="62" t="s">
        <v>1307</v>
      </c>
      <c r="C284" s="45" t="s">
        <v>193</v>
      </c>
      <c r="D284" s="62" t="s">
        <v>1038</v>
      </c>
      <c r="E284" s="11" t="s">
        <v>13</v>
      </c>
    </row>
    <row r="285">
      <c r="A285" s="48">
        <v>0.8416666666666667</v>
      </c>
      <c r="B285" s="62" t="s">
        <v>1306</v>
      </c>
      <c r="C285" s="45" t="s">
        <v>24</v>
      </c>
      <c r="D285" s="62" t="s">
        <v>1308</v>
      </c>
      <c r="E285" s="11" t="s">
        <v>9</v>
      </c>
    </row>
    <row r="286">
      <c r="A286" s="48">
        <v>0.8416666666666667</v>
      </c>
      <c r="B286" s="62" t="s">
        <v>1309</v>
      </c>
      <c r="C286" s="45" t="s">
        <v>432</v>
      </c>
      <c r="D286" s="62" t="s">
        <v>1038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1310</v>
      </c>
      <c r="C289" s="57" t="s">
        <v>16</v>
      </c>
      <c r="D289" s="62" t="s">
        <v>1311</v>
      </c>
      <c r="E289" s="11" t="s">
        <v>29</v>
      </c>
    </row>
    <row r="290">
      <c r="A290" s="48">
        <v>0.75</v>
      </c>
      <c r="B290" s="62" t="s">
        <v>561</v>
      </c>
      <c r="C290" s="57" t="s">
        <v>220</v>
      </c>
      <c r="D290" s="62" t="s">
        <v>960</v>
      </c>
      <c r="E290" s="11" t="s">
        <v>33</v>
      </c>
    </row>
    <row r="291">
      <c r="A291" s="48">
        <v>0.7597222222222222</v>
      </c>
      <c r="B291" s="62" t="s">
        <v>561</v>
      </c>
      <c r="C291" s="57" t="s">
        <v>210</v>
      </c>
      <c r="D291" s="62" t="s">
        <v>1311</v>
      </c>
      <c r="E291" s="11" t="s">
        <v>29</v>
      </c>
    </row>
    <row r="292">
      <c r="A292" s="48">
        <v>0.7597222222222222</v>
      </c>
      <c r="B292" s="62" t="s">
        <v>1101</v>
      </c>
      <c r="C292" s="57" t="s">
        <v>324</v>
      </c>
      <c r="D292" s="62" t="s">
        <v>960</v>
      </c>
      <c r="E292" s="11" t="s">
        <v>33</v>
      </c>
    </row>
    <row r="293">
      <c r="A293" s="48">
        <v>0.7701388888888889</v>
      </c>
      <c r="B293" s="62" t="s">
        <v>1101</v>
      </c>
      <c r="C293" s="57" t="s">
        <v>19</v>
      </c>
      <c r="D293" s="62" t="s">
        <v>561</v>
      </c>
      <c r="E293" s="11" t="s">
        <v>29</v>
      </c>
    </row>
    <row r="294">
      <c r="A294" s="48">
        <v>0.7701388888888889</v>
      </c>
      <c r="B294" s="62" t="s">
        <v>960</v>
      </c>
      <c r="C294" s="57" t="s">
        <v>790</v>
      </c>
      <c r="D294" s="62" t="s">
        <v>1310</v>
      </c>
      <c r="E294" s="11" t="s">
        <v>33</v>
      </c>
    </row>
    <row r="295">
      <c r="A295" s="48">
        <v>0.7805555555555556</v>
      </c>
      <c r="B295" s="62" t="s">
        <v>1101</v>
      </c>
      <c r="C295" s="57" t="s">
        <v>440</v>
      </c>
      <c r="D295" s="62" t="s">
        <v>1311</v>
      </c>
      <c r="E295" s="11" t="s">
        <v>29</v>
      </c>
    </row>
    <row r="296">
      <c r="A296" s="48">
        <v>0.7805555555555556</v>
      </c>
      <c r="B296" s="62" t="s">
        <v>1310</v>
      </c>
      <c r="C296" s="57" t="s">
        <v>464</v>
      </c>
      <c r="D296" s="62" t="s">
        <v>561</v>
      </c>
      <c r="E296" s="11" t="s">
        <v>33</v>
      </c>
    </row>
    <row r="297">
      <c r="A297" s="48">
        <v>0.7902777777777777</v>
      </c>
      <c r="B297" s="62" t="s">
        <v>960</v>
      </c>
      <c r="C297" s="57" t="s">
        <v>210</v>
      </c>
      <c r="D297" s="62" t="s">
        <v>1311</v>
      </c>
      <c r="E297" s="11" t="s">
        <v>29</v>
      </c>
    </row>
    <row r="298">
      <c r="A298" s="48">
        <v>0.7902777777777777</v>
      </c>
      <c r="B298" s="62" t="s">
        <v>1310</v>
      </c>
      <c r="C298" s="57" t="s">
        <v>7</v>
      </c>
      <c r="D298" s="62" t="s">
        <v>1101</v>
      </c>
      <c r="E298" s="11" t="s">
        <v>33</v>
      </c>
    </row>
    <row r="299">
      <c r="A299" s="48">
        <v>0.8006944444444445</v>
      </c>
      <c r="B299" s="62" t="s">
        <v>1311</v>
      </c>
      <c r="C299" s="57" t="s">
        <v>336</v>
      </c>
      <c r="D299" s="62" t="s">
        <v>1310</v>
      </c>
      <c r="E299" s="11" t="s">
        <v>29</v>
      </c>
    </row>
    <row r="300">
      <c r="A300" s="48">
        <v>0.8006944444444445</v>
      </c>
      <c r="B300" s="62" t="s">
        <v>960</v>
      </c>
      <c r="C300" s="57" t="s">
        <v>163</v>
      </c>
      <c r="D300" s="62" t="s">
        <v>561</v>
      </c>
      <c r="E300" s="11" t="s">
        <v>33</v>
      </c>
    </row>
    <row r="301">
      <c r="A301" s="48">
        <v>0.8111111111111111</v>
      </c>
      <c r="B301" s="62" t="s">
        <v>1311</v>
      </c>
      <c r="C301" s="57" t="s">
        <v>17</v>
      </c>
      <c r="D301" s="62" t="s">
        <v>561</v>
      </c>
      <c r="E301" s="11" t="s">
        <v>29</v>
      </c>
    </row>
    <row r="302">
      <c r="A302" s="48">
        <v>0.8111111111111111</v>
      </c>
      <c r="B302" s="62" t="s">
        <v>960</v>
      </c>
      <c r="C302" s="57" t="s">
        <v>164</v>
      </c>
      <c r="D302" s="62" t="s">
        <v>1101</v>
      </c>
      <c r="E302" s="11" t="s">
        <v>33</v>
      </c>
    </row>
    <row r="303">
      <c r="A303" s="48">
        <v>0.8208333333333333</v>
      </c>
      <c r="B303" s="62" t="s">
        <v>561</v>
      </c>
      <c r="C303" s="57" t="s">
        <v>20</v>
      </c>
      <c r="D303" s="62" t="s">
        <v>1101</v>
      </c>
      <c r="E303" s="11" t="s">
        <v>29</v>
      </c>
    </row>
    <row r="304">
      <c r="A304" s="48">
        <v>0.8208333333333333</v>
      </c>
      <c r="B304" s="62" t="s">
        <v>1310</v>
      </c>
      <c r="C304" s="57" t="s">
        <v>18</v>
      </c>
      <c r="D304" s="62" t="s">
        <v>960</v>
      </c>
      <c r="E304" s="11" t="s">
        <v>33</v>
      </c>
    </row>
    <row r="305">
      <c r="A305" s="48">
        <v>0.83125</v>
      </c>
      <c r="B305" s="62" t="s">
        <v>1311</v>
      </c>
      <c r="C305" s="57" t="s">
        <v>185</v>
      </c>
      <c r="D305" s="62" t="s">
        <v>1101</v>
      </c>
      <c r="E305" s="11" t="s">
        <v>29</v>
      </c>
    </row>
    <row r="306">
      <c r="A306" s="48">
        <v>0.83125</v>
      </c>
      <c r="B306" s="62" t="s">
        <v>561</v>
      </c>
      <c r="C306" s="57" t="s">
        <v>207</v>
      </c>
      <c r="D306" s="62" t="s">
        <v>1310</v>
      </c>
      <c r="E306" s="11" t="s">
        <v>33</v>
      </c>
    </row>
    <row r="307">
      <c r="A307" s="48">
        <v>0.8416666666666667</v>
      </c>
      <c r="B307" s="62" t="s">
        <v>1311</v>
      </c>
      <c r="C307" s="57" t="s">
        <v>279</v>
      </c>
      <c r="D307" s="62" t="s">
        <v>960</v>
      </c>
      <c r="E307" s="11" t="s">
        <v>29</v>
      </c>
      <c r="H307" s="50"/>
    </row>
    <row r="308">
      <c r="A308" s="48">
        <v>0.8416666666666667</v>
      </c>
      <c r="B308" s="62" t="s">
        <v>1101</v>
      </c>
      <c r="C308" s="57" t="s">
        <v>477</v>
      </c>
      <c r="D308" s="62" t="s">
        <v>1310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1256</v>
      </c>
      <c r="C311" s="57" t="s">
        <v>425</v>
      </c>
      <c r="D311" s="62" t="s">
        <v>1312</v>
      </c>
      <c r="E311" s="11" t="s">
        <v>9</v>
      </c>
    </row>
    <row r="312">
      <c r="A312" s="48">
        <v>0.8541666666666666</v>
      </c>
      <c r="B312" s="62" t="s">
        <v>794</v>
      </c>
      <c r="C312" s="57" t="s">
        <v>158</v>
      </c>
      <c r="D312" s="62" t="s">
        <v>975</v>
      </c>
      <c r="E312" s="11" t="s">
        <v>13</v>
      </c>
    </row>
    <row r="313">
      <c r="A313" s="48">
        <v>0.8638888888888889</v>
      </c>
      <c r="B313" s="62" t="s">
        <v>794</v>
      </c>
      <c r="C313" s="57" t="s">
        <v>158</v>
      </c>
      <c r="D313" s="62" t="s">
        <v>1312</v>
      </c>
      <c r="E313" s="11" t="s">
        <v>9</v>
      </c>
    </row>
    <row r="314">
      <c r="A314" s="48">
        <v>0.8638888888888889</v>
      </c>
      <c r="B314" s="62" t="s">
        <v>1313</v>
      </c>
      <c r="C314" s="57" t="s">
        <v>334</v>
      </c>
      <c r="D314" s="62" t="s">
        <v>975</v>
      </c>
      <c r="E314" s="11" t="s">
        <v>13</v>
      </c>
    </row>
    <row r="315">
      <c r="A315" s="48">
        <v>0.8743055555555556</v>
      </c>
      <c r="B315" s="62" t="s">
        <v>1313</v>
      </c>
      <c r="C315" s="57" t="s">
        <v>19</v>
      </c>
      <c r="D315" s="62" t="s">
        <v>794</v>
      </c>
      <c r="E315" s="11" t="s">
        <v>9</v>
      </c>
    </row>
    <row r="316">
      <c r="A316" s="48">
        <v>0.8743055555555556</v>
      </c>
      <c r="B316" s="62" t="s">
        <v>975</v>
      </c>
      <c r="C316" s="57" t="s">
        <v>316</v>
      </c>
      <c r="D316" s="62" t="s">
        <v>1256</v>
      </c>
      <c r="E316" s="11" t="s">
        <v>13</v>
      </c>
    </row>
    <row r="317">
      <c r="A317" s="48">
        <v>0.8847222222222222</v>
      </c>
      <c r="B317" s="62" t="s">
        <v>1313</v>
      </c>
      <c r="C317" s="57" t="s">
        <v>16</v>
      </c>
      <c r="D317" s="62" t="s">
        <v>1312</v>
      </c>
      <c r="E317" s="11" t="s">
        <v>9</v>
      </c>
    </row>
    <row r="318">
      <c r="A318" s="48">
        <v>0.8847222222222222</v>
      </c>
      <c r="B318" s="62" t="s">
        <v>1256</v>
      </c>
      <c r="C318" s="57" t="s">
        <v>239</v>
      </c>
      <c r="D318" s="62" t="s">
        <v>794</v>
      </c>
      <c r="E318" s="11" t="s">
        <v>13</v>
      </c>
    </row>
    <row r="319">
      <c r="A319" s="48">
        <v>0.8944444444444445</v>
      </c>
      <c r="B319" s="62" t="s">
        <v>975</v>
      </c>
      <c r="C319" s="57" t="s">
        <v>1314</v>
      </c>
      <c r="D319" s="62" t="s">
        <v>1312</v>
      </c>
      <c r="E319" s="11" t="s">
        <v>9</v>
      </c>
    </row>
    <row r="320">
      <c r="A320" s="48">
        <v>0.8944444444444445</v>
      </c>
      <c r="B320" s="62" t="s">
        <v>1256</v>
      </c>
      <c r="C320" s="57" t="s">
        <v>24</v>
      </c>
      <c r="D320" s="62" t="s">
        <v>1313</v>
      </c>
      <c r="E320" s="11" t="s">
        <v>13</v>
      </c>
    </row>
    <row r="321">
      <c r="A321" s="48">
        <v>0.9048611111111111</v>
      </c>
      <c r="B321" s="62" t="s">
        <v>1312</v>
      </c>
      <c r="C321" s="57" t="s">
        <v>208</v>
      </c>
      <c r="D321" s="62" t="s">
        <v>1256</v>
      </c>
      <c r="E321" s="11" t="s">
        <v>9</v>
      </c>
    </row>
    <row r="322">
      <c r="A322" s="48">
        <v>0.9048611111111111</v>
      </c>
      <c r="B322" s="62" t="s">
        <v>975</v>
      </c>
      <c r="C322" s="57" t="s">
        <v>830</v>
      </c>
      <c r="D322" s="62" t="s">
        <v>794</v>
      </c>
      <c r="E322" s="11" t="s">
        <v>13</v>
      </c>
    </row>
    <row r="323">
      <c r="A323" s="48">
        <v>0.9152777777777777</v>
      </c>
      <c r="B323" s="62" t="s">
        <v>1312</v>
      </c>
      <c r="C323" s="45" t="s">
        <v>155</v>
      </c>
      <c r="D323" s="62" t="s">
        <v>794</v>
      </c>
      <c r="E323" s="11" t="s">
        <v>9</v>
      </c>
    </row>
    <row r="324">
      <c r="A324" s="48">
        <v>0.9152777777777777</v>
      </c>
      <c r="B324" s="62" t="s">
        <v>975</v>
      </c>
      <c r="C324" s="45" t="s">
        <v>36</v>
      </c>
      <c r="D324" s="62" t="s">
        <v>1313</v>
      </c>
      <c r="E324" s="11" t="s">
        <v>13</v>
      </c>
    </row>
    <row r="325">
      <c r="A325" s="48">
        <v>0.925</v>
      </c>
      <c r="B325" s="62" t="s">
        <v>794</v>
      </c>
      <c r="C325" s="45" t="s">
        <v>302</v>
      </c>
      <c r="D325" s="62" t="s">
        <v>1313</v>
      </c>
      <c r="E325" s="11" t="s">
        <v>9</v>
      </c>
    </row>
    <row r="326">
      <c r="A326" s="48">
        <v>0.925</v>
      </c>
      <c r="B326" s="62" t="s">
        <v>1256</v>
      </c>
      <c r="C326" s="45" t="s">
        <v>1315</v>
      </c>
      <c r="D326" s="62" t="s">
        <v>975</v>
      </c>
      <c r="E326" s="11" t="s">
        <v>13</v>
      </c>
    </row>
    <row r="327">
      <c r="A327" s="48">
        <v>0.9354166666666667</v>
      </c>
      <c r="B327" s="62" t="s">
        <v>1312</v>
      </c>
      <c r="C327" s="45" t="s">
        <v>18</v>
      </c>
      <c r="D327" s="62" t="s">
        <v>1313</v>
      </c>
      <c r="E327" s="11" t="s">
        <v>9</v>
      </c>
    </row>
    <row r="328">
      <c r="A328" s="48">
        <v>0.9354166666666667</v>
      </c>
      <c r="B328" s="62" t="s">
        <v>794</v>
      </c>
      <c r="C328" s="45" t="s">
        <v>258</v>
      </c>
      <c r="D328" s="62" t="s">
        <v>1256</v>
      </c>
      <c r="E328" s="11" t="s">
        <v>13</v>
      </c>
    </row>
    <row r="329">
      <c r="A329" s="48">
        <v>0.9458333333333333</v>
      </c>
      <c r="B329" s="62" t="s">
        <v>1312</v>
      </c>
      <c r="C329" s="45" t="s">
        <v>640</v>
      </c>
      <c r="D329" s="62" t="s">
        <v>975</v>
      </c>
      <c r="E329" s="11" t="s">
        <v>9</v>
      </c>
    </row>
    <row r="330">
      <c r="A330" s="48">
        <v>0.9458333333333333</v>
      </c>
      <c r="B330" s="62" t="s">
        <v>1313</v>
      </c>
      <c r="C330" s="45" t="s">
        <v>1316</v>
      </c>
      <c r="D330" s="62" t="s">
        <v>1256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1317</v>
      </c>
      <c r="C333" s="57" t="s">
        <v>271</v>
      </c>
      <c r="D333" s="62" t="s">
        <v>1318</v>
      </c>
      <c r="E333" s="11" t="s">
        <v>29</v>
      </c>
    </row>
    <row r="334">
      <c r="A334" s="48">
        <v>0.8541666666666666</v>
      </c>
      <c r="B334" s="62" t="s">
        <v>1319</v>
      </c>
      <c r="C334" s="57" t="s">
        <v>657</v>
      </c>
      <c r="D334" s="62" t="s">
        <v>889</v>
      </c>
      <c r="E334" s="11" t="s">
        <v>33</v>
      </c>
    </row>
    <row r="335">
      <c r="A335" s="48">
        <v>0.8638888888888889</v>
      </c>
      <c r="B335" s="62" t="s">
        <v>1319</v>
      </c>
      <c r="C335" s="57" t="s">
        <v>574</v>
      </c>
      <c r="D335" s="62" t="s">
        <v>1318</v>
      </c>
      <c r="E335" s="11" t="s">
        <v>29</v>
      </c>
    </row>
    <row r="336">
      <c r="A336" s="48">
        <v>0.8638888888888889</v>
      </c>
      <c r="B336" s="62" t="s">
        <v>1320</v>
      </c>
      <c r="C336" s="57" t="s">
        <v>256</v>
      </c>
      <c r="D336" s="62" t="s">
        <v>889</v>
      </c>
      <c r="E336" s="11" t="s">
        <v>33</v>
      </c>
    </row>
    <row r="337">
      <c r="A337" s="48">
        <v>0.8743055555555556</v>
      </c>
      <c r="B337" s="62" t="s">
        <v>1320</v>
      </c>
      <c r="C337" s="57" t="s">
        <v>239</v>
      </c>
      <c r="D337" s="62" t="s">
        <v>1319</v>
      </c>
      <c r="E337" s="11" t="s">
        <v>29</v>
      </c>
    </row>
    <row r="338">
      <c r="A338" s="48">
        <v>0.8743055555555556</v>
      </c>
      <c r="B338" s="62" t="s">
        <v>889</v>
      </c>
      <c r="C338" s="57" t="s">
        <v>357</v>
      </c>
      <c r="D338" s="62" t="s">
        <v>1317</v>
      </c>
      <c r="E338" s="11" t="s">
        <v>33</v>
      </c>
    </row>
    <row r="339">
      <c r="A339" s="48">
        <v>0.8847222222222222</v>
      </c>
      <c r="B339" s="62" t="s">
        <v>1320</v>
      </c>
      <c r="C339" s="57" t="s">
        <v>163</v>
      </c>
      <c r="D339" s="62" t="s">
        <v>1318</v>
      </c>
      <c r="E339" s="11" t="s">
        <v>29</v>
      </c>
    </row>
    <row r="340">
      <c r="A340" s="48">
        <v>0.8847222222222222</v>
      </c>
      <c r="B340" s="62" t="s">
        <v>1317</v>
      </c>
      <c r="C340" s="57" t="s">
        <v>713</v>
      </c>
      <c r="D340" s="62" t="s">
        <v>1319</v>
      </c>
      <c r="E340" s="11" t="s">
        <v>33</v>
      </c>
    </row>
    <row r="341">
      <c r="A341" s="48">
        <v>0.8944444444444445</v>
      </c>
      <c r="B341" s="62" t="s">
        <v>889</v>
      </c>
      <c r="C341" s="57" t="s">
        <v>576</v>
      </c>
      <c r="D341" s="62" t="s">
        <v>1318</v>
      </c>
      <c r="E341" s="11" t="s">
        <v>29</v>
      </c>
    </row>
    <row r="342">
      <c r="A342" s="48">
        <v>0.8944444444444445</v>
      </c>
      <c r="B342" s="62" t="s">
        <v>1317</v>
      </c>
      <c r="C342" s="57" t="s">
        <v>225</v>
      </c>
      <c r="D342" s="62" t="s">
        <v>1320</v>
      </c>
      <c r="E342" s="11" t="s">
        <v>33</v>
      </c>
    </row>
    <row r="343">
      <c r="A343" s="48">
        <v>0.9048611111111111</v>
      </c>
      <c r="B343" s="62" t="s">
        <v>1318</v>
      </c>
      <c r="C343" s="57" t="s">
        <v>352</v>
      </c>
      <c r="D343" s="62" t="s">
        <v>1317</v>
      </c>
      <c r="E343" s="11" t="s">
        <v>29</v>
      </c>
    </row>
    <row r="344">
      <c r="A344" s="48">
        <v>0.9048611111111111</v>
      </c>
      <c r="B344" s="62" t="s">
        <v>889</v>
      </c>
      <c r="C344" s="57" t="s">
        <v>1321</v>
      </c>
      <c r="D344" s="62" t="s">
        <v>1319</v>
      </c>
      <c r="E344" s="11" t="s">
        <v>33</v>
      </c>
    </row>
    <row r="345">
      <c r="A345" s="48">
        <v>0.9152777777777777</v>
      </c>
      <c r="B345" s="62" t="s">
        <v>1318</v>
      </c>
      <c r="C345" s="57" t="s">
        <v>594</v>
      </c>
      <c r="D345" s="62" t="s">
        <v>1319</v>
      </c>
      <c r="E345" s="11" t="s">
        <v>29</v>
      </c>
    </row>
    <row r="346">
      <c r="A346" s="48">
        <v>0.9152777777777777</v>
      </c>
      <c r="B346" s="62" t="s">
        <v>889</v>
      </c>
      <c r="C346" s="57" t="s">
        <v>362</v>
      </c>
      <c r="D346" s="62" t="s">
        <v>1320</v>
      </c>
      <c r="E346" s="11" t="s">
        <v>33</v>
      </c>
    </row>
    <row r="347">
      <c r="A347" s="48">
        <v>0.925</v>
      </c>
      <c r="B347" s="62" t="s">
        <v>1319</v>
      </c>
      <c r="C347" s="57" t="s">
        <v>334</v>
      </c>
      <c r="D347" s="62" t="s">
        <v>1320</v>
      </c>
      <c r="E347" s="11" t="s">
        <v>29</v>
      </c>
    </row>
    <row r="348">
      <c r="A348" s="48">
        <v>0.925</v>
      </c>
      <c r="B348" s="62" t="s">
        <v>1317</v>
      </c>
      <c r="C348" s="57" t="s">
        <v>289</v>
      </c>
      <c r="D348" s="62" t="s">
        <v>889</v>
      </c>
      <c r="E348" s="11" t="s">
        <v>33</v>
      </c>
    </row>
    <row r="349">
      <c r="A349" s="48">
        <v>0.9354166666666667</v>
      </c>
      <c r="B349" s="62" t="s">
        <v>1318</v>
      </c>
      <c r="C349" s="57" t="s">
        <v>336</v>
      </c>
      <c r="D349" s="62" t="s">
        <v>1320</v>
      </c>
      <c r="E349" s="11" t="s">
        <v>29</v>
      </c>
    </row>
    <row r="350">
      <c r="A350" s="48">
        <v>0.9354166666666667</v>
      </c>
      <c r="B350" s="62" t="s">
        <v>1319</v>
      </c>
      <c r="C350" s="57" t="s">
        <v>209</v>
      </c>
      <c r="D350" s="62" t="s">
        <v>1317</v>
      </c>
      <c r="E350" s="11" t="s">
        <v>33</v>
      </c>
    </row>
    <row r="351">
      <c r="A351" s="48">
        <v>0.9458333333333333</v>
      </c>
      <c r="B351" s="62" t="s">
        <v>1318</v>
      </c>
      <c r="C351" s="57" t="s">
        <v>159</v>
      </c>
      <c r="D351" s="62" t="s">
        <v>889</v>
      </c>
      <c r="E351" s="11" t="s">
        <v>29</v>
      </c>
    </row>
    <row r="352">
      <c r="A352" s="48">
        <v>0.9458333333333333</v>
      </c>
      <c r="B352" s="62" t="s">
        <v>1320</v>
      </c>
      <c r="C352" s="57" t="s">
        <v>433</v>
      </c>
      <c r="D352" s="62" t="s">
        <v>1317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1267</v>
      </c>
      <c r="C355" s="45" t="s">
        <v>17</v>
      </c>
      <c r="D355" s="62" t="s">
        <v>1268</v>
      </c>
      <c r="E355" s="11" t="s">
        <v>9</v>
      </c>
    </row>
    <row r="356">
      <c r="A356" s="48">
        <v>0.9583333333333334</v>
      </c>
      <c r="B356" s="62" t="s">
        <v>125</v>
      </c>
      <c r="C356" s="45" t="s">
        <v>158</v>
      </c>
      <c r="D356" s="62" t="s">
        <v>1322</v>
      </c>
      <c r="E356" s="11" t="s">
        <v>13</v>
      </c>
    </row>
    <row r="357">
      <c r="A357" s="48">
        <v>0.9680555555555556</v>
      </c>
      <c r="B357" s="62" t="s">
        <v>125</v>
      </c>
      <c r="C357" s="45" t="s">
        <v>688</v>
      </c>
      <c r="D357" s="62" t="s">
        <v>1268</v>
      </c>
      <c r="E357" s="11" t="s">
        <v>9</v>
      </c>
    </row>
    <row r="358">
      <c r="A358" s="48">
        <v>0.9680555555555556</v>
      </c>
      <c r="B358" s="62" t="s">
        <v>588</v>
      </c>
      <c r="C358" s="45" t="s">
        <v>209</v>
      </c>
      <c r="D358" s="62" t="s">
        <v>1322</v>
      </c>
      <c r="E358" s="11" t="s">
        <v>13</v>
      </c>
    </row>
    <row r="359">
      <c r="A359" s="48">
        <v>0.9784722222222222</v>
      </c>
      <c r="B359" s="62" t="s">
        <v>588</v>
      </c>
      <c r="C359" s="45" t="s">
        <v>426</v>
      </c>
      <c r="D359" s="62" t="s">
        <v>125</v>
      </c>
      <c r="E359" s="11" t="s">
        <v>9</v>
      </c>
    </row>
    <row r="360">
      <c r="A360" s="48">
        <v>0.9784722222222222</v>
      </c>
      <c r="B360" s="62" t="s">
        <v>1322</v>
      </c>
      <c r="C360" s="45" t="s">
        <v>231</v>
      </c>
      <c r="D360" s="62" t="s">
        <v>1267</v>
      </c>
      <c r="E360" s="11" t="s">
        <v>13</v>
      </c>
    </row>
    <row r="361">
      <c r="A361" s="48">
        <v>0.9888888888888889</v>
      </c>
      <c r="B361" s="62" t="s">
        <v>588</v>
      </c>
      <c r="C361" s="45" t="s">
        <v>41</v>
      </c>
      <c r="D361" s="62" t="s">
        <v>1268</v>
      </c>
      <c r="E361" s="11" t="s">
        <v>9</v>
      </c>
    </row>
    <row r="362">
      <c r="A362" s="48">
        <v>0.9888888888888889</v>
      </c>
      <c r="B362" s="62" t="s">
        <v>1267</v>
      </c>
      <c r="C362" s="45" t="s">
        <v>279</v>
      </c>
      <c r="D362" s="62" t="s">
        <v>125</v>
      </c>
      <c r="E362" s="11" t="s">
        <v>13</v>
      </c>
    </row>
    <row r="363">
      <c r="A363" s="48">
        <v>0.9986111111111111</v>
      </c>
      <c r="B363" s="62" t="s">
        <v>1322</v>
      </c>
      <c r="C363" s="45" t="s">
        <v>162</v>
      </c>
      <c r="D363" s="62" t="s">
        <v>1268</v>
      </c>
      <c r="E363" s="11" t="s">
        <v>9</v>
      </c>
    </row>
    <row r="364">
      <c r="A364" s="48">
        <v>0.9986111111111111</v>
      </c>
      <c r="B364" s="62" t="s">
        <v>1267</v>
      </c>
      <c r="C364" s="45" t="s">
        <v>219</v>
      </c>
      <c r="D364" s="62" t="s">
        <v>588</v>
      </c>
      <c r="E364" s="11" t="s">
        <v>13</v>
      </c>
    </row>
    <row r="365">
      <c r="A365" s="48">
        <v>0.009027777777777777</v>
      </c>
      <c r="B365" s="62" t="s">
        <v>1268</v>
      </c>
      <c r="C365" s="45" t="s">
        <v>158</v>
      </c>
      <c r="D365" s="62" t="s">
        <v>1267</v>
      </c>
      <c r="E365" s="11" t="s">
        <v>9</v>
      </c>
    </row>
    <row r="366">
      <c r="A366" s="48">
        <v>0.009027777777777777</v>
      </c>
      <c r="B366" s="62" t="s">
        <v>1322</v>
      </c>
      <c r="C366" s="45" t="s">
        <v>366</v>
      </c>
      <c r="D366" s="62" t="s">
        <v>125</v>
      </c>
      <c r="E366" s="11" t="s">
        <v>13</v>
      </c>
    </row>
    <row r="367">
      <c r="A367" s="48">
        <v>0.019444444444444445</v>
      </c>
      <c r="B367" s="62" t="s">
        <v>1268</v>
      </c>
      <c r="C367" s="45" t="s">
        <v>164</v>
      </c>
      <c r="D367" s="62" t="s">
        <v>125</v>
      </c>
      <c r="E367" s="11" t="s">
        <v>9</v>
      </c>
    </row>
    <row r="368">
      <c r="A368" s="48">
        <v>0.019444444444444445</v>
      </c>
      <c r="B368" s="62" t="s">
        <v>1322</v>
      </c>
      <c r="C368" s="45" t="s">
        <v>18</v>
      </c>
      <c r="D368" s="62" t="s">
        <v>588</v>
      </c>
      <c r="E368" s="11" t="s">
        <v>13</v>
      </c>
    </row>
    <row r="369">
      <c r="A369" s="48">
        <v>0.029166666666666667</v>
      </c>
      <c r="B369" s="62" t="s">
        <v>125</v>
      </c>
      <c r="C369" s="45" t="s">
        <v>193</v>
      </c>
      <c r="D369" s="62" t="s">
        <v>588</v>
      </c>
      <c r="E369" s="11" t="s">
        <v>9</v>
      </c>
    </row>
    <row r="370">
      <c r="A370" s="48">
        <v>0.029166666666666667</v>
      </c>
      <c r="B370" s="62" t="s">
        <v>1267</v>
      </c>
      <c r="C370" s="45" t="s">
        <v>248</v>
      </c>
      <c r="D370" s="62" t="s">
        <v>1322</v>
      </c>
      <c r="E370" s="11" t="s">
        <v>13</v>
      </c>
    </row>
    <row r="371">
      <c r="A371" s="48">
        <v>0.03958333333333333</v>
      </c>
      <c r="B371" s="62" t="s">
        <v>1268</v>
      </c>
      <c r="C371" s="45" t="s">
        <v>185</v>
      </c>
      <c r="D371" s="62" t="s">
        <v>588</v>
      </c>
      <c r="E371" s="11" t="s">
        <v>9</v>
      </c>
    </row>
    <row r="372">
      <c r="A372" s="48">
        <v>0.03958333333333333</v>
      </c>
      <c r="B372" s="62" t="s">
        <v>125</v>
      </c>
      <c r="C372" s="45" t="s">
        <v>20</v>
      </c>
      <c r="D372" s="62" t="s">
        <v>1267</v>
      </c>
      <c r="E372" s="11" t="s">
        <v>13</v>
      </c>
    </row>
    <row r="373">
      <c r="A373" s="48">
        <v>0.05</v>
      </c>
      <c r="B373" s="62" t="s">
        <v>1268</v>
      </c>
      <c r="C373" s="45" t="s">
        <v>17</v>
      </c>
      <c r="D373" s="62" t="s">
        <v>1322</v>
      </c>
      <c r="E373" s="11" t="s">
        <v>9</v>
      </c>
    </row>
    <row r="374">
      <c r="A374" s="48">
        <v>0.05</v>
      </c>
      <c r="B374" s="62" t="s">
        <v>588</v>
      </c>
      <c r="C374" s="45" t="s">
        <v>225</v>
      </c>
      <c r="D374" s="62" t="s">
        <v>1267</v>
      </c>
      <c r="E374" s="11" t="s">
        <v>13</v>
      </c>
    </row>
    <row r="375"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600</v>
      </c>
      <c r="C377" s="57" t="s">
        <v>290</v>
      </c>
      <c r="D377" s="62" t="s">
        <v>473</v>
      </c>
      <c r="E377" s="11" t="s">
        <v>29</v>
      </c>
    </row>
    <row r="378">
      <c r="A378" s="48">
        <v>0.9583333333333334</v>
      </c>
      <c r="B378" s="62" t="s">
        <v>1323</v>
      </c>
      <c r="C378" s="57" t="s">
        <v>657</v>
      </c>
      <c r="D378" s="62" t="s">
        <v>259</v>
      </c>
      <c r="E378" s="11" t="s">
        <v>33</v>
      </c>
    </row>
    <row r="379">
      <c r="A379" s="48">
        <v>0.9680555555555556</v>
      </c>
      <c r="B379" s="62" t="s">
        <v>1323</v>
      </c>
      <c r="C379" s="57" t="s">
        <v>289</v>
      </c>
      <c r="D379" s="62" t="s">
        <v>473</v>
      </c>
      <c r="E379" s="11" t="s">
        <v>29</v>
      </c>
    </row>
    <row r="380">
      <c r="A380" s="48">
        <v>0.9680555555555556</v>
      </c>
      <c r="B380" s="62" t="s">
        <v>1324</v>
      </c>
      <c r="C380" s="57" t="s">
        <v>203</v>
      </c>
      <c r="D380" s="62" t="s">
        <v>259</v>
      </c>
      <c r="E380" s="11" t="s">
        <v>33</v>
      </c>
    </row>
    <row r="381">
      <c r="A381" s="48">
        <v>0.9784722222222222</v>
      </c>
      <c r="B381" s="62" t="s">
        <v>1324</v>
      </c>
      <c r="C381" s="57" t="s">
        <v>290</v>
      </c>
      <c r="D381" s="62" t="s">
        <v>1323</v>
      </c>
      <c r="E381" s="11" t="s">
        <v>29</v>
      </c>
    </row>
    <row r="382">
      <c r="A382" s="48">
        <v>0.9784722222222222</v>
      </c>
      <c r="B382" s="62" t="s">
        <v>259</v>
      </c>
      <c r="C382" s="57" t="s">
        <v>549</v>
      </c>
      <c r="D382" s="62" t="s">
        <v>600</v>
      </c>
      <c r="E382" s="11" t="s">
        <v>33</v>
      </c>
    </row>
    <row r="383">
      <c r="A383" s="48">
        <v>0.9888888888888889</v>
      </c>
      <c r="B383" s="62" t="s">
        <v>1324</v>
      </c>
      <c r="C383" s="57" t="s">
        <v>193</v>
      </c>
      <c r="D383" s="62" t="s">
        <v>473</v>
      </c>
      <c r="E383" s="11" t="s">
        <v>29</v>
      </c>
    </row>
    <row r="384">
      <c r="A384" s="48">
        <v>0.9888888888888889</v>
      </c>
      <c r="B384" s="62" t="s">
        <v>600</v>
      </c>
      <c r="C384" s="57" t="s">
        <v>210</v>
      </c>
      <c r="D384" s="62" t="s">
        <v>1323</v>
      </c>
      <c r="E384" s="11" t="s">
        <v>33</v>
      </c>
    </row>
    <row r="385">
      <c r="A385" s="48">
        <v>0.9986111111111111</v>
      </c>
      <c r="B385" s="62" t="s">
        <v>259</v>
      </c>
      <c r="C385" s="57" t="s">
        <v>640</v>
      </c>
      <c r="D385" s="62" t="s">
        <v>473</v>
      </c>
      <c r="E385" s="11" t="s">
        <v>29</v>
      </c>
    </row>
    <row r="386">
      <c r="A386" s="48">
        <v>0.9986111111111111</v>
      </c>
      <c r="B386" s="62" t="s">
        <v>600</v>
      </c>
      <c r="C386" s="57" t="s">
        <v>193</v>
      </c>
      <c r="D386" s="62" t="s">
        <v>1324</v>
      </c>
      <c r="E386" s="11" t="s">
        <v>33</v>
      </c>
    </row>
    <row r="387">
      <c r="A387" s="48">
        <v>0.009027777777777777</v>
      </c>
      <c r="B387" s="62" t="s">
        <v>473</v>
      </c>
      <c r="C387" s="57" t="s">
        <v>19</v>
      </c>
      <c r="D387" s="62" t="s">
        <v>600</v>
      </c>
      <c r="E387" s="11" t="s">
        <v>29</v>
      </c>
    </row>
    <row r="388">
      <c r="A388" s="48">
        <v>0.009027777777777777</v>
      </c>
      <c r="B388" s="62" t="s">
        <v>259</v>
      </c>
      <c r="C388" s="57" t="s">
        <v>209</v>
      </c>
      <c r="D388" s="62" t="s">
        <v>1323</v>
      </c>
      <c r="E388" s="11" t="s">
        <v>33</v>
      </c>
    </row>
    <row r="389">
      <c r="A389" s="48">
        <v>0.019444444444444445</v>
      </c>
      <c r="B389" s="62" t="s">
        <v>473</v>
      </c>
      <c r="C389" s="57" t="s">
        <v>442</v>
      </c>
      <c r="D389" s="62" t="s">
        <v>1323</v>
      </c>
      <c r="E389" s="11" t="s">
        <v>29</v>
      </c>
    </row>
    <row r="390">
      <c r="A390" s="48">
        <v>0.019444444444444445</v>
      </c>
      <c r="B390" s="62" t="s">
        <v>259</v>
      </c>
      <c r="C390" s="57" t="s">
        <v>41</v>
      </c>
      <c r="D390" s="62" t="s">
        <v>1324</v>
      </c>
      <c r="E390" s="11" t="s">
        <v>33</v>
      </c>
    </row>
    <row r="391">
      <c r="A391" s="48">
        <v>0.029166666666666667</v>
      </c>
      <c r="B391" s="62" t="s">
        <v>1323</v>
      </c>
      <c r="C391" s="57" t="s">
        <v>17</v>
      </c>
      <c r="D391" s="62" t="s">
        <v>1324</v>
      </c>
      <c r="E391" s="11" t="s">
        <v>29</v>
      </c>
    </row>
    <row r="392">
      <c r="A392" s="48">
        <v>0.029166666666666667</v>
      </c>
      <c r="B392" s="62" t="s">
        <v>600</v>
      </c>
      <c r="C392" s="57" t="s">
        <v>155</v>
      </c>
      <c r="D392" s="62" t="s">
        <v>259</v>
      </c>
      <c r="E392" s="11" t="s">
        <v>33</v>
      </c>
    </row>
    <row r="393">
      <c r="A393" s="48">
        <v>0.03958333333333333</v>
      </c>
      <c r="B393" s="62" t="s">
        <v>473</v>
      </c>
      <c r="C393" s="57" t="s">
        <v>219</v>
      </c>
      <c r="D393" s="62" t="s">
        <v>1324</v>
      </c>
      <c r="E393" s="11" t="s">
        <v>29</v>
      </c>
    </row>
    <row r="394">
      <c r="A394" s="48">
        <v>0.03958333333333333</v>
      </c>
      <c r="B394" s="62" t="s">
        <v>1323</v>
      </c>
      <c r="C394" s="57" t="s">
        <v>187</v>
      </c>
      <c r="D394" s="62" t="s">
        <v>600</v>
      </c>
      <c r="E394" s="11" t="s">
        <v>33</v>
      </c>
    </row>
    <row r="395">
      <c r="A395" s="48">
        <v>0.05</v>
      </c>
      <c r="B395" s="62" t="s">
        <v>473</v>
      </c>
      <c r="C395" s="57" t="s">
        <v>302</v>
      </c>
      <c r="D395" s="62" t="s">
        <v>259</v>
      </c>
      <c r="E395" s="11" t="s">
        <v>29</v>
      </c>
    </row>
    <row r="396">
      <c r="A396" s="48">
        <v>0.05</v>
      </c>
      <c r="B396" s="62" t="s">
        <v>1324</v>
      </c>
      <c r="C396" s="57" t="s">
        <v>718</v>
      </c>
      <c r="D396" s="62" t="s">
        <v>600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53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48">
        <v>0.0625</v>
      </c>
      <c r="B3" s="61" t="s">
        <v>1325</v>
      </c>
      <c r="C3" s="57" t="s">
        <v>162</v>
      </c>
      <c r="D3" s="62" t="s">
        <v>1326</v>
      </c>
      <c r="E3" s="11" t="s">
        <v>9</v>
      </c>
    </row>
    <row r="4">
      <c r="A4" s="48">
        <v>0.0625</v>
      </c>
      <c r="B4" s="61" t="s">
        <v>135</v>
      </c>
      <c r="C4" s="57" t="s">
        <v>177</v>
      </c>
      <c r="D4" s="61" t="s">
        <v>1327</v>
      </c>
      <c r="E4" s="11" t="s">
        <v>13</v>
      </c>
    </row>
    <row r="5">
      <c r="A5" s="48">
        <v>0.07222222222222222</v>
      </c>
      <c r="B5" s="62" t="s">
        <v>135</v>
      </c>
      <c r="C5" s="57" t="s">
        <v>218</v>
      </c>
      <c r="D5" s="61" t="s">
        <v>1326</v>
      </c>
      <c r="E5" s="11" t="s">
        <v>9</v>
      </c>
    </row>
    <row r="6">
      <c r="A6" s="48">
        <v>0.07222222222222222</v>
      </c>
      <c r="B6" s="61" t="s">
        <v>133</v>
      </c>
      <c r="C6" s="57" t="s">
        <v>292</v>
      </c>
      <c r="D6" s="62" t="s">
        <v>1327</v>
      </c>
      <c r="E6" s="11" t="s">
        <v>13</v>
      </c>
    </row>
    <row r="7">
      <c r="A7" s="48">
        <v>0.08263888888888889</v>
      </c>
      <c r="B7" s="62" t="s">
        <v>133</v>
      </c>
      <c r="C7" s="57" t="s">
        <v>219</v>
      </c>
      <c r="D7" s="61" t="s">
        <v>135</v>
      </c>
      <c r="E7" s="11" t="s">
        <v>9</v>
      </c>
    </row>
    <row r="8">
      <c r="A8" s="48">
        <v>0.08263888888888889</v>
      </c>
      <c r="B8" s="61" t="s">
        <v>1327</v>
      </c>
      <c r="C8" s="57" t="s">
        <v>155</v>
      </c>
      <c r="D8" s="61" t="s">
        <v>1325</v>
      </c>
      <c r="E8" s="11" t="s">
        <v>13</v>
      </c>
    </row>
    <row r="9">
      <c r="A9" s="48">
        <v>0.09305555555555556</v>
      </c>
      <c r="B9" s="62" t="s">
        <v>133</v>
      </c>
      <c r="C9" s="57" t="s">
        <v>380</v>
      </c>
      <c r="D9" s="62" t="s">
        <v>1326</v>
      </c>
      <c r="E9" s="11" t="s">
        <v>9</v>
      </c>
    </row>
    <row r="10">
      <c r="A10" s="48">
        <v>0.09305555555555556</v>
      </c>
      <c r="B10" s="61" t="s">
        <v>1325</v>
      </c>
      <c r="C10" s="57" t="s">
        <v>1328</v>
      </c>
      <c r="D10" s="61" t="s">
        <v>135</v>
      </c>
      <c r="E10" s="11" t="s">
        <v>13</v>
      </c>
      <c r="G10" s="78"/>
    </row>
    <row r="11">
      <c r="A11" s="48">
        <v>0.10277777777777777</v>
      </c>
      <c r="B11" s="62" t="s">
        <v>1327</v>
      </c>
      <c r="C11" s="57" t="s">
        <v>161</v>
      </c>
      <c r="D11" s="61" t="s">
        <v>1326</v>
      </c>
      <c r="E11" s="11" t="s">
        <v>9</v>
      </c>
    </row>
    <row r="12">
      <c r="A12" s="48">
        <v>0.10277777777777777</v>
      </c>
      <c r="B12" s="61" t="s">
        <v>1325</v>
      </c>
      <c r="C12" s="57" t="s">
        <v>158</v>
      </c>
      <c r="D12" s="62" t="s">
        <v>133</v>
      </c>
      <c r="E12" s="11" t="s">
        <v>13</v>
      </c>
    </row>
    <row r="13">
      <c r="A13" s="48">
        <v>0.11319444444444444</v>
      </c>
      <c r="B13" s="62" t="s">
        <v>1326</v>
      </c>
      <c r="C13" s="57" t="s">
        <v>250</v>
      </c>
      <c r="D13" s="61" t="s">
        <v>1325</v>
      </c>
      <c r="E13" s="11" t="s">
        <v>9</v>
      </c>
    </row>
    <row r="14">
      <c r="A14" s="48">
        <v>0.11319444444444444</v>
      </c>
      <c r="B14" s="61" t="s">
        <v>1327</v>
      </c>
      <c r="C14" s="57" t="s">
        <v>7</v>
      </c>
      <c r="D14" s="61" t="s">
        <v>135</v>
      </c>
      <c r="E14" s="11" t="s">
        <v>13</v>
      </c>
    </row>
    <row r="15">
      <c r="A15" s="48">
        <v>0.12361111111111112</v>
      </c>
      <c r="B15" s="61" t="s">
        <v>1326</v>
      </c>
      <c r="C15" s="45" t="s">
        <v>278</v>
      </c>
      <c r="D15" s="62" t="s">
        <v>135</v>
      </c>
      <c r="E15" s="11" t="s">
        <v>9</v>
      </c>
    </row>
    <row r="16">
      <c r="A16" s="48">
        <v>0.12361111111111112</v>
      </c>
      <c r="B16" s="62" t="s">
        <v>1327</v>
      </c>
      <c r="C16" s="45" t="s">
        <v>301</v>
      </c>
      <c r="D16" s="61" t="s">
        <v>133</v>
      </c>
      <c r="E16" s="11" t="s">
        <v>13</v>
      </c>
    </row>
    <row r="17">
      <c r="A17" s="48">
        <v>0.13333333333333333</v>
      </c>
      <c r="B17" s="61" t="s">
        <v>135</v>
      </c>
      <c r="C17" s="45" t="s">
        <v>882</v>
      </c>
      <c r="D17" s="62" t="s">
        <v>133</v>
      </c>
      <c r="E17" s="11" t="s">
        <v>9</v>
      </c>
    </row>
    <row r="18">
      <c r="A18" s="48">
        <v>0.13333333333333333</v>
      </c>
      <c r="B18" s="61" t="s">
        <v>1325</v>
      </c>
      <c r="C18" s="45" t="s">
        <v>43</v>
      </c>
      <c r="D18" s="61" t="s">
        <v>1327</v>
      </c>
      <c r="E18" s="11" t="s">
        <v>13</v>
      </c>
    </row>
    <row r="19">
      <c r="A19" s="48">
        <v>0.14375</v>
      </c>
      <c r="B19" s="62" t="s">
        <v>1326</v>
      </c>
      <c r="C19" s="45" t="s">
        <v>313</v>
      </c>
      <c r="D19" s="62" t="s">
        <v>133</v>
      </c>
      <c r="E19" s="11" t="s">
        <v>9</v>
      </c>
    </row>
    <row r="20">
      <c r="A20" s="48">
        <v>0.14375</v>
      </c>
      <c r="B20" s="61" t="s">
        <v>135</v>
      </c>
      <c r="C20" s="45" t="s">
        <v>195</v>
      </c>
      <c r="D20" s="61" t="s">
        <v>1325</v>
      </c>
      <c r="E20" s="11" t="s">
        <v>13</v>
      </c>
    </row>
    <row r="21">
      <c r="A21" s="48">
        <v>0.15416666666666667</v>
      </c>
      <c r="B21" s="61" t="s">
        <v>1326</v>
      </c>
      <c r="C21" s="45" t="s">
        <v>164</v>
      </c>
      <c r="D21" s="62" t="s">
        <v>1327</v>
      </c>
      <c r="E21" s="11" t="s">
        <v>9</v>
      </c>
    </row>
    <row r="22">
      <c r="A22" s="48">
        <v>0.15416666666666667</v>
      </c>
      <c r="B22" s="62" t="s">
        <v>133</v>
      </c>
      <c r="C22" s="45" t="s">
        <v>279</v>
      </c>
      <c r="D22" s="61" t="s">
        <v>1325</v>
      </c>
      <c r="E22" s="11" t="s">
        <v>13</v>
      </c>
    </row>
    <row r="23">
      <c r="A23" s="51"/>
      <c r="B23" s="1" t="s">
        <v>25</v>
      </c>
      <c r="C23" s="2"/>
      <c r="D23" s="3"/>
      <c r="E23" s="73"/>
    </row>
    <row r="24">
      <c r="A24" s="4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48">
        <v>0.0625</v>
      </c>
      <c r="B25" s="61" t="s">
        <v>1329</v>
      </c>
      <c r="C25" s="57" t="s">
        <v>14</v>
      </c>
      <c r="D25" s="61" t="s">
        <v>987</v>
      </c>
      <c r="E25" s="11" t="s">
        <v>29</v>
      </c>
    </row>
    <row r="26">
      <c r="A26" s="48">
        <v>0.0625</v>
      </c>
      <c r="B26" s="61" t="s">
        <v>167</v>
      </c>
      <c r="C26" s="57" t="s">
        <v>163</v>
      </c>
      <c r="D26" s="61" t="s">
        <v>172</v>
      </c>
      <c r="E26" s="11" t="s">
        <v>33</v>
      </c>
    </row>
    <row r="27">
      <c r="A27" s="48">
        <v>0.07222222222222222</v>
      </c>
      <c r="B27" s="62" t="s">
        <v>167</v>
      </c>
      <c r="C27" s="57" t="s">
        <v>194</v>
      </c>
      <c r="D27" s="62" t="s">
        <v>987</v>
      </c>
      <c r="E27" s="11" t="s">
        <v>29</v>
      </c>
    </row>
    <row r="28">
      <c r="A28" s="48">
        <v>0.07222222222222222</v>
      </c>
      <c r="B28" s="61" t="s">
        <v>174</v>
      </c>
      <c r="C28" s="57" t="s">
        <v>383</v>
      </c>
      <c r="D28" s="61" t="s">
        <v>172</v>
      </c>
      <c r="E28" s="11" t="s">
        <v>33</v>
      </c>
    </row>
    <row r="29">
      <c r="A29" s="48">
        <v>0.08263888888888889</v>
      </c>
      <c r="B29" s="62" t="s">
        <v>174</v>
      </c>
      <c r="C29" s="57" t="s">
        <v>176</v>
      </c>
      <c r="D29" s="61" t="s">
        <v>167</v>
      </c>
      <c r="E29" s="11" t="s">
        <v>29</v>
      </c>
    </row>
    <row r="30">
      <c r="A30" s="48">
        <v>0.08263888888888889</v>
      </c>
      <c r="B30" s="61" t="s">
        <v>172</v>
      </c>
      <c r="C30" s="57" t="s">
        <v>14</v>
      </c>
      <c r="D30" s="61" t="s">
        <v>1329</v>
      </c>
      <c r="E30" s="11" t="s">
        <v>33</v>
      </c>
    </row>
    <row r="31">
      <c r="A31" s="48">
        <v>0.09305555555555556</v>
      </c>
      <c r="B31" s="62" t="s">
        <v>174</v>
      </c>
      <c r="C31" s="57" t="s">
        <v>41</v>
      </c>
      <c r="D31" s="61" t="s">
        <v>987</v>
      </c>
      <c r="E31" s="11" t="s">
        <v>29</v>
      </c>
    </row>
    <row r="32">
      <c r="A32" s="48">
        <v>0.09305555555555556</v>
      </c>
      <c r="B32" s="61" t="s">
        <v>1329</v>
      </c>
      <c r="C32" s="57" t="s">
        <v>163</v>
      </c>
      <c r="D32" s="62" t="s">
        <v>167</v>
      </c>
      <c r="E32" s="11" t="s">
        <v>33</v>
      </c>
    </row>
    <row r="33">
      <c r="A33" s="48">
        <v>0.10277777777777777</v>
      </c>
      <c r="B33" s="61" t="s">
        <v>172</v>
      </c>
      <c r="C33" s="57" t="s">
        <v>357</v>
      </c>
      <c r="D33" s="61" t="s">
        <v>987</v>
      </c>
      <c r="E33" s="11" t="s">
        <v>29</v>
      </c>
    </row>
    <row r="34">
      <c r="A34" s="48">
        <v>0.10277777777777777</v>
      </c>
      <c r="B34" s="61" t="s">
        <v>1329</v>
      </c>
      <c r="C34" s="57" t="s">
        <v>352</v>
      </c>
      <c r="D34" s="61" t="s">
        <v>174</v>
      </c>
      <c r="E34" s="11" t="s">
        <v>33</v>
      </c>
    </row>
    <row r="35">
      <c r="A35" s="48">
        <v>0.11319444444444444</v>
      </c>
      <c r="B35" s="61" t="s">
        <v>987</v>
      </c>
      <c r="C35" s="57" t="s">
        <v>43</v>
      </c>
      <c r="D35" s="61" t="s">
        <v>1329</v>
      </c>
      <c r="E35" s="11" t="s">
        <v>29</v>
      </c>
    </row>
    <row r="36">
      <c r="A36" s="48">
        <v>0.11319444444444444</v>
      </c>
      <c r="B36" s="61" t="s">
        <v>172</v>
      </c>
      <c r="C36" s="57" t="s">
        <v>280</v>
      </c>
      <c r="D36" s="61" t="s">
        <v>167</v>
      </c>
      <c r="E36" s="11" t="s">
        <v>33</v>
      </c>
    </row>
    <row r="37">
      <c r="A37" s="48">
        <v>0.12361111111111112</v>
      </c>
      <c r="B37" s="62" t="s">
        <v>987</v>
      </c>
      <c r="C37" s="57" t="s">
        <v>173</v>
      </c>
      <c r="D37" s="62" t="s">
        <v>167</v>
      </c>
      <c r="E37" s="11" t="s">
        <v>29</v>
      </c>
    </row>
    <row r="38">
      <c r="A38" s="48">
        <v>0.12361111111111112</v>
      </c>
      <c r="B38" s="61" t="s">
        <v>172</v>
      </c>
      <c r="C38" s="57" t="s">
        <v>225</v>
      </c>
      <c r="D38" s="61" t="s">
        <v>174</v>
      </c>
      <c r="E38" s="11" t="s">
        <v>33</v>
      </c>
    </row>
    <row r="39">
      <c r="A39" s="48">
        <v>0.13333333333333333</v>
      </c>
      <c r="B39" s="61" t="s">
        <v>167</v>
      </c>
      <c r="C39" s="57" t="s">
        <v>1330</v>
      </c>
      <c r="D39" s="62" t="s">
        <v>174</v>
      </c>
      <c r="E39" s="11" t="s">
        <v>29</v>
      </c>
    </row>
    <row r="40">
      <c r="A40" s="48">
        <v>0.13333333333333333</v>
      </c>
      <c r="B40" s="61" t="s">
        <v>1329</v>
      </c>
      <c r="C40" s="57" t="s">
        <v>209</v>
      </c>
      <c r="D40" s="61" t="s">
        <v>172</v>
      </c>
      <c r="E40" s="11" t="s">
        <v>33</v>
      </c>
    </row>
    <row r="41">
      <c r="A41" s="48">
        <v>0.14375</v>
      </c>
      <c r="B41" s="61" t="s">
        <v>987</v>
      </c>
      <c r="C41" s="57" t="s">
        <v>344</v>
      </c>
      <c r="D41" s="62" t="s">
        <v>174</v>
      </c>
      <c r="E41" s="11" t="s">
        <v>29</v>
      </c>
    </row>
    <row r="42">
      <c r="A42" s="48">
        <v>0.14375</v>
      </c>
      <c r="B42" s="62" t="s">
        <v>167</v>
      </c>
      <c r="C42" s="57" t="s">
        <v>158</v>
      </c>
      <c r="D42" s="61" t="s">
        <v>1329</v>
      </c>
      <c r="E42" s="11" t="s">
        <v>33</v>
      </c>
    </row>
    <row r="43">
      <c r="A43" s="48">
        <v>0.15416666666666667</v>
      </c>
      <c r="B43" s="61" t="s">
        <v>987</v>
      </c>
      <c r="C43" s="57" t="s">
        <v>304</v>
      </c>
      <c r="D43" s="61" t="s">
        <v>172</v>
      </c>
      <c r="E43" s="11" t="s">
        <v>29</v>
      </c>
    </row>
    <row r="44">
      <c r="A44" s="48">
        <v>0.15416666666666667</v>
      </c>
      <c r="B44" s="61" t="s">
        <v>174</v>
      </c>
      <c r="C44" s="57" t="s">
        <v>176</v>
      </c>
      <c r="D44" s="61" t="s">
        <v>1329</v>
      </c>
      <c r="E44" s="11" t="s">
        <v>33</v>
      </c>
    </row>
    <row r="45">
      <c r="A45" s="51"/>
      <c r="B45" s="1" t="s">
        <v>45</v>
      </c>
      <c r="C45" s="2"/>
      <c r="D45" s="3"/>
      <c r="E45" s="18"/>
    </row>
    <row r="46">
      <c r="A46" s="47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48">
        <v>0.16666666666666666</v>
      </c>
      <c r="B47" s="61" t="s">
        <v>1331</v>
      </c>
      <c r="C47" s="45" t="s">
        <v>290</v>
      </c>
      <c r="D47" s="61" t="s">
        <v>372</v>
      </c>
      <c r="E47" s="11" t="s">
        <v>9</v>
      </c>
    </row>
    <row r="48">
      <c r="A48" s="48">
        <v>0.16666666666666666</v>
      </c>
      <c r="B48" s="61" t="s">
        <v>48</v>
      </c>
      <c r="C48" s="45" t="s">
        <v>161</v>
      </c>
      <c r="D48" s="61" t="s">
        <v>1332</v>
      </c>
      <c r="E48" s="11" t="s">
        <v>13</v>
      </c>
    </row>
    <row r="49">
      <c r="A49" s="48">
        <v>0.1763888888888889</v>
      </c>
      <c r="B49" s="61" t="s">
        <v>48</v>
      </c>
      <c r="C49" s="45" t="s">
        <v>225</v>
      </c>
      <c r="D49" s="61" t="s">
        <v>372</v>
      </c>
      <c r="E49" s="11" t="s">
        <v>9</v>
      </c>
    </row>
    <row r="50">
      <c r="A50" s="48">
        <v>0.1763888888888889</v>
      </c>
      <c r="B50" s="61" t="s">
        <v>1333</v>
      </c>
      <c r="C50" s="45" t="s">
        <v>357</v>
      </c>
      <c r="D50" s="61" t="s">
        <v>1332</v>
      </c>
      <c r="E50" s="11" t="s">
        <v>13</v>
      </c>
    </row>
    <row r="51">
      <c r="A51" s="48">
        <v>0.18680555555555556</v>
      </c>
      <c r="B51" s="61" t="s">
        <v>1333</v>
      </c>
      <c r="C51" s="45" t="s">
        <v>419</v>
      </c>
      <c r="D51" s="61" t="s">
        <v>48</v>
      </c>
      <c r="E51" s="11" t="s">
        <v>9</v>
      </c>
    </row>
    <row r="52">
      <c r="A52" s="48">
        <v>0.18680555555555556</v>
      </c>
      <c r="B52" s="61" t="s">
        <v>1332</v>
      </c>
      <c r="C52" s="45" t="s">
        <v>155</v>
      </c>
      <c r="D52" s="61" t="s">
        <v>1331</v>
      </c>
      <c r="E52" s="11" t="s">
        <v>13</v>
      </c>
    </row>
    <row r="53">
      <c r="A53" s="48">
        <v>0.19722222222222222</v>
      </c>
      <c r="B53" s="61" t="s">
        <v>1333</v>
      </c>
      <c r="C53" s="45" t="s">
        <v>196</v>
      </c>
      <c r="D53" s="61" t="s">
        <v>372</v>
      </c>
      <c r="E53" s="11" t="s">
        <v>9</v>
      </c>
    </row>
    <row r="54">
      <c r="A54" s="48">
        <v>0.19722222222222222</v>
      </c>
      <c r="B54" s="61" t="s">
        <v>1331</v>
      </c>
      <c r="C54" s="45" t="s">
        <v>248</v>
      </c>
      <c r="D54" s="61" t="s">
        <v>48</v>
      </c>
      <c r="E54" s="11" t="s">
        <v>13</v>
      </c>
    </row>
    <row r="55">
      <c r="A55" s="48">
        <v>0.20694444444444443</v>
      </c>
      <c r="B55" s="61" t="s">
        <v>1332</v>
      </c>
      <c r="C55" s="45" t="s">
        <v>182</v>
      </c>
      <c r="D55" s="61" t="s">
        <v>372</v>
      </c>
      <c r="E55" s="11" t="s">
        <v>9</v>
      </c>
    </row>
    <row r="56">
      <c r="A56" s="48">
        <v>0.20694444444444443</v>
      </c>
      <c r="B56" s="61" t="s">
        <v>1331</v>
      </c>
      <c r="C56" s="45" t="s">
        <v>279</v>
      </c>
      <c r="D56" s="61" t="s">
        <v>1333</v>
      </c>
      <c r="E56" s="11" t="s">
        <v>13</v>
      </c>
    </row>
    <row r="57">
      <c r="A57" s="48">
        <v>0.21736111111111112</v>
      </c>
      <c r="B57" s="61" t="s">
        <v>372</v>
      </c>
      <c r="C57" s="45" t="s">
        <v>158</v>
      </c>
      <c r="D57" s="61" t="s">
        <v>1331</v>
      </c>
      <c r="E57" s="11" t="s">
        <v>9</v>
      </c>
    </row>
    <row r="58">
      <c r="A58" s="48">
        <v>0.21736111111111112</v>
      </c>
      <c r="B58" s="61" t="s">
        <v>1332</v>
      </c>
      <c r="C58" s="45" t="s">
        <v>1334</v>
      </c>
      <c r="D58" s="61" t="s">
        <v>48</v>
      </c>
      <c r="E58" s="11" t="s">
        <v>13</v>
      </c>
    </row>
    <row r="59">
      <c r="A59" s="48">
        <v>0.22777777777777777</v>
      </c>
      <c r="B59" s="61" t="s">
        <v>372</v>
      </c>
      <c r="C59" s="45" t="s">
        <v>1335</v>
      </c>
      <c r="D59" s="61" t="s">
        <v>48</v>
      </c>
      <c r="E59" s="11" t="s">
        <v>9</v>
      </c>
    </row>
    <row r="60">
      <c r="A60" s="48">
        <v>0.22777777777777777</v>
      </c>
      <c r="B60" s="61" t="s">
        <v>1332</v>
      </c>
      <c r="C60" s="45" t="s">
        <v>439</v>
      </c>
      <c r="D60" s="61" t="s">
        <v>1333</v>
      </c>
      <c r="E60" s="11" t="s">
        <v>13</v>
      </c>
    </row>
    <row r="61">
      <c r="A61" s="48">
        <v>0.2375</v>
      </c>
      <c r="B61" s="61" t="s">
        <v>48</v>
      </c>
      <c r="C61" s="45" t="s">
        <v>194</v>
      </c>
      <c r="D61" s="61" t="s">
        <v>1333</v>
      </c>
      <c r="E61" s="11" t="s">
        <v>9</v>
      </c>
    </row>
    <row r="62">
      <c r="A62" s="48">
        <v>0.2375</v>
      </c>
      <c r="B62" s="61" t="s">
        <v>1331</v>
      </c>
      <c r="C62" s="45" t="s">
        <v>203</v>
      </c>
      <c r="D62" s="61" t="s">
        <v>1332</v>
      </c>
      <c r="E62" s="11" t="s">
        <v>13</v>
      </c>
    </row>
    <row r="63">
      <c r="A63" s="48">
        <v>0.24791666666666667</v>
      </c>
      <c r="B63" s="61" t="s">
        <v>372</v>
      </c>
      <c r="C63" s="45" t="s">
        <v>433</v>
      </c>
      <c r="D63" s="61" t="s">
        <v>1333</v>
      </c>
      <c r="E63" s="11" t="s">
        <v>9</v>
      </c>
    </row>
    <row r="64">
      <c r="A64" s="48">
        <v>0.24791666666666667</v>
      </c>
      <c r="B64" s="61" t="s">
        <v>48</v>
      </c>
      <c r="C64" s="45" t="s">
        <v>23</v>
      </c>
      <c r="D64" s="61" t="s">
        <v>1331</v>
      </c>
      <c r="E64" s="11" t="s">
        <v>13</v>
      </c>
    </row>
    <row r="65">
      <c r="A65" s="48">
        <v>0.25833333333333336</v>
      </c>
      <c r="B65" s="61" t="s">
        <v>372</v>
      </c>
      <c r="C65" s="45" t="s">
        <v>14</v>
      </c>
      <c r="D65" s="61" t="s">
        <v>1332</v>
      </c>
      <c r="E65" s="11" t="s">
        <v>9</v>
      </c>
    </row>
    <row r="66">
      <c r="A66" s="48">
        <v>0.25833333333333336</v>
      </c>
      <c r="B66" s="61" t="s">
        <v>1333</v>
      </c>
      <c r="C66" s="45" t="s">
        <v>193</v>
      </c>
      <c r="D66" s="61" t="s">
        <v>1331</v>
      </c>
      <c r="E66" s="11" t="s">
        <v>13</v>
      </c>
    </row>
    <row r="67">
      <c r="A67" s="51"/>
      <c r="B67" s="1" t="s">
        <v>45</v>
      </c>
      <c r="C67" s="2"/>
      <c r="D67" s="3"/>
      <c r="E67" s="4"/>
    </row>
    <row r="68">
      <c r="A68" s="47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48">
        <v>0.16666666666666666</v>
      </c>
      <c r="B69" s="61" t="s">
        <v>1336</v>
      </c>
      <c r="C69" s="57" t="s">
        <v>344</v>
      </c>
      <c r="D69" s="61" t="s">
        <v>1337</v>
      </c>
      <c r="E69" s="11" t="s">
        <v>29</v>
      </c>
    </row>
    <row r="70">
      <c r="A70" s="48">
        <v>0.16666666666666666</v>
      </c>
      <c r="B70" s="61" t="s">
        <v>199</v>
      </c>
      <c r="C70" s="57" t="s">
        <v>271</v>
      </c>
      <c r="D70" s="61" t="s">
        <v>150</v>
      </c>
      <c r="E70" s="11" t="s">
        <v>33</v>
      </c>
    </row>
    <row r="71">
      <c r="A71" s="48">
        <v>0.1763888888888889</v>
      </c>
      <c r="B71" s="61" t="s">
        <v>199</v>
      </c>
      <c r="C71" s="57" t="s">
        <v>19</v>
      </c>
      <c r="D71" s="61" t="s">
        <v>1337</v>
      </c>
      <c r="E71" s="11" t="s">
        <v>29</v>
      </c>
    </row>
    <row r="72">
      <c r="A72" s="48">
        <v>0.1763888888888889</v>
      </c>
      <c r="B72" s="61" t="s">
        <v>1338</v>
      </c>
      <c r="C72" s="57" t="s">
        <v>195</v>
      </c>
      <c r="D72" s="61" t="s">
        <v>150</v>
      </c>
      <c r="E72" s="11" t="s">
        <v>33</v>
      </c>
    </row>
    <row r="73">
      <c r="A73" s="48">
        <v>0.18680555555555556</v>
      </c>
      <c r="B73" s="61" t="s">
        <v>1338</v>
      </c>
      <c r="C73" s="57" t="s">
        <v>1149</v>
      </c>
      <c r="D73" s="61" t="s">
        <v>199</v>
      </c>
      <c r="E73" s="11" t="s">
        <v>29</v>
      </c>
    </row>
    <row r="74">
      <c r="A74" s="48">
        <v>0.18680555555555556</v>
      </c>
      <c r="B74" s="61" t="s">
        <v>150</v>
      </c>
      <c r="C74" s="57" t="s">
        <v>248</v>
      </c>
      <c r="D74" s="61" t="s">
        <v>1336</v>
      </c>
      <c r="E74" s="11" t="s">
        <v>33</v>
      </c>
    </row>
    <row r="75">
      <c r="A75" s="48">
        <v>0.19722222222222222</v>
      </c>
      <c r="B75" s="61" t="s">
        <v>1338</v>
      </c>
      <c r="C75" s="57" t="s">
        <v>697</v>
      </c>
      <c r="D75" s="61" t="s">
        <v>1337</v>
      </c>
      <c r="E75" s="11" t="s">
        <v>29</v>
      </c>
    </row>
    <row r="76">
      <c r="A76" s="48">
        <v>0.19722222222222222</v>
      </c>
      <c r="B76" s="61" t="s">
        <v>1336</v>
      </c>
      <c r="C76" s="57" t="s">
        <v>258</v>
      </c>
      <c r="D76" s="61" t="s">
        <v>199</v>
      </c>
      <c r="E76" s="11" t="s">
        <v>33</v>
      </c>
    </row>
    <row r="77">
      <c r="A77" s="48">
        <v>0.20694444444444443</v>
      </c>
      <c r="B77" s="61" t="s">
        <v>150</v>
      </c>
      <c r="C77" s="57" t="s">
        <v>181</v>
      </c>
      <c r="D77" s="61" t="s">
        <v>1337</v>
      </c>
      <c r="E77" s="11" t="s">
        <v>29</v>
      </c>
    </row>
    <row r="78">
      <c r="A78" s="48">
        <v>0.20694444444444443</v>
      </c>
      <c r="B78" s="61" t="s">
        <v>1336</v>
      </c>
      <c r="C78" s="57" t="s">
        <v>750</v>
      </c>
      <c r="D78" s="61" t="s">
        <v>1338</v>
      </c>
      <c r="E78" s="11" t="s">
        <v>33</v>
      </c>
    </row>
    <row r="79">
      <c r="A79" s="48">
        <v>0.21736111111111112</v>
      </c>
      <c r="B79" s="61" t="s">
        <v>1337</v>
      </c>
      <c r="C79" s="57" t="s">
        <v>34</v>
      </c>
      <c r="D79" s="61" t="s">
        <v>1336</v>
      </c>
      <c r="E79" s="11" t="s">
        <v>29</v>
      </c>
    </row>
    <row r="80">
      <c r="A80" s="48">
        <v>0.21736111111111112</v>
      </c>
      <c r="B80" s="61" t="s">
        <v>150</v>
      </c>
      <c r="C80" s="57" t="s">
        <v>177</v>
      </c>
      <c r="D80" s="61" t="s">
        <v>199</v>
      </c>
      <c r="E80" s="11" t="s">
        <v>33</v>
      </c>
    </row>
    <row r="81">
      <c r="A81" s="48">
        <v>0.22777777777777777</v>
      </c>
      <c r="B81" s="61" t="s">
        <v>1337</v>
      </c>
      <c r="C81" s="57" t="s">
        <v>279</v>
      </c>
      <c r="D81" s="61" t="s">
        <v>199</v>
      </c>
      <c r="E81" s="11" t="s">
        <v>29</v>
      </c>
    </row>
    <row r="82">
      <c r="A82" s="48">
        <v>0.22777777777777777</v>
      </c>
      <c r="B82" s="61" t="s">
        <v>150</v>
      </c>
      <c r="C82" s="57" t="s">
        <v>7</v>
      </c>
      <c r="D82" s="61" t="s">
        <v>1338</v>
      </c>
      <c r="E82" s="11" t="s">
        <v>33</v>
      </c>
    </row>
    <row r="83">
      <c r="A83" s="48">
        <v>0.2375</v>
      </c>
      <c r="B83" s="61" t="s">
        <v>199</v>
      </c>
      <c r="C83" s="57" t="s">
        <v>225</v>
      </c>
      <c r="D83" s="61" t="s">
        <v>1338</v>
      </c>
      <c r="E83" s="11" t="s">
        <v>29</v>
      </c>
    </row>
    <row r="84">
      <c r="A84" s="48">
        <v>0.2375</v>
      </c>
      <c r="B84" s="61" t="s">
        <v>1336</v>
      </c>
      <c r="C84" s="57" t="s">
        <v>525</v>
      </c>
      <c r="D84" s="61" t="s">
        <v>150</v>
      </c>
      <c r="E84" s="11" t="s">
        <v>33</v>
      </c>
    </row>
    <row r="85">
      <c r="A85" s="48">
        <v>0.24791666666666667</v>
      </c>
      <c r="B85" s="61" t="s">
        <v>1337</v>
      </c>
      <c r="C85" s="57" t="s">
        <v>180</v>
      </c>
      <c r="D85" s="61" t="s">
        <v>1338</v>
      </c>
      <c r="E85" s="11" t="s">
        <v>29</v>
      </c>
    </row>
    <row r="86">
      <c r="A86" s="48">
        <v>0.24791666666666667</v>
      </c>
      <c r="B86" s="61" t="s">
        <v>199</v>
      </c>
      <c r="C86" s="57" t="s">
        <v>163</v>
      </c>
      <c r="D86" s="61" t="s">
        <v>1336</v>
      </c>
      <c r="E86" s="11" t="s">
        <v>33</v>
      </c>
    </row>
    <row r="87">
      <c r="A87" s="48">
        <v>0.25833333333333336</v>
      </c>
      <c r="B87" s="61" t="s">
        <v>1337</v>
      </c>
      <c r="C87" s="57" t="s">
        <v>248</v>
      </c>
      <c r="D87" s="61" t="s">
        <v>150</v>
      </c>
      <c r="E87" s="11" t="s">
        <v>29</v>
      </c>
    </row>
    <row r="88">
      <c r="A88" s="48">
        <v>0.25833333333333336</v>
      </c>
      <c r="B88" s="61" t="s">
        <v>1338</v>
      </c>
      <c r="C88" s="57" t="s">
        <v>1121</v>
      </c>
      <c r="D88" s="61" t="s">
        <v>1336</v>
      </c>
      <c r="E88" s="11" t="s">
        <v>33</v>
      </c>
    </row>
    <row r="89"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1286</v>
      </c>
      <c r="C91" s="45" t="s">
        <v>220</v>
      </c>
      <c r="D91" s="61" t="s">
        <v>1339</v>
      </c>
      <c r="E91" s="11" t="s">
        <v>9</v>
      </c>
    </row>
    <row r="92">
      <c r="A92" s="48">
        <v>0.3333333333333333</v>
      </c>
      <c r="B92" s="61" t="s">
        <v>1340</v>
      </c>
      <c r="C92" s="45" t="s">
        <v>185</v>
      </c>
      <c r="D92" s="61" t="s">
        <v>1341</v>
      </c>
      <c r="E92" s="11" t="s">
        <v>13</v>
      </c>
    </row>
    <row r="93">
      <c r="A93" s="48">
        <v>0.34305555555555556</v>
      </c>
      <c r="B93" s="61" t="s">
        <v>1340</v>
      </c>
      <c r="C93" s="45" t="s">
        <v>161</v>
      </c>
      <c r="D93" s="61" t="s">
        <v>1339</v>
      </c>
      <c r="E93" s="11" t="s">
        <v>9</v>
      </c>
    </row>
    <row r="94">
      <c r="A94" s="48">
        <v>0.34305555555555556</v>
      </c>
      <c r="B94" s="61" t="s">
        <v>1342</v>
      </c>
      <c r="C94" s="45" t="s">
        <v>158</v>
      </c>
      <c r="D94" s="61" t="s">
        <v>1341</v>
      </c>
      <c r="E94" s="11" t="s">
        <v>13</v>
      </c>
    </row>
    <row r="95">
      <c r="A95" s="48">
        <v>0.35347222222222224</v>
      </c>
      <c r="B95" s="61" t="s">
        <v>1342</v>
      </c>
      <c r="C95" s="45" t="s">
        <v>41</v>
      </c>
      <c r="D95" s="61" t="s">
        <v>1340</v>
      </c>
      <c r="E95" s="11" t="s">
        <v>9</v>
      </c>
    </row>
    <row r="96">
      <c r="A96" s="48">
        <v>0.35347222222222224</v>
      </c>
      <c r="B96" s="61" t="s">
        <v>1341</v>
      </c>
      <c r="C96" s="45" t="s">
        <v>290</v>
      </c>
      <c r="D96" s="61" t="s">
        <v>1286</v>
      </c>
      <c r="E96" s="11" t="s">
        <v>13</v>
      </c>
    </row>
    <row r="97">
      <c r="A97" s="48">
        <v>0.3638888888888889</v>
      </c>
      <c r="B97" s="61" t="s">
        <v>1342</v>
      </c>
      <c r="C97" s="45" t="s">
        <v>362</v>
      </c>
      <c r="D97" s="61" t="s">
        <v>1339</v>
      </c>
      <c r="E97" s="11" t="s">
        <v>9</v>
      </c>
    </row>
    <row r="98">
      <c r="A98" s="48">
        <v>0.3638888888888889</v>
      </c>
      <c r="B98" s="61" t="s">
        <v>1286</v>
      </c>
      <c r="C98" s="45" t="s">
        <v>219</v>
      </c>
      <c r="D98" s="61" t="s">
        <v>1340</v>
      </c>
      <c r="E98" s="11" t="s">
        <v>13</v>
      </c>
    </row>
    <row r="99">
      <c r="A99" s="48">
        <v>0.3736111111111111</v>
      </c>
      <c r="B99" s="61" t="s">
        <v>1341</v>
      </c>
      <c r="C99" s="45" t="s">
        <v>245</v>
      </c>
      <c r="D99" s="61" t="s">
        <v>1339</v>
      </c>
      <c r="E99" s="11" t="s">
        <v>9</v>
      </c>
    </row>
    <row r="100">
      <c r="A100" s="48">
        <v>0.3736111111111111</v>
      </c>
      <c r="B100" s="61" t="s">
        <v>1286</v>
      </c>
      <c r="C100" s="45" t="s">
        <v>23</v>
      </c>
      <c r="D100" s="61" t="s">
        <v>1342</v>
      </c>
      <c r="E100" s="11" t="s">
        <v>13</v>
      </c>
    </row>
    <row r="101">
      <c r="A101" s="48">
        <v>0.3840277777777778</v>
      </c>
      <c r="B101" s="61" t="s">
        <v>1339</v>
      </c>
      <c r="C101" s="45" t="s">
        <v>227</v>
      </c>
      <c r="D101" s="61" t="s">
        <v>1286</v>
      </c>
      <c r="E101" s="11" t="s">
        <v>9</v>
      </c>
    </row>
    <row r="102">
      <c r="A102" s="48">
        <v>0.3840277777777778</v>
      </c>
      <c r="B102" s="61" t="s">
        <v>1341</v>
      </c>
      <c r="C102" s="45" t="s">
        <v>342</v>
      </c>
      <c r="D102" s="61" t="s">
        <v>1340</v>
      </c>
      <c r="E102" s="11" t="s">
        <v>13</v>
      </c>
    </row>
    <row r="103">
      <c r="A103" s="48">
        <v>0.39444444444444443</v>
      </c>
      <c r="B103" s="61" t="s">
        <v>1339</v>
      </c>
      <c r="C103" s="45" t="s">
        <v>248</v>
      </c>
      <c r="D103" s="61" t="s">
        <v>1340</v>
      </c>
      <c r="E103" s="11" t="s">
        <v>9</v>
      </c>
    </row>
    <row r="104">
      <c r="A104" s="48">
        <v>0.39444444444444443</v>
      </c>
      <c r="B104" s="61" t="s">
        <v>1341</v>
      </c>
      <c r="C104" s="45" t="s">
        <v>17</v>
      </c>
      <c r="D104" s="61" t="s">
        <v>1342</v>
      </c>
      <c r="E104" s="11" t="s">
        <v>13</v>
      </c>
    </row>
    <row r="105">
      <c r="A105" s="48">
        <v>0.4041666666666667</v>
      </c>
      <c r="B105" s="61" t="s">
        <v>1340</v>
      </c>
      <c r="C105" s="45" t="s">
        <v>210</v>
      </c>
      <c r="D105" s="61" t="s">
        <v>1342</v>
      </c>
      <c r="E105" s="11" t="s">
        <v>9</v>
      </c>
    </row>
    <row r="106">
      <c r="A106" s="48">
        <v>0.4041666666666667</v>
      </c>
      <c r="B106" s="61" t="s">
        <v>1286</v>
      </c>
      <c r="C106" s="45" t="s">
        <v>158</v>
      </c>
      <c r="D106" s="61" t="s">
        <v>1341</v>
      </c>
      <c r="E106" s="11" t="s">
        <v>13</v>
      </c>
    </row>
    <row r="107">
      <c r="A107" s="48">
        <v>0.41458333333333336</v>
      </c>
      <c r="B107" s="61" t="s">
        <v>1339</v>
      </c>
      <c r="C107" s="45" t="s">
        <v>23</v>
      </c>
      <c r="D107" s="61" t="s">
        <v>1342</v>
      </c>
      <c r="E107" s="11" t="s">
        <v>9</v>
      </c>
    </row>
    <row r="108">
      <c r="A108" s="48">
        <v>0.41458333333333336</v>
      </c>
      <c r="B108" s="61" t="s">
        <v>1340</v>
      </c>
      <c r="C108" s="45" t="s">
        <v>324</v>
      </c>
      <c r="D108" s="61" t="s">
        <v>1286</v>
      </c>
      <c r="E108" s="11" t="s">
        <v>13</v>
      </c>
    </row>
    <row r="109">
      <c r="A109" s="48">
        <v>0.425</v>
      </c>
      <c r="B109" s="61" t="s">
        <v>1339</v>
      </c>
      <c r="C109" s="45"/>
      <c r="D109" s="61" t="s">
        <v>1341</v>
      </c>
      <c r="E109" s="11" t="s">
        <v>9</v>
      </c>
    </row>
    <row r="110">
      <c r="A110" s="48">
        <v>0.425</v>
      </c>
      <c r="B110" s="61" t="s">
        <v>1342</v>
      </c>
      <c r="C110" s="45" t="s">
        <v>18</v>
      </c>
      <c r="D110" s="61" t="s">
        <v>1286</v>
      </c>
      <c r="E110" s="11" t="s">
        <v>13</v>
      </c>
    </row>
    <row r="111">
      <c r="A111" s="5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8">
        <v>0.3333333333333333</v>
      </c>
      <c r="B113" s="61" t="s">
        <v>1343</v>
      </c>
      <c r="C113" s="57" t="s">
        <v>43</v>
      </c>
      <c r="D113" s="61" t="s">
        <v>1344</v>
      </c>
      <c r="E113" s="11" t="s">
        <v>29</v>
      </c>
    </row>
    <row r="114">
      <c r="A114" s="48">
        <v>0.3333333333333333</v>
      </c>
      <c r="B114" s="61" t="s">
        <v>1345</v>
      </c>
      <c r="C114" s="57" t="s">
        <v>208</v>
      </c>
      <c r="D114" s="61" t="s">
        <v>228</v>
      </c>
      <c r="E114" s="11" t="s">
        <v>33</v>
      </c>
    </row>
    <row r="115">
      <c r="A115" s="48">
        <v>0.34305555555555556</v>
      </c>
      <c r="B115" s="61" t="s">
        <v>1345</v>
      </c>
      <c r="C115" s="57" t="s">
        <v>203</v>
      </c>
      <c r="D115" s="61" t="s">
        <v>1344</v>
      </c>
      <c r="E115" s="11" t="s">
        <v>29</v>
      </c>
    </row>
    <row r="116">
      <c r="A116" s="48">
        <v>0.34305555555555556</v>
      </c>
      <c r="B116" s="61" t="s">
        <v>938</v>
      </c>
      <c r="C116" s="57" t="s">
        <v>257</v>
      </c>
      <c r="D116" s="61" t="s">
        <v>228</v>
      </c>
      <c r="E116" s="11" t="s">
        <v>33</v>
      </c>
    </row>
    <row r="117">
      <c r="A117" s="48">
        <v>0.35347222222222224</v>
      </c>
      <c r="B117" s="61" t="s">
        <v>938</v>
      </c>
      <c r="C117" s="57" t="s">
        <v>211</v>
      </c>
      <c r="D117" s="61" t="s">
        <v>1345</v>
      </c>
      <c r="E117" s="11" t="s">
        <v>29</v>
      </c>
    </row>
    <row r="118">
      <c r="A118" s="48">
        <v>0.35347222222222224</v>
      </c>
      <c r="B118" s="61" t="s">
        <v>228</v>
      </c>
      <c r="C118" s="57" t="s">
        <v>1346</v>
      </c>
      <c r="D118" s="61" t="s">
        <v>1343</v>
      </c>
      <c r="E118" s="11" t="s">
        <v>33</v>
      </c>
    </row>
    <row r="119">
      <c r="A119" s="48">
        <v>0.3638888888888889</v>
      </c>
      <c r="B119" s="61" t="s">
        <v>938</v>
      </c>
      <c r="C119" s="57" t="s">
        <v>389</v>
      </c>
      <c r="D119" s="61" t="s">
        <v>1344</v>
      </c>
      <c r="E119" s="11" t="s">
        <v>29</v>
      </c>
    </row>
    <row r="120">
      <c r="A120" s="48">
        <v>0.3638888888888889</v>
      </c>
      <c r="B120" s="61" t="s">
        <v>1343</v>
      </c>
      <c r="C120" s="57" t="s">
        <v>44</v>
      </c>
      <c r="D120" s="61" t="s">
        <v>1345</v>
      </c>
      <c r="E120" s="11" t="s">
        <v>33</v>
      </c>
    </row>
    <row r="121">
      <c r="A121" s="48">
        <v>0.3736111111111111</v>
      </c>
      <c r="B121" s="61" t="s">
        <v>228</v>
      </c>
      <c r="C121" s="57" t="s">
        <v>158</v>
      </c>
      <c r="D121" s="61" t="s">
        <v>1344</v>
      </c>
      <c r="E121" s="11" t="s">
        <v>29</v>
      </c>
    </row>
    <row r="122">
      <c r="A122" s="48">
        <v>0.3736111111111111</v>
      </c>
      <c r="B122" s="61" t="s">
        <v>1343</v>
      </c>
      <c r="C122" s="57" t="s">
        <v>177</v>
      </c>
      <c r="D122" s="61" t="s">
        <v>938</v>
      </c>
      <c r="E122" s="11" t="s">
        <v>33</v>
      </c>
    </row>
    <row r="123">
      <c r="A123" s="48">
        <v>0.3840277777777778</v>
      </c>
      <c r="B123" s="61" t="s">
        <v>1344</v>
      </c>
      <c r="C123" s="57" t="s">
        <v>352</v>
      </c>
      <c r="D123" s="61" t="s">
        <v>1343</v>
      </c>
      <c r="E123" s="11" t="s">
        <v>29</v>
      </c>
    </row>
    <row r="124">
      <c r="A124" s="48">
        <v>0.3840277777777778</v>
      </c>
      <c r="B124" s="61" t="s">
        <v>228</v>
      </c>
      <c r="C124" s="57" t="s">
        <v>173</v>
      </c>
      <c r="D124" s="61" t="s">
        <v>1345</v>
      </c>
      <c r="E124" s="11" t="s">
        <v>33</v>
      </c>
    </row>
    <row r="125">
      <c r="A125" s="48">
        <v>0.39444444444444443</v>
      </c>
      <c r="B125" s="61" t="s">
        <v>1344</v>
      </c>
      <c r="C125" s="45" t="s">
        <v>419</v>
      </c>
      <c r="D125" s="61" t="s">
        <v>1345</v>
      </c>
      <c r="E125" s="11" t="s">
        <v>29</v>
      </c>
    </row>
    <row r="126">
      <c r="A126" s="48">
        <v>0.39444444444444443</v>
      </c>
      <c r="B126" s="61" t="s">
        <v>228</v>
      </c>
      <c r="C126" s="45" t="s">
        <v>744</v>
      </c>
      <c r="D126" s="61" t="s">
        <v>938</v>
      </c>
      <c r="E126" s="11" t="s">
        <v>33</v>
      </c>
    </row>
    <row r="127">
      <c r="A127" s="48">
        <v>0.4041666666666667</v>
      </c>
      <c r="B127" s="61" t="s">
        <v>1345</v>
      </c>
      <c r="C127" s="45" t="s">
        <v>279</v>
      </c>
      <c r="D127" s="61" t="s">
        <v>938</v>
      </c>
      <c r="E127" s="11" t="s">
        <v>29</v>
      </c>
    </row>
    <row r="128">
      <c r="A128" s="48">
        <v>0.4041666666666667</v>
      </c>
      <c r="B128" s="61" t="s">
        <v>1343</v>
      </c>
      <c r="C128" s="45" t="s">
        <v>18</v>
      </c>
      <c r="D128" s="61" t="s">
        <v>228</v>
      </c>
      <c r="E128" s="11" t="s">
        <v>33</v>
      </c>
    </row>
    <row r="129">
      <c r="A129" s="48">
        <v>0.41458333333333336</v>
      </c>
      <c r="B129" s="61" t="s">
        <v>1344</v>
      </c>
      <c r="C129" s="45" t="s">
        <v>233</v>
      </c>
      <c r="D129" s="61" t="s">
        <v>938</v>
      </c>
      <c r="E129" s="11" t="s">
        <v>29</v>
      </c>
    </row>
    <row r="130">
      <c r="A130" s="48">
        <v>0.41458333333333336</v>
      </c>
      <c r="B130" s="61" t="s">
        <v>1345</v>
      </c>
      <c r="C130" s="45" t="s">
        <v>16</v>
      </c>
      <c r="D130" s="61" t="s">
        <v>1343</v>
      </c>
      <c r="E130" s="11" t="s">
        <v>33</v>
      </c>
    </row>
    <row r="131">
      <c r="A131" s="48">
        <v>0.425</v>
      </c>
      <c r="B131" s="61" t="s">
        <v>1344</v>
      </c>
      <c r="C131" s="45" t="s">
        <v>158</v>
      </c>
      <c r="D131" s="61" t="s">
        <v>228</v>
      </c>
      <c r="E131" s="11" t="s">
        <v>29</v>
      </c>
    </row>
    <row r="132">
      <c r="A132" s="48">
        <v>0.425</v>
      </c>
      <c r="B132" s="61" t="s">
        <v>938</v>
      </c>
      <c r="C132" s="45" t="s">
        <v>576</v>
      </c>
      <c r="D132" s="61" t="s">
        <v>1343</v>
      </c>
      <c r="E132" s="11" t="s">
        <v>33</v>
      </c>
    </row>
    <row r="133">
      <c r="A133" s="5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1347</v>
      </c>
      <c r="C135" s="57" t="s">
        <v>194</v>
      </c>
      <c r="D135" s="61" t="s">
        <v>1348</v>
      </c>
      <c r="E135" s="11" t="s">
        <v>9</v>
      </c>
    </row>
    <row r="136">
      <c r="A136" s="48">
        <v>0.4375</v>
      </c>
      <c r="B136" s="61" t="s">
        <v>1349</v>
      </c>
      <c r="C136" s="57" t="s">
        <v>196</v>
      </c>
      <c r="D136" s="61" t="s">
        <v>1350</v>
      </c>
      <c r="E136" s="11" t="s">
        <v>13</v>
      </c>
    </row>
    <row r="137">
      <c r="A137" s="48">
        <v>0.44722222222222224</v>
      </c>
      <c r="B137" s="61" t="s">
        <v>1349</v>
      </c>
      <c r="C137" s="57" t="s">
        <v>304</v>
      </c>
      <c r="D137" s="61" t="s">
        <v>1348</v>
      </c>
      <c r="E137" s="11" t="s">
        <v>9</v>
      </c>
    </row>
    <row r="138">
      <c r="A138" s="48">
        <v>0.44722222222222224</v>
      </c>
      <c r="B138" s="61" t="s">
        <v>1351</v>
      </c>
      <c r="C138" s="57" t="s">
        <v>18</v>
      </c>
      <c r="D138" s="61" t="s">
        <v>1350</v>
      </c>
      <c r="E138" s="11" t="s">
        <v>13</v>
      </c>
    </row>
    <row r="139">
      <c r="A139" s="48">
        <v>0.4576388888888889</v>
      </c>
      <c r="B139" s="61" t="s">
        <v>1351</v>
      </c>
      <c r="C139" s="57" t="s">
        <v>23</v>
      </c>
      <c r="D139" s="61" t="s">
        <v>1349</v>
      </c>
      <c r="E139" s="11" t="s">
        <v>9</v>
      </c>
    </row>
    <row r="140">
      <c r="A140" s="48">
        <v>0.4576388888888889</v>
      </c>
      <c r="B140" s="61" t="s">
        <v>1350</v>
      </c>
      <c r="C140" s="57" t="s">
        <v>19</v>
      </c>
      <c r="D140" s="61" t="s">
        <v>1347</v>
      </c>
      <c r="E140" s="11" t="s">
        <v>13</v>
      </c>
    </row>
    <row r="141">
      <c r="A141" s="48">
        <v>0.46805555555555556</v>
      </c>
      <c r="B141" s="61" t="s">
        <v>1351</v>
      </c>
      <c r="C141" s="57" t="s">
        <v>43</v>
      </c>
      <c r="D141" s="61" t="s">
        <v>1348</v>
      </c>
      <c r="E141" s="11" t="s">
        <v>9</v>
      </c>
    </row>
    <row r="142">
      <c r="A142" s="48">
        <v>0.46805555555555556</v>
      </c>
      <c r="B142" s="61" t="s">
        <v>1347</v>
      </c>
      <c r="C142" s="57" t="s">
        <v>20</v>
      </c>
      <c r="D142" s="61" t="s">
        <v>1349</v>
      </c>
      <c r="E142" s="11" t="s">
        <v>13</v>
      </c>
    </row>
    <row r="143">
      <c r="A143" s="48">
        <v>0.4777777777777778</v>
      </c>
      <c r="B143" s="61" t="s">
        <v>1350</v>
      </c>
      <c r="C143" s="57" t="s">
        <v>7</v>
      </c>
      <c r="D143" s="61" t="s">
        <v>1348</v>
      </c>
      <c r="E143" s="11" t="s">
        <v>9</v>
      </c>
    </row>
    <row r="144">
      <c r="A144" s="48">
        <v>0.4777777777777778</v>
      </c>
      <c r="B144" s="61" t="s">
        <v>1347</v>
      </c>
      <c r="C144" s="57" t="s">
        <v>161</v>
      </c>
      <c r="D144" s="61" t="s">
        <v>1351</v>
      </c>
      <c r="E144" s="11" t="s">
        <v>13</v>
      </c>
    </row>
    <row r="145">
      <c r="A145" s="48">
        <v>0.48819444444444443</v>
      </c>
      <c r="B145" s="61" t="s">
        <v>1348</v>
      </c>
      <c r="C145" s="57" t="s">
        <v>23</v>
      </c>
      <c r="D145" s="61" t="s">
        <v>1347</v>
      </c>
      <c r="E145" s="11" t="s">
        <v>9</v>
      </c>
    </row>
    <row r="146">
      <c r="A146" s="48">
        <v>0.48819444444444443</v>
      </c>
      <c r="B146" s="61" t="s">
        <v>1350</v>
      </c>
      <c r="C146" s="57" t="s">
        <v>352</v>
      </c>
      <c r="D146" s="61" t="s">
        <v>1349</v>
      </c>
      <c r="E146" s="11" t="s">
        <v>13</v>
      </c>
    </row>
    <row r="147">
      <c r="A147" s="48">
        <v>0.4986111111111111</v>
      </c>
      <c r="B147" s="61" t="s">
        <v>1348</v>
      </c>
      <c r="C147" s="45" t="s">
        <v>23</v>
      </c>
      <c r="D147" s="61" t="s">
        <v>1349</v>
      </c>
      <c r="E147" s="11" t="s">
        <v>9</v>
      </c>
    </row>
    <row r="148">
      <c r="A148" s="48">
        <v>0.4986111111111111</v>
      </c>
      <c r="B148" s="61" t="s">
        <v>1350</v>
      </c>
      <c r="C148" s="45" t="s">
        <v>366</v>
      </c>
      <c r="D148" s="61" t="s">
        <v>1351</v>
      </c>
      <c r="E148" s="11" t="s">
        <v>13</v>
      </c>
    </row>
    <row r="149">
      <c r="A149" s="48">
        <v>0.5083333333333333</v>
      </c>
      <c r="B149" s="61" t="s">
        <v>1349</v>
      </c>
      <c r="C149" s="45" t="s">
        <v>352</v>
      </c>
      <c r="D149" s="61" t="s">
        <v>1351</v>
      </c>
      <c r="E149" s="11" t="s">
        <v>9</v>
      </c>
    </row>
    <row r="150">
      <c r="A150" s="48">
        <v>0.5083333333333333</v>
      </c>
      <c r="B150" s="61" t="s">
        <v>1347</v>
      </c>
      <c r="C150" s="45" t="s">
        <v>173</v>
      </c>
      <c r="D150" s="61" t="s">
        <v>1350</v>
      </c>
      <c r="E150" s="11" t="s">
        <v>13</v>
      </c>
    </row>
    <row r="151">
      <c r="A151" s="48">
        <v>0.51875</v>
      </c>
      <c r="B151" s="61" t="s">
        <v>1348</v>
      </c>
      <c r="C151" s="45" t="s">
        <v>209</v>
      </c>
      <c r="D151" s="61" t="s">
        <v>1351</v>
      </c>
      <c r="E151" s="11" t="s">
        <v>9</v>
      </c>
    </row>
    <row r="152">
      <c r="A152" s="48">
        <v>0.51875</v>
      </c>
      <c r="B152" s="61" t="s">
        <v>1349</v>
      </c>
      <c r="C152" s="45" t="s">
        <v>23</v>
      </c>
      <c r="D152" s="61" t="s">
        <v>1347</v>
      </c>
      <c r="E152" s="11" t="s">
        <v>13</v>
      </c>
    </row>
    <row r="153">
      <c r="A153" s="48">
        <v>0.5291666666666667</v>
      </c>
      <c r="B153" s="61" t="s">
        <v>1348</v>
      </c>
      <c r="C153" s="45" t="s">
        <v>41</v>
      </c>
      <c r="D153" s="61" t="s">
        <v>1350</v>
      </c>
      <c r="E153" s="11" t="s">
        <v>9</v>
      </c>
    </row>
    <row r="154">
      <c r="A154" s="48">
        <v>0.5291666666666667</v>
      </c>
      <c r="B154" s="61" t="s">
        <v>1351</v>
      </c>
      <c r="C154" s="45" t="s">
        <v>20</v>
      </c>
      <c r="D154" s="61" t="s">
        <v>1347</v>
      </c>
      <c r="E154" s="11" t="s">
        <v>13</v>
      </c>
    </row>
    <row r="155">
      <c r="A155" s="5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1352</v>
      </c>
      <c r="C157" s="57" t="s">
        <v>220</v>
      </c>
      <c r="D157" s="61" t="s">
        <v>519</v>
      </c>
      <c r="E157" s="11" t="s">
        <v>29</v>
      </c>
    </row>
    <row r="158">
      <c r="A158" s="48">
        <v>0.4375</v>
      </c>
      <c r="B158" s="61" t="s">
        <v>1353</v>
      </c>
      <c r="C158" s="57" t="s">
        <v>187</v>
      </c>
      <c r="D158" s="61" t="s">
        <v>1354</v>
      </c>
      <c r="E158" s="11" t="s">
        <v>33</v>
      </c>
    </row>
    <row r="159">
      <c r="A159" s="48">
        <v>0.44722222222222224</v>
      </c>
      <c r="B159" s="61" t="s">
        <v>1353</v>
      </c>
      <c r="C159" s="57" t="s">
        <v>177</v>
      </c>
      <c r="D159" s="61" t="s">
        <v>519</v>
      </c>
      <c r="E159" s="11" t="s">
        <v>29</v>
      </c>
    </row>
    <row r="160">
      <c r="A160" s="48">
        <v>0.44722222222222224</v>
      </c>
      <c r="B160" s="61" t="s">
        <v>928</v>
      </c>
      <c r="C160" s="57" t="s">
        <v>181</v>
      </c>
      <c r="D160" s="61" t="s">
        <v>1354</v>
      </c>
      <c r="E160" s="11" t="s">
        <v>33</v>
      </c>
    </row>
    <row r="161">
      <c r="A161" s="48">
        <v>0.4576388888888889</v>
      </c>
      <c r="B161" s="61" t="s">
        <v>928</v>
      </c>
      <c r="C161" s="57" t="s">
        <v>477</v>
      </c>
      <c r="D161" s="61" t="s">
        <v>1353</v>
      </c>
      <c r="E161" s="11" t="s">
        <v>29</v>
      </c>
    </row>
    <row r="162">
      <c r="A162" s="48">
        <v>0.4576388888888889</v>
      </c>
      <c r="B162" s="61" t="s">
        <v>1354</v>
      </c>
      <c r="C162" s="57" t="s">
        <v>888</v>
      </c>
      <c r="D162" s="61" t="s">
        <v>1352</v>
      </c>
      <c r="E162" s="11" t="s">
        <v>33</v>
      </c>
    </row>
    <row r="163">
      <c r="A163" s="48">
        <v>0.46805555555555556</v>
      </c>
      <c r="B163" s="61" t="s">
        <v>928</v>
      </c>
      <c r="C163" s="57" t="s">
        <v>210</v>
      </c>
      <c r="D163" s="61" t="s">
        <v>519</v>
      </c>
      <c r="E163" s="11" t="s">
        <v>29</v>
      </c>
    </row>
    <row r="164">
      <c r="A164" s="48">
        <v>0.46805555555555556</v>
      </c>
      <c r="B164" s="61" t="s">
        <v>1352</v>
      </c>
      <c r="C164" s="57" t="s">
        <v>216</v>
      </c>
      <c r="D164" s="61" t="s">
        <v>1353</v>
      </c>
      <c r="E164" s="11" t="s">
        <v>33</v>
      </c>
    </row>
    <row r="165">
      <c r="A165" s="48">
        <v>0.4777777777777778</v>
      </c>
      <c r="B165" s="61" t="s">
        <v>1354</v>
      </c>
      <c r="C165" s="57" t="s">
        <v>18</v>
      </c>
      <c r="D165" s="61" t="s">
        <v>519</v>
      </c>
      <c r="E165" s="11" t="s">
        <v>29</v>
      </c>
    </row>
    <row r="166">
      <c r="A166" s="48">
        <v>0.4777777777777778</v>
      </c>
      <c r="B166" s="61" t="s">
        <v>1352</v>
      </c>
      <c r="C166" s="57" t="s">
        <v>41</v>
      </c>
      <c r="D166" s="61" t="s">
        <v>928</v>
      </c>
      <c r="E166" s="11" t="s">
        <v>33</v>
      </c>
    </row>
    <row r="167">
      <c r="A167" s="48">
        <v>0.48819444444444443</v>
      </c>
      <c r="B167" s="61" t="s">
        <v>519</v>
      </c>
      <c r="C167" s="57" t="s">
        <v>225</v>
      </c>
      <c r="D167" s="61" t="s">
        <v>1352</v>
      </c>
      <c r="E167" s="11" t="s">
        <v>29</v>
      </c>
    </row>
    <row r="168">
      <c r="A168" s="48">
        <v>0.48819444444444443</v>
      </c>
      <c r="B168" s="61" t="s">
        <v>1354</v>
      </c>
      <c r="C168" s="57" t="s">
        <v>155</v>
      </c>
      <c r="D168" s="61" t="s">
        <v>1353</v>
      </c>
      <c r="E168" s="11" t="s">
        <v>33</v>
      </c>
    </row>
    <row r="169">
      <c r="A169" s="48">
        <v>0.4986111111111111</v>
      </c>
      <c r="B169" s="61" t="s">
        <v>519</v>
      </c>
      <c r="C169" s="45" t="s">
        <v>173</v>
      </c>
      <c r="D169" s="61" t="s">
        <v>1353</v>
      </c>
      <c r="E169" s="11" t="s">
        <v>29</v>
      </c>
    </row>
    <row r="170">
      <c r="A170" s="48">
        <v>0.4986111111111111</v>
      </c>
      <c r="B170" s="61" t="s">
        <v>1354</v>
      </c>
      <c r="C170" s="45" t="s">
        <v>31</v>
      </c>
      <c r="D170" s="61" t="s">
        <v>928</v>
      </c>
      <c r="E170" s="11" t="s">
        <v>33</v>
      </c>
    </row>
    <row r="171">
      <c r="A171" s="48">
        <v>0.5083333333333333</v>
      </c>
      <c r="B171" s="61" t="s">
        <v>1353</v>
      </c>
      <c r="C171" s="45" t="s">
        <v>725</v>
      </c>
      <c r="D171" s="61" t="s">
        <v>928</v>
      </c>
      <c r="E171" s="11" t="s">
        <v>29</v>
      </c>
    </row>
    <row r="172">
      <c r="A172" s="48">
        <v>0.5083333333333333</v>
      </c>
      <c r="B172" s="61" t="s">
        <v>1352</v>
      </c>
      <c r="C172" s="45" t="s">
        <v>230</v>
      </c>
      <c r="D172" s="61" t="s">
        <v>1354</v>
      </c>
      <c r="E172" s="11" t="s">
        <v>33</v>
      </c>
    </row>
    <row r="173">
      <c r="A173" s="48">
        <v>0.51875</v>
      </c>
      <c r="B173" s="61" t="s">
        <v>519</v>
      </c>
      <c r="C173" s="45" t="s">
        <v>195</v>
      </c>
      <c r="D173" s="61" t="s">
        <v>928</v>
      </c>
      <c r="E173" s="11" t="s">
        <v>29</v>
      </c>
    </row>
    <row r="174">
      <c r="A174" s="48">
        <v>0.51875</v>
      </c>
      <c r="B174" s="61" t="s">
        <v>1353</v>
      </c>
      <c r="C174" s="45" t="s">
        <v>366</v>
      </c>
      <c r="D174" s="61" t="s">
        <v>1352</v>
      </c>
      <c r="E174" s="11" t="s">
        <v>33</v>
      </c>
    </row>
    <row r="175">
      <c r="A175" s="48">
        <v>0.5291666666666667</v>
      </c>
      <c r="B175" s="61" t="s">
        <v>519</v>
      </c>
      <c r="C175" s="45" t="s">
        <v>209</v>
      </c>
      <c r="D175" s="61" t="s">
        <v>1354</v>
      </c>
      <c r="E175" s="11" t="s">
        <v>29</v>
      </c>
    </row>
    <row r="176">
      <c r="A176" s="48">
        <v>0.5291666666666667</v>
      </c>
      <c r="B176" s="61" t="s">
        <v>928</v>
      </c>
      <c r="C176" s="45" t="s">
        <v>915</v>
      </c>
      <c r="D176" s="61" t="s">
        <v>1352</v>
      </c>
      <c r="E176" s="11" t="s">
        <v>33</v>
      </c>
    </row>
    <row r="177">
      <c r="A177" s="5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412</v>
      </c>
      <c r="C179" s="45" t="s">
        <v>23</v>
      </c>
      <c r="D179" s="61" t="s">
        <v>1355</v>
      </c>
      <c r="E179" s="11" t="s">
        <v>9</v>
      </c>
    </row>
    <row r="180">
      <c r="A180" s="48">
        <v>0.5416666666666666</v>
      </c>
      <c r="B180" s="61" t="s">
        <v>83</v>
      </c>
      <c r="C180" s="45" t="s">
        <v>43</v>
      </c>
      <c r="D180" s="61" t="s">
        <v>1356</v>
      </c>
      <c r="E180" s="11" t="s">
        <v>13</v>
      </c>
    </row>
    <row r="181">
      <c r="A181" s="48">
        <v>0.5513888888888889</v>
      </c>
      <c r="B181" s="61" t="s">
        <v>83</v>
      </c>
      <c r="C181" s="45" t="s">
        <v>11</v>
      </c>
      <c r="D181" s="61" t="s">
        <v>1355</v>
      </c>
      <c r="E181" s="11" t="s">
        <v>9</v>
      </c>
    </row>
    <row r="182">
      <c r="A182" s="48">
        <v>0.5513888888888889</v>
      </c>
      <c r="B182" s="61" t="s">
        <v>1357</v>
      </c>
      <c r="C182" s="45" t="s">
        <v>193</v>
      </c>
      <c r="D182" s="61" t="s">
        <v>1356</v>
      </c>
      <c r="E182" s="11" t="s">
        <v>13</v>
      </c>
    </row>
    <row r="183">
      <c r="A183" s="48">
        <v>0.5618055555555556</v>
      </c>
      <c r="B183" s="61" t="s">
        <v>1357</v>
      </c>
      <c r="C183" s="45" t="s">
        <v>195</v>
      </c>
      <c r="D183" s="61" t="s">
        <v>83</v>
      </c>
      <c r="E183" s="11" t="s">
        <v>9</v>
      </c>
    </row>
    <row r="184">
      <c r="A184" s="48">
        <v>0.5618055555555556</v>
      </c>
      <c r="B184" s="61" t="s">
        <v>1356</v>
      </c>
      <c r="C184" s="45" t="s">
        <v>195</v>
      </c>
      <c r="D184" s="61" t="s">
        <v>412</v>
      </c>
      <c r="E184" s="11" t="s">
        <v>13</v>
      </c>
    </row>
    <row r="185">
      <c r="A185" s="48">
        <v>0.5722222222222222</v>
      </c>
      <c r="B185" s="61" t="s">
        <v>1357</v>
      </c>
      <c r="C185" s="45" t="s">
        <v>220</v>
      </c>
      <c r="D185" s="61" t="s">
        <v>1355</v>
      </c>
      <c r="E185" s="11" t="s">
        <v>9</v>
      </c>
    </row>
    <row r="186">
      <c r="A186" s="48">
        <v>0.5722222222222222</v>
      </c>
      <c r="B186" s="61" t="s">
        <v>412</v>
      </c>
      <c r="C186" s="45" t="s">
        <v>162</v>
      </c>
      <c r="D186" s="61" t="s">
        <v>83</v>
      </c>
      <c r="E186" s="11" t="s">
        <v>13</v>
      </c>
    </row>
    <row r="187">
      <c r="A187" s="48">
        <v>0.5819444444444445</v>
      </c>
      <c r="B187" s="61" t="s">
        <v>1356</v>
      </c>
      <c r="C187" s="45" t="s">
        <v>38</v>
      </c>
      <c r="D187" s="61" t="s">
        <v>1355</v>
      </c>
      <c r="E187" s="11" t="s">
        <v>9</v>
      </c>
    </row>
    <row r="188">
      <c r="A188" s="48">
        <v>0.5819444444444445</v>
      </c>
      <c r="B188" s="61" t="s">
        <v>412</v>
      </c>
      <c r="C188" s="45" t="s">
        <v>354</v>
      </c>
      <c r="D188" s="61" t="s">
        <v>1357</v>
      </c>
      <c r="E188" s="11" t="s">
        <v>13</v>
      </c>
    </row>
    <row r="189">
      <c r="A189" s="48">
        <v>0.5923611111111111</v>
      </c>
      <c r="B189" s="61" t="s">
        <v>1355</v>
      </c>
      <c r="C189" s="45" t="s">
        <v>173</v>
      </c>
      <c r="D189" s="61" t="s">
        <v>412</v>
      </c>
      <c r="E189" s="11" t="s">
        <v>9</v>
      </c>
    </row>
    <row r="190">
      <c r="A190" s="48">
        <v>0.5923611111111111</v>
      </c>
      <c r="B190" s="61" t="s">
        <v>1356</v>
      </c>
      <c r="C190" s="45" t="s">
        <v>313</v>
      </c>
      <c r="D190" s="61" t="s">
        <v>83</v>
      </c>
      <c r="E190" s="11" t="s">
        <v>13</v>
      </c>
    </row>
    <row r="191">
      <c r="A191" s="48">
        <v>0.6027777777777777</v>
      </c>
      <c r="B191" s="61" t="s">
        <v>1355</v>
      </c>
      <c r="C191" s="45" t="s">
        <v>41</v>
      </c>
      <c r="D191" s="61" t="s">
        <v>83</v>
      </c>
      <c r="E191" s="11" t="s">
        <v>9</v>
      </c>
    </row>
    <row r="192">
      <c r="A192" s="48">
        <v>0.6027777777777777</v>
      </c>
      <c r="B192" s="61" t="s">
        <v>1356</v>
      </c>
      <c r="C192" s="45" t="s">
        <v>442</v>
      </c>
      <c r="D192" s="61" t="s">
        <v>1357</v>
      </c>
      <c r="E192" s="11" t="s">
        <v>13</v>
      </c>
    </row>
    <row r="193">
      <c r="A193" s="48">
        <v>0.6125</v>
      </c>
      <c r="B193" s="61" t="s">
        <v>83</v>
      </c>
      <c r="C193" s="45" t="s">
        <v>227</v>
      </c>
      <c r="D193" s="61" t="s">
        <v>1357</v>
      </c>
      <c r="E193" s="11" t="s">
        <v>9</v>
      </c>
    </row>
    <row r="194">
      <c r="A194" s="48">
        <v>0.6125</v>
      </c>
      <c r="B194" s="61" t="s">
        <v>412</v>
      </c>
      <c r="C194" s="45" t="s">
        <v>161</v>
      </c>
      <c r="D194" s="61" t="s">
        <v>1356</v>
      </c>
      <c r="E194" s="11" t="s">
        <v>13</v>
      </c>
    </row>
    <row r="195">
      <c r="A195" s="48">
        <v>0.6229166666666667</v>
      </c>
      <c r="B195" s="61" t="s">
        <v>1355</v>
      </c>
      <c r="C195" s="45" t="s">
        <v>173</v>
      </c>
      <c r="D195" s="61" t="s">
        <v>1357</v>
      </c>
      <c r="E195" s="11" t="s">
        <v>9</v>
      </c>
    </row>
    <row r="196">
      <c r="A196" s="48">
        <v>0.6229166666666667</v>
      </c>
      <c r="B196" s="61" t="s">
        <v>83</v>
      </c>
      <c r="C196" s="45" t="s">
        <v>219</v>
      </c>
      <c r="D196" s="61" t="s">
        <v>412</v>
      </c>
      <c r="E196" s="11" t="s">
        <v>13</v>
      </c>
    </row>
    <row r="197">
      <c r="A197" s="48">
        <v>0.6333333333333333</v>
      </c>
      <c r="B197" s="61" t="s">
        <v>1355</v>
      </c>
      <c r="C197" s="45" t="s">
        <v>158</v>
      </c>
      <c r="D197" s="61" t="s">
        <v>1356</v>
      </c>
      <c r="E197" s="11" t="s">
        <v>9</v>
      </c>
    </row>
    <row r="198">
      <c r="A198" s="48">
        <v>0.6333333333333333</v>
      </c>
      <c r="B198" s="61" t="s">
        <v>1357</v>
      </c>
      <c r="C198" s="45" t="s">
        <v>203</v>
      </c>
      <c r="D198" s="61" t="s">
        <v>412</v>
      </c>
      <c r="E198" s="11" t="s">
        <v>13</v>
      </c>
    </row>
    <row r="199">
      <c r="A199" s="5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1358</v>
      </c>
      <c r="C201" s="57" t="s">
        <v>697</v>
      </c>
      <c r="D201" s="61" t="s">
        <v>1359</v>
      </c>
      <c r="E201" s="11" t="s">
        <v>29</v>
      </c>
    </row>
    <row r="202">
      <c r="A202" s="48">
        <v>0.5416666666666666</v>
      </c>
      <c r="B202" s="61" t="s">
        <v>1360</v>
      </c>
      <c r="C202" s="57" t="s">
        <v>41</v>
      </c>
      <c r="D202" s="61" t="s">
        <v>1361</v>
      </c>
      <c r="E202" s="11" t="s">
        <v>33</v>
      </c>
    </row>
    <row r="203">
      <c r="A203" s="48">
        <v>0.5513888888888889</v>
      </c>
      <c r="B203" s="61" t="s">
        <v>1360</v>
      </c>
      <c r="C203" s="57" t="s">
        <v>220</v>
      </c>
      <c r="D203" s="61" t="s">
        <v>1359</v>
      </c>
      <c r="E203" s="11" t="s">
        <v>29</v>
      </c>
    </row>
    <row r="204">
      <c r="A204" s="48">
        <v>0.5513888888888889</v>
      </c>
      <c r="B204" s="61" t="s">
        <v>1362</v>
      </c>
      <c r="C204" s="57" t="s">
        <v>17</v>
      </c>
      <c r="D204" s="61" t="s">
        <v>1361</v>
      </c>
      <c r="E204" s="11" t="s">
        <v>33</v>
      </c>
    </row>
    <row r="205">
      <c r="A205" s="48">
        <v>0.5618055555555556</v>
      </c>
      <c r="B205" s="61" t="s">
        <v>1362</v>
      </c>
      <c r="C205" s="57" t="s">
        <v>1363</v>
      </c>
      <c r="D205" s="61" t="s">
        <v>1360</v>
      </c>
      <c r="E205" s="11" t="s">
        <v>29</v>
      </c>
    </row>
    <row r="206">
      <c r="A206" s="48">
        <v>0.5618055555555556</v>
      </c>
      <c r="B206" s="61" t="s">
        <v>1361</v>
      </c>
      <c r="C206" s="57" t="s">
        <v>17</v>
      </c>
      <c r="D206" s="61" t="s">
        <v>1358</v>
      </c>
      <c r="E206" s="11" t="s">
        <v>33</v>
      </c>
    </row>
    <row r="207">
      <c r="A207" s="48">
        <v>0.5722222222222222</v>
      </c>
      <c r="B207" s="61" t="s">
        <v>1362</v>
      </c>
      <c r="C207" s="57" t="s">
        <v>638</v>
      </c>
      <c r="D207" s="61" t="s">
        <v>1359</v>
      </c>
      <c r="E207" s="11" t="s">
        <v>29</v>
      </c>
    </row>
    <row r="208">
      <c r="A208" s="48">
        <v>0.5722222222222222</v>
      </c>
      <c r="B208" s="61" t="s">
        <v>1358</v>
      </c>
      <c r="C208" s="57" t="s">
        <v>344</v>
      </c>
      <c r="D208" s="61" t="s">
        <v>1360</v>
      </c>
      <c r="E208" s="11" t="s">
        <v>33</v>
      </c>
    </row>
    <row r="209">
      <c r="A209" s="48">
        <v>0.5819444444444445</v>
      </c>
      <c r="B209" s="61" t="s">
        <v>1361</v>
      </c>
      <c r="C209" s="57" t="s">
        <v>208</v>
      </c>
      <c r="D209" s="61" t="s">
        <v>1359</v>
      </c>
      <c r="E209" s="11" t="s">
        <v>29</v>
      </c>
    </row>
    <row r="210">
      <c r="A210" s="48">
        <v>0.5819444444444445</v>
      </c>
      <c r="B210" s="61" t="s">
        <v>1358</v>
      </c>
      <c r="C210" s="57" t="s">
        <v>177</v>
      </c>
      <c r="D210" s="61" t="s">
        <v>1362</v>
      </c>
      <c r="E210" s="11" t="s">
        <v>33</v>
      </c>
    </row>
    <row r="211">
      <c r="A211" s="48">
        <v>0.5923611111111111</v>
      </c>
      <c r="B211" s="61" t="s">
        <v>1359</v>
      </c>
      <c r="C211" s="57" t="s">
        <v>477</v>
      </c>
      <c r="D211" s="61" t="s">
        <v>1358</v>
      </c>
      <c r="E211" s="11" t="s">
        <v>29</v>
      </c>
    </row>
    <row r="212">
      <c r="A212" s="48">
        <v>0.5923611111111111</v>
      </c>
      <c r="B212" s="61" t="s">
        <v>1361</v>
      </c>
      <c r="C212" s="57" t="s">
        <v>292</v>
      </c>
      <c r="D212" s="61" t="s">
        <v>1360</v>
      </c>
      <c r="E212" s="11" t="s">
        <v>33</v>
      </c>
    </row>
    <row r="213">
      <c r="A213" s="48">
        <v>0.6027777777777777</v>
      </c>
      <c r="B213" s="61" t="s">
        <v>1359</v>
      </c>
      <c r="C213" s="45" t="s">
        <v>581</v>
      </c>
      <c r="D213" s="61" t="s">
        <v>1360</v>
      </c>
      <c r="E213" s="11" t="s">
        <v>29</v>
      </c>
    </row>
    <row r="214">
      <c r="A214" s="48">
        <v>0.6027777777777777</v>
      </c>
      <c r="B214" s="61" t="s">
        <v>1361</v>
      </c>
      <c r="C214" s="45" t="s">
        <v>164</v>
      </c>
      <c r="D214" s="61" t="s">
        <v>1362</v>
      </c>
      <c r="E214" s="11" t="s">
        <v>33</v>
      </c>
    </row>
    <row r="215">
      <c r="A215" s="48">
        <v>0.6125</v>
      </c>
      <c r="B215" s="61" t="s">
        <v>1360</v>
      </c>
      <c r="C215" s="45" t="s">
        <v>177</v>
      </c>
      <c r="D215" s="61" t="s">
        <v>1362</v>
      </c>
      <c r="E215" s="11" t="s">
        <v>29</v>
      </c>
    </row>
    <row r="216">
      <c r="A216" s="48">
        <v>0.6125</v>
      </c>
      <c r="B216" s="61" t="s">
        <v>1358</v>
      </c>
      <c r="C216" s="45" t="s">
        <v>177</v>
      </c>
      <c r="D216" s="61" t="s">
        <v>1361</v>
      </c>
      <c r="E216" s="11" t="s">
        <v>33</v>
      </c>
    </row>
    <row r="217">
      <c r="A217" s="48">
        <v>0.6229166666666667</v>
      </c>
      <c r="B217" s="61" t="s">
        <v>1359</v>
      </c>
      <c r="C217" s="45" t="s">
        <v>1226</v>
      </c>
      <c r="D217" s="61" t="s">
        <v>1362</v>
      </c>
      <c r="E217" s="11" t="s">
        <v>29</v>
      </c>
    </row>
    <row r="218">
      <c r="A218" s="48">
        <v>0.6229166666666667</v>
      </c>
      <c r="B218" s="61" t="s">
        <v>1360</v>
      </c>
      <c r="C218" s="45" t="s">
        <v>19</v>
      </c>
      <c r="D218" s="61" t="s">
        <v>1358</v>
      </c>
      <c r="E218" s="11" t="s">
        <v>33</v>
      </c>
    </row>
    <row r="219">
      <c r="A219" s="48">
        <v>0.6333333333333333</v>
      </c>
      <c r="B219" s="61" t="s">
        <v>1359</v>
      </c>
      <c r="C219" s="45" t="s">
        <v>159</v>
      </c>
      <c r="D219" s="61" t="s">
        <v>1361</v>
      </c>
      <c r="E219" s="15" t="s">
        <v>29</v>
      </c>
    </row>
    <row r="220">
      <c r="A220" s="48">
        <v>0.6333333333333333</v>
      </c>
      <c r="B220" s="61" t="s">
        <v>1362</v>
      </c>
      <c r="C220" s="45" t="s">
        <v>664</v>
      </c>
      <c r="D220" s="61" t="s">
        <v>1358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1364</v>
      </c>
      <c r="C223" s="57" t="s">
        <v>219</v>
      </c>
      <c r="D223" s="62" t="s">
        <v>275</v>
      </c>
      <c r="E223" s="11" t="s">
        <v>9</v>
      </c>
    </row>
    <row r="224">
      <c r="A224" s="48">
        <v>0.6458333333333334</v>
      </c>
      <c r="B224" s="62" t="s">
        <v>1365</v>
      </c>
      <c r="C224" s="57" t="s">
        <v>43</v>
      </c>
      <c r="D224" s="62" t="s">
        <v>1366</v>
      </c>
      <c r="E224" s="11" t="s">
        <v>13</v>
      </c>
    </row>
    <row r="225">
      <c r="A225" s="48">
        <v>0.6555555555555556</v>
      </c>
      <c r="B225" s="62" t="s">
        <v>1365</v>
      </c>
      <c r="C225" s="57" t="s">
        <v>155</v>
      </c>
      <c r="D225" s="62" t="s">
        <v>275</v>
      </c>
      <c r="E225" s="11" t="s">
        <v>9</v>
      </c>
    </row>
    <row r="226">
      <c r="A226" s="48">
        <v>0.6555555555555556</v>
      </c>
      <c r="B226" s="62" t="s">
        <v>90</v>
      </c>
      <c r="C226" s="57" t="s">
        <v>220</v>
      </c>
      <c r="D226" s="62" t="s">
        <v>1366</v>
      </c>
      <c r="E226" s="11" t="s">
        <v>13</v>
      </c>
    </row>
    <row r="227">
      <c r="A227" s="48">
        <v>0.6659722222222222</v>
      </c>
      <c r="B227" s="62" t="s">
        <v>90</v>
      </c>
      <c r="C227" s="57" t="s">
        <v>209</v>
      </c>
      <c r="D227" s="62" t="s">
        <v>1365</v>
      </c>
      <c r="E227" s="11" t="s">
        <v>9</v>
      </c>
    </row>
    <row r="228">
      <c r="A228" s="48">
        <v>0.6659722222222222</v>
      </c>
      <c r="B228" s="62" t="s">
        <v>1366</v>
      </c>
      <c r="C228" s="57" t="s">
        <v>159</v>
      </c>
      <c r="D228" s="62" t="s">
        <v>1364</v>
      </c>
      <c r="E228" s="11" t="s">
        <v>13</v>
      </c>
    </row>
    <row r="229">
      <c r="A229" s="48">
        <v>0.6763888888888889</v>
      </c>
      <c r="B229" s="62" t="s">
        <v>90</v>
      </c>
      <c r="C229" s="57" t="s">
        <v>258</v>
      </c>
      <c r="D229" s="62" t="s">
        <v>275</v>
      </c>
      <c r="E229" s="11" t="s">
        <v>9</v>
      </c>
    </row>
    <row r="230">
      <c r="A230" s="48">
        <v>0.6763888888888889</v>
      </c>
      <c r="B230" s="62" t="s">
        <v>1364</v>
      </c>
      <c r="C230" s="57" t="s">
        <v>23</v>
      </c>
      <c r="D230" s="62" t="s">
        <v>1365</v>
      </c>
      <c r="E230" s="11" t="s">
        <v>13</v>
      </c>
    </row>
    <row r="231">
      <c r="A231" s="48">
        <v>0.6861111111111111</v>
      </c>
      <c r="B231" s="62" t="s">
        <v>1366</v>
      </c>
      <c r="C231" s="57" t="s">
        <v>185</v>
      </c>
      <c r="D231" s="62" t="s">
        <v>275</v>
      </c>
      <c r="E231" s="11" t="s">
        <v>9</v>
      </c>
    </row>
    <row r="232">
      <c r="A232" s="48">
        <v>0.6861111111111111</v>
      </c>
      <c r="B232" s="62" t="s">
        <v>1364</v>
      </c>
      <c r="C232" s="57" t="s">
        <v>225</v>
      </c>
      <c r="D232" s="62" t="s">
        <v>90</v>
      </c>
      <c r="E232" s="11" t="s">
        <v>13</v>
      </c>
    </row>
    <row r="233">
      <c r="A233" s="48">
        <v>0.6965277777777777</v>
      </c>
      <c r="B233" s="62" t="s">
        <v>275</v>
      </c>
      <c r="C233" s="57" t="s">
        <v>184</v>
      </c>
      <c r="D233" s="62" t="s">
        <v>1364</v>
      </c>
      <c r="E233" s="11" t="s">
        <v>9</v>
      </c>
    </row>
    <row r="234">
      <c r="A234" s="48">
        <v>0.6965277777777777</v>
      </c>
      <c r="B234" s="62" t="s">
        <v>1366</v>
      </c>
      <c r="C234" s="57" t="s">
        <v>225</v>
      </c>
      <c r="D234" s="62" t="s">
        <v>1365</v>
      </c>
      <c r="E234" s="11" t="s">
        <v>13</v>
      </c>
    </row>
    <row r="235">
      <c r="A235" s="48">
        <v>0.7069444444444445</v>
      </c>
      <c r="B235" s="62" t="s">
        <v>275</v>
      </c>
      <c r="C235" s="45" t="s">
        <v>20</v>
      </c>
      <c r="D235" s="62" t="s">
        <v>1365</v>
      </c>
      <c r="E235" s="11" t="s">
        <v>9</v>
      </c>
    </row>
    <row r="236">
      <c r="A236" s="48">
        <v>0.7069444444444445</v>
      </c>
      <c r="B236" s="62" t="s">
        <v>1366</v>
      </c>
      <c r="C236" s="45" t="s">
        <v>762</v>
      </c>
      <c r="D236" s="62" t="s">
        <v>90</v>
      </c>
      <c r="E236" s="11" t="s">
        <v>13</v>
      </c>
    </row>
    <row r="237">
      <c r="A237" s="48">
        <v>0.7166666666666667</v>
      </c>
      <c r="B237" s="62" t="s">
        <v>1365</v>
      </c>
      <c r="C237" s="45" t="s">
        <v>271</v>
      </c>
      <c r="D237" s="62" t="s">
        <v>90</v>
      </c>
      <c r="E237" s="11" t="s">
        <v>9</v>
      </c>
    </row>
    <row r="238">
      <c r="A238" s="48">
        <v>0.7166666666666667</v>
      </c>
      <c r="B238" s="62" t="s">
        <v>1364</v>
      </c>
      <c r="C238" s="45" t="s">
        <v>44</v>
      </c>
      <c r="D238" s="62" t="s">
        <v>1366</v>
      </c>
      <c r="E238" s="11" t="s">
        <v>13</v>
      </c>
    </row>
    <row r="239">
      <c r="A239" s="48">
        <v>0.7270833333333333</v>
      </c>
      <c r="B239" s="62" t="s">
        <v>275</v>
      </c>
      <c r="C239" s="45" t="s">
        <v>302</v>
      </c>
      <c r="D239" s="62" t="s">
        <v>90</v>
      </c>
      <c r="E239" s="11" t="s">
        <v>9</v>
      </c>
    </row>
    <row r="240">
      <c r="A240" s="48">
        <v>0.7270833333333333</v>
      </c>
      <c r="B240" s="62" t="s">
        <v>1365</v>
      </c>
      <c r="C240" s="45" t="s">
        <v>20</v>
      </c>
      <c r="D240" s="62" t="s">
        <v>1364</v>
      </c>
      <c r="E240" s="11" t="s">
        <v>13</v>
      </c>
    </row>
    <row r="241">
      <c r="A241" s="48">
        <v>0.7375</v>
      </c>
      <c r="B241" s="62" t="s">
        <v>275</v>
      </c>
      <c r="C241" s="45" t="s">
        <v>220</v>
      </c>
      <c r="D241" s="62" t="s">
        <v>1366</v>
      </c>
      <c r="E241" s="11" t="s">
        <v>9</v>
      </c>
    </row>
    <row r="242">
      <c r="A242" s="48">
        <v>0.7375</v>
      </c>
      <c r="B242" s="62" t="s">
        <v>90</v>
      </c>
      <c r="C242" s="45" t="s">
        <v>185</v>
      </c>
      <c r="D242" s="62" t="s">
        <v>1364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1303</v>
      </c>
      <c r="C245" s="45" t="s">
        <v>354</v>
      </c>
      <c r="D245" s="62" t="s">
        <v>1367</v>
      </c>
      <c r="E245" s="11" t="s">
        <v>29</v>
      </c>
    </row>
    <row r="246">
      <c r="A246" s="48">
        <v>0.6458333333333334</v>
      </c>
      <c r="B246" s="62" t="s">
        <v>546</v>
      </c>
      <c r="C246" s="45" t="s">
        <v>16</v>
      </c>
      <c r="D246" s="62" t="s">
        <v>1302</v>
      </c>
      <c r="E246" s="11" t="s">
        <v>33</v>
      </c>
    </row>
    <row r="247">
      <c r="A247" s="48">
        <v>0.6555555555555556</v>
      </c>
      <c r="B247" s="62" t="s">
        <v>546</v>
      </c>
      <c r="C247" s="45" t="s">
        <v>279</v>
      </c>
      <c r="D247" s="62" t="s">
        <v>1367</v>
      </c>
      <c r="E247" s="11" t="s">
        <v>29</v>
      </c>
    </row>
    <row r="248">
      <c r="A248" s="48">
        <v>0.6555555555555556</v>
      </c>
      <c r="B248" s="62" t="s">
        <v>1368</v>
      </c>
      <c r="C248" s="45" t="s">
        <v>323</v>
      </c>
      <c r="D248" s="62" t="s">
        <v>1302</v>
      </c>
      <c r="E248" s="11" t="s">
        <v>33</v>
      </c>
    </row>
    <row r="249">
      <c r="A249" s="48">
        <v>0.6659722222222222</v>
      </c>
      <c r="B249" s="62" t="s">
        <v>1368</v>
      </c>
      <c r="C249" s="45" t="s">
        <v>508</v>
      </c>
      <c r="D249" s="62" t="s">
        <v>546</v>
      </c>
      <c r="E249" s="11" t="s">
        <v>29</v>
      </c>
    </row>
    <row r="250">
      <c r="A250" s="48">
        <v>0.6659722222222222</v>
      </c>
      <c r="B250" s="62" t="s">
        <v>1302</v>
      </c>
      <c r="C250" s="45" t="s">
        <v>162</v>
      </c>
      <c r="D250" s="62" t="s">
        <v>1303</v>
      </c>
      <c r="E250" s="11" t="s">
        <v>33</v>
      </c>
    </row>
    <row r="251">
      <c r="A251" s="48">
        <v>0.6763888888888889</v>
      </c>
      <c r="B251" s="62" t="s">
        <v>1368</v>
      </c>
      <c r="C251" s="45" t="s">
        <v>211</v>
      </c>
      <c r="D251" s="62" t="s">
        <v>1367</v>
      </c>
      <c r="E251" s="11" t="s">
        <v>29</v>
      </c>
    </row>
    <row r="252">
      <c r="A252" s="48">
        <v>0.6763888888888889</v>
      </c>
      <c r="B252" s="62" t="s">
        <v>1303</v>
      </c>
      <c r="C252" s="45" t="s">
        <v>18</v>
      </c>
      <c r="D252" s="62" t="s">
        <v>546</v>
      </c>
      <c r="E252" s="11" t="s">
        <v>33</v>
      </c>
    </row>
    <row r="253">
      <c r="A253" s="48">
        <v>0.6861111111111111</v>
      </c>
      <c r="B253" s="62" t="s">
        <v>1302</v>
      </c>
      <c r="C253" s="45" t="s">
        <v>43</v>
      </c>
      <c r="D253" s="62" t="s">
        <v>1367</v>
      </c>
      <c r="E253" s="11" t="s">
        <v>29</v>
      </c>
    </row>
    <row r="254">
      <c r="A254" s="48">
        <v>0.6861111111111111</v>
      </c>
      <c r="B254" s="62" t="s">
        <v>1303</v>
      </c>
      <c r="C254" s="45" t="s">
        <v>675</v>
      </c>
      <c r="D254" s="62" t="s">
        <v>1368</v>
      </c>
      <c r="E254" s="11" t="s">
        <v>33</v>
      </c>
    </row>
    <row r="255">
      <c r="A255" s="48">
        <v>0.6965277777777777</v>
      </c>
      <c r="B255" s="62" t="s">
        <v>1367</v>
      </c>
      <c r="C255" s="45" t="s">
        <v>31</v>
      </c>
      <c r="D255" s="62" t="s">
        <v>1303</v>
      </c>
      <c r="E255" s="11" t="s">
        <v>29</v>
      </c>
    </row>
    <row r="256">
      <c r="A256" s="48">
        <v>0.6965277777777777</v>
      </c>
      <c r="B256" s="62" t="s">
        <v>1302</v>
      </c>
      <c r="C256" s="45" t="s">
        <v>155</v>
      </c>
      <c r="D256" s="62" t="s">
        <v>546</v>
      </c>
      <c r="E256" s="11" t="s">
        <v>33</v>
      </c>
    </row>
    <row r="257">
      <c r="A257" s="48">
        <v>0.7069444444444445</v>
      </c>
      <c r="B257" s="62" t="s">
        <v>1367</v>
      </c>
      <c r="C257" s="45" t="s">
        <v>248</v>
      </c>
      <c r="D257" s="62" t="s">
        <v>546</v>
      </c>
      <c r="E257" s="11" t="s">
        <v>29</v>
      </c>
    </row>
    <row r="258">
      <c r="A258" s="48">
        <v>0.7069444444444445</v>
      </c>
      <c r="B258" s="62" t="s">
        <v>1302</v>
      </c>
      <c r="C258" s="45" t="s">
        <v>194</v>
      </c>
      <c r="D258" s="62" t="s">
        <v>1368</v>
      </c>
      <c r="E258" s="11" t="s">
        <v>33</v>
      </c>
    </row>
    <row r="259">
      <c r="A259" s="48">
        <v>0.7166666666666667</v>
      </c>
      <c r="B259" s="62" t="s">
        <v>546</v>
      </c>
      <c r="C259" s="45" t="s">
        <v>281</v>
      </c>
      <c r="D259" s="62" t="s">
        <v>1368</v>
      </c>
      <c r="E259" s="11" t="s">
        <v>29</v>
      </c>
    </row>
    <row r="260">
      <c r="A260" s="48">
        <v>0.7166666666666667</v>
      </c>
      <c r="B260" s="62" t="s">
        <v>1303</v>
      </c>
      <c r="C260" s="45" t="s">
        <v>23</v>
      </c>
      <c r="D260" s="62" t="s">
        <v>1302</v>
      </c>
      <c r="E260" s="11" t="s">
        <v>33</v>
      </c>
    </row>
    <row r="261">
      <c r="A261" s="48">
        <v>0.7270833333333333</v>
      </c>
      <c r="B261" s="62" t="s">
        <v>1367</v>
      </c>
      <c r="C261" s="45" t="s">
        <v>547</v>
      </c>
      <c r="D261" s="62" t="s">
        <v>1368</v>
      </c>
      <c r="E261" s="11" t="s">
        <v>29</v>
      </c>
    </row>
    <row r="262">
      <c r="A262" s="48">
        <v>0.7270833333333333</v>
      </c>
      <c r="B262" s="62" t="s">
        <v>546</v>
      </c>
      <c r="C262" s="45" t="s">
        <v>165</v>
      </c>
      <c r="D262" s="62" t="s">
        <v>1303</v>
      </c>
      <c r="E262" s="11" t="s">
        <v>33</v>
      </c>
    </row>
    <row r="263">
      <c r="A263" s="48">
        <v>0.7375</v>
      </c>
      <c r="B263" s="62" t="s">
        <v>1367</v>
      </c>
      <c r="C263" s="45" t="s">
        <v>302</v>
      </c>
      <c r="D263" s="62" t="s">
        <v>1302</v>
      </c>
      <c r="E263" s="11" t="s">
        <v>29</v>
      </c>
    </row>
    <row r="264">
      <c r="A264" s="48">
        <v>0.7375</v>
      </c>
      <c r="B264" s="62" t="s">
        <v>1368</v>
      </c>
      <c r="C264" s="45" t="s">
        <v>210</v>
      </c>
      <c r="D264" s="62" t="s">
        <v>1303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1369</v>
      </c>
      <c r="C267" s="45" t="s">
        <v>16</v>
      </c>
      <c r="D267" s="62" t="s">
        <v>103</v>
      </c>
      <c r="E267" s="11" t="s">
        <v>9</v>
      </c>
    </row>
    <row r="268">
      <c r="A268" s="48">
        <v>0.75</v>
      </c>
      <c r="B268" s="62" t="s">
        <v>1370</v>
      </c>
      <c r="C268" s="45" t="s">
        <v>173</v>
      </c>
      <c r="D268" s="62" t="s">
        <v>1371</v>
      </c>
      <c r="E268" s="11" t="s">
        <v>13</v>
      </c>
    </row>
    <row r="269">
      <c r="A269" s="48">
        <v>0.7597222222222222</v>
      </c>
      <c r="B269" s="62" t="s">
        <v>1370</v>
      </c>
      <c r="C269" s="45" t="s">
        <v>164</v>
      </c>
      <c r="D269" s="62" t="s">
        <v>103</v>
      </c>
      <c r="E269" s="11" t="s">
        <v>9</v>
      </c>
    </row>
    <row r="270">
      <c r="A270" s="48">
        <v>0.7597222222222222</v>
      </c>
      <c r="B270" s="62" t="s">
        <v>961</v>
      </c>
      <c r="C270" s="45" t="s">
        <v>185</v>
      </c>
      <c r="D270" s="62" t="s">
        <v>1371</v>
      </c>
      <c r="E270" s="11" t="s">
        <v>13</v>
      </c>
      <c r="G270" s="50"/>
    </row>
    <row r="271">
      <c r="A271" s="48">
        <v>0.7701388888888889</v>
      </c>
      <c r="B271" s="62" t="s">
        <v>961</v>
      </c>
      <c r="C271" s="45" t="s">
        <v>524</v>
      </c>
      <c r="D271" s="62" t="s">
        <v>1370</v>
      </c>
      <c r="E271" s="11" t="s">
        <v>9</v>
      </c>
    </row>
    <row r="272">
      <c r="A272" s="48">
        <v>0.7701388888888889</v>
      </c>
      <c r="B272" s="62" t="s">
        <v>1371</v>
      </c>
      <c r="C272" s="45" t="s">
        <v>302</v>
      </c>
      <c r="D272" s="62" t="s">
        <v>1369</v>
      </c>
      <c r="E272" s="11" t="s">
        <v>13</v>
      </c>
    </row>
    <row r="273">
      <c r="A273" s="48">
        <v>0.7805555555555556</v>
      </c>
      <c r="B273" s="62" t="s">
        <v>961</v>
      </c>
      <c r="C273" s="45" t="s">
        <v>16</v>
      </c>
      <c r="D273" s="62" t="s">
        <v>103</v>
      </c>
      <c r="E273" s="11" t="s">
        <v>9</v>
      </c>
    </row>
    <row r="274">
      <c r="A274" s="48">
        <v>0.7805555555555556</v>
      </c>
      <c r="B274" s="62" t="s">
        <v>1369</v>
      </c>
      <c r="C274" s="45" t="s">
        <v>338</v>
      </c>
      <c r="D274" s="62" t="s">
        <v>1370</v>
      </c>
      <c r="E274" s="11" t="s">
        <v>13</v>
      </c>
    </row>
    <row r="275">
      <c r="A275" s="48">
        <v>0.7902777777777777</v>
      </c>
      <c r="B275" s="62" t="s">
        <v>1371</v>
      </c>
      <c r="C275" s="45" t="s">
        <v>225</v>
      </c>
      <c r="D275" s="62" t="s">
        <v>103</v>
      </c>
      <c r="E275" s="11" t="s">
        <v>9</v>
      </c>
    </row>
    <row r="276">
      <c r="A276" s="48">
        <v>0.7902777777777777</v>
      </c>
      <c r="B276" s="62" t="s">
        <v>1369</v>
      </c>
      <c r="C276" s="45" t="s">
        <v>23</v>
      </c>
      <c r="D276" s="62" t="s">
        <v>961</v>
      </c>
      <c r="E276" s="11" t="s">
        <v>13</v>
      </c>
    </row>
    <row r="277">
      <c r="A277" s="48">
        <v>0.8006944444444445</v>
      </c>
      <c r="B277" s="62" t="s">
        <v>103</v>
      </c>
      <c r="C277" s="45" t="s">
        <v>44</v>
      </c>
      <c r="D277" s="62" t="s">
        <v>1369</v>
      </c>
      <c r="E277" s="11" t="s">
        <v>9</v>
      </c>
    </row>
    <row r="278">
      <c r="A278" s="48">
        <v>0.8006944444444445</v>
      </c>
      <c r="B278" s="62" t="s">
        <v>1371</v>
      </c>
      <c r="C278" s="45" t="s">
        <v>209</v>
      </c>
      <c r="D278" s="62" t="s">
        <v>1370</v>
      </c>
      <c r="E278" s="11" t="s">
        <v>13</v>
      </c>
    </row>
    <row r="279">
      <c r="A279" s="48">
        <v>0.8111111111111111</v>
      </c>
      <c r="B279" s="62" t="s">
        <v>103</v>
      </c>
      <c r="C279" s="45" t="s">
        <v>278</v>
      </c>
      <c r="D279" s="62" t="s">
        <v>1370</v>
      </c>
      <c r="E279" s="11" t="s">
        <v>9</v>
      </c>
    </row>
    <row r="280">
      <c r="A280" s="48">
        <v>0.8111111111111111</v>
      </c>
      <c r="B280" s="62" t="s">
        <v>1371</v>
      </c>
      <c r="C280" s="45" t="s">
        <v>42</v>
      </c>
      <c r="D280" s="62" t="s">
        <v>961</v>
      </c>
      <c r="E280" s="11" t="s">
        <v>13</v>
      </c>
    </row>
    <row r="281">
      <c r="A281" s="48">
        <v>0.8208333333333333</v>
      </c>
      <c r="B281" s="62" t="s">
        <v>1370</v>
      </c>
      <c r="C281" s="45" t="s">
        <v>20</v>
      </c>
      <c r="D281" s="62" t="s">
        <v>961</v>
      </c>
      <c r="E281" s="11" t="s">
        <v>9</v>
      </c>
    </row>
    <row r="282">
      <c r="A282" s="48">
        <v>0.8208333333333333</v>
      </c>
      <c r="B282" s="62" t="s">
        <v>1369</v>
      </c>
      <c r="C282" s="45" t="s">
        <v>44</v>
      </c>
      <c r="D282" s="62" t="s">
        <v>1371</v>
      </c>
      <c r="E282" s="11" t="s">
        <v>13</v>
      </c>
    </row>
    <row r="283">
      <c r="A283" s="48">
        <v>0.83125</v>
      </c>
      <c r="B283" s="62" t="s">
        <v>103</v>
      </c>
      <c r="C283" s="45" t="s">
        <v>1372</v>
      </c>
      <c r="D283" s="62" t="s">
        <v>961</v>
      </c>
      <c r="E283" s="11" t="s">
        <v>9</v>
      </c>
    </row>
    <row r="284">
      <c r="A284" s="48">
        <v>0.83125</v>
      </c>
      <c r="B284" s="62" t="s">
        <v>1370</v>
      </c>
      <c r="C284" s="45" t="s">
        <v>344</v>
      </c>
      <c r="D284" s="62" t="s">
        <v>1369</v>
      </c>
      <c r="E284" s="11" t="s">
        <v>13</v>
      </c>
    </row>
    <row r="285">
      <c r="A285" s="48">
        <v>0.8416666666666667</v>
      </c>
      <c r="B285" s="62" t="s">
        <v>103</v>
      </c>
      <c r="C285" s="45" t="s">
        <v>158</v>
      </c>
      <c r="D285" s="62" t="s">
        <v>1371</v>
      </c>
      <c r="E285" s="11" t="s">
        <v>9</v>
      </c>
    </row>
    <row r="286">
      <c r="A286" s="48">
        <v>0.8416666666666667</v>
      </c>
      <c r="B286" s="62" t="s">
        <v>961</v>
      </c>
      <c r="C286" s="45" t="s">
        <v>279</v>
      </c>
      <c r="D286" s="62" t="s">
        <v>1369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1373</v>
      </c>
      <c r="C289" s="45" t="s">
        <v>18</v>
      </c>
      <c r="D289" s="62" t="s">
        <v>962</v>
      </c>
      <c r="E289" s="11" t="s">
        <v>29</v>
      </c>
    </row>
    <row r="290">
      <c r="A290" s="48">
        <v>0.75</v>
      </c>
      <c r="B290" s="62" t="s">
        <v>883</v>
      </c>
      <c r="C290" s="45" t="s">
        <v>37</v>
      </c>
      <c r="D290" s="62" t="s">
        <v>1253</v>
      </c>
      <c r="E290" s="11" t="s">
        <v>33</v>
      </c>
    </row>
    <row r="291">
      <c r="A291" s="48">
        <v>0.7597222222222222</v>
      </c>
      <c r="B291" s="62" t="s">
        <v>883</v>
      </c>
      <c r="C291" s="45" t="s">
        <v>21</v>
      </c>
      <c r="D291" s="62" t="s">
        <v>962</v>
      </c>
      <c r="E291" s="11" t="s">
        <v>29</v>
      </c>
    </row>
    <row r="292">
      <c r="A292" s="48">
        <v>0.7597222222222222</v>
      </c>
      <c r="B292" s="62" t="s">
        <v>1374</v>
      </c>
      <c r="C292" s="45" t="s">
        <v>271</v>
      </c>
      <c r="D292" s="62" t="s">
        <v>1253</v>
      </c>
      <c r="E292" s="11" t="s">
        <v>33</v>
      </c>
    </row>
    <row r="293">
      <c r="A293" s="48">
        <v>0.7701388888888889</v>
      </c>
      <c r="B293" s="62" t="s">
        <v>1374</v>
      </c>
      <c r="C293" s="45" t="s">
        <v>344</v>
      </c>
      <c r="D293" s="62" t="s">
        <v>883</v>
      </c>
      <c r="E293" s="11" t="s">
        <v>29</v>
      </c>
    </row>
    <row r="294">
      <c r="A294" s="48">
        <v>0.7701388888888889</v>
      </c>
      <c r="B294" s="62" t="s">
        <v>1253</v>
      </c>
      <c r="C294" s="45" t="s">
        <v>44</v>
      </c>
      <c r="D294" s="62" t="s">
        <v>1373</v>
      </c>
      <c r="E294" s="11" t="s">
        <v>33</v>
      </c>
    </row>
    <row r="295">
      <c r="A295" s="48">
        <v>0.7805555555555556</v>
      </c>
      <c r="B295" s="62" t="s">
        <v>1374</v>
      </c>
      <c r="C295" s="45" t="s">
        <v>248</v>
      </c>
      <c r="D295" s="62" t="s">
        <v>962</v>
      </c>
      <c r="E295" s="11" t="s">
        <v>29</v>
      </c>
    </row>
    <row r="296">
      <c r="A296" s="48">
        <v>0.7805555555555556</v>
      </c>
      <c r="B296" s="62" t="s">
        <v>1373</v>
      </c>
      <c r="C296" s="45" t="s">
        <v>165</v>
      </c>
      <c r="D296" s="62" t="s">
        <v>883</v>
      </c>
      <c r="E296" s="11" t="s">
        <v>33</v>
      </c>
    </row>
    <row r="297">
      <c r="A297" s="48">
        <v>0.7902777777777777</v>
      </c>
      <c r="B297" s="62" t="s">
        <v>1253</v>
      </c>
      <c r="C297" s="45" t="s">
        <v>657</v>
      </c>
      <c r="D297" s="62" t="s">
        <v>962</v>
      </c>
      <c r="E297" s="11" t="s">
        <v>29</v>
      </c>
    </row>
    <row r="298">
      <c r="A298" s="48">
        <v>0.7902777777777777</v>
      </c>
      <c r="B298" s="62" t="s">
        <v>1373</v>
      </c>
      <c r="C298" s="45" t="s">
        <v>162</v>
      </c>
      <c r="D298" s="62" t="s">
        <v>1374</v>
      </c>
      <c r="E298" s="11" t="s">
        <v>33</v>
      </c>
    </row>
    <row r="299">
      <c r="A299" s="48">
        <v>0.8006944444444445</v>
      </c>
      <c r="B299" s="62" t="s">
        <v>962</v>
      </c>
      <c r="C299" s="45" t="s">
        <v>7</v>
      </c>
      <c r="D299" s="62" t="s">
        <v>1373</v>
      </c>
      <c r="E299" s="11" t="s">
        <v>29</v>
      </c>
    </row>
    <row r="300">
      <c r="A300" s="48">
        <v>0.8006944444444445</v>
      </c>
      <c r="B300" s="62" t="s">
        <v>1253</v>
      </c>
      <c r="C300" s="45" t="s">
        <v>334</v>
      </c>
      <c r="D300" s="62" t="s">
        <v>883</v>
      </c>
      <c r="E300" s="11" t="s">
        <v>33</v>
      </c>
    </row>
    <row r="301">
      <c r="A301" s="48">
        <v>0.8111111111111111</v>
      </c>
      <c r="B301" s="62" t="s">
        <v>962</v>
      </c>
      <c r="C301" s="45" t="s">
        <v>158</v>
      </c>
      <c r="D301" s="62" t="s">
        <v>883</v>
      </c>
      <c r="E301" s="11" t="s">
        <v>29</v>
      </c>
    </row>
    <row r="302">
      <c r="A302" s="48">
        <v>0.8111111111111111</v>
      </c>
      <c r="B302" s="62" t="s">
        <v>1253</v>
      </c>
      <c r="C302" s="45" t="s">
        <v>425</v>
      </c>
      <c r="D302" s="62" t="s">
        <v>1374</v>
      </c>
      <c r="E302" s="11" t="s">
        <v>33</v>
      </c>
    </row>
    <row r="303">
      <c r="A303" s="48">
        <v>0.8208333333333333</v>
      </c>
      <c r="B303" s="62" t="s">
        <v>883</v>
      </c>
      <c r="C303" s="45" t="s">
        <v>279</v>
      </c>
      <c r="D303" s="62" t="s">
        <v>1374</v>
      </c>
      <c r="E303" s="11" t="s">
        <v>29</v>
      </c>
    </row>
    <row r="304">
      <c r="A304" s="48">
        <v>0.8208333333333333</v>
      </c>
      <c r="B304" s="62" t="s">
        <v>1373</v>
      </c>
      <c r="C304" s="45" t="s">
        <v>271</v>
      </c>
      <c r="D304" s="62" t="s">
        <v>1253</v>
      </c>
      <c r="E304" s="11" t="s">
        <v>33</v>
      </c>
    </row>
    <row r="305">
      <c r="A305" s="48">
        <v>0.83125</v>
      </c>
      <c r="B305" s="62" t="s">
        <v>962</v>
      </c>
      <c r="C305" s="45" t="s">
        <v>229</v>
      </c>
      <c r="D305" s="62" t="s">
        <v>1374</v>
      </c>
      <c r="E305" s="11" t="s">
        <v>29</v>
      </c>
    </row>
    <row r="306">
      <c r="A306" s="48">
        <v>0.83125</v>
      </c>
      <c r="B306" s="62" t="s">
        <v>883</v>
      </c>
      <c r="C306" s="45" t="s">
        <v>193</v>
      </c>
      <c r="D306" s="62" t="s">
        <v>1373</v>
      </c>
      <c r="E306" s="11" t="s">
        <v>33</v>
      </c>
    </row>
    <row r="307">
      <c r="A307" s="48">
        <v>0.8416666666666667</v>
      </c>
      <c r="B307" s="62" t="s">
        <v>962</v>
      </c>
      <c r="C307" s="45" t="s">
        <v>155</v>
      </c>
      <c r="D307" s="62" t="s">
        <v>1253</v>
      </c>
      <c r="E307" s="11" t="s">
        <v>29</v>
      </c>
    </row>
    <row r="308">
      <c r="A308" s="48">
        <v>0.8416666666666667</v>
      </c>
      <c r="B308" s="62" t="s">
        <v>1374</v>
      </c>
      <c r="C308" s="45" t="s">
        <v>19</v>
      </c>
      <c r="D308" s="62" t="s">
        <v>1373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1375</v>
      </c>
      <c r="C311" s="57" t="s">
        <v>289</v>
      </c>
      <c r="D311" s="62" t="s">
        <v>1258</v>
      </c>
      <c r="E311" s="11" t="s">
        <v>9</v>
      </c>
    </row>
    <row r="312">
      <c r="A312" s="48">
        <v>0.8541666666666666</v>
      </c>
      <c r="B312" s="62" t="s">
        <v>1376</v>
      </c>
      <c r="C312" s="57" t="s">
        <v>220</v>
      </c>
      <c r="D312" s="62" t="s">
        <v>1377</v>
      </c>
      <c r="E312" s="11" t="s">
        <v>13</v>
      </c>
    </row>
    <row r="313">
      <c r="A313" s="48">
        <v>0.8638888888888889</v>
      </c>
      <c r="B313" s="62" t="s">
        <v>1376</v>
      </c>
      <c r="C313" s="57" t="s">
        <v>16</v>
      </c>
      <c r="D313" s="62" t="s">
        <v>1258</v>
      </c>
      <c r="E313" s="11" t="s">
        <v>9</v>
      </c>
    </row>
    <row r="314">
      <c r="A314" s="48">
        <v>0.8638888888888889</v>
      </c>
      <c r="B314" s="62" t="s">
        <v>1378</v>
      </c>
      <c r="C314" s="57" t="s">
        <v>203</v>
      </c>
      <c r="D314" s="62" t="s">
        <v>1377</v>
      </c>
      <c r="E314" s="11" t="s">
        <v>13</v>
      </c>
    </row>
    <row r="315">
      <c r="A315" s="48">
        <v>0.8743055555555556</v>
      </c>
      <c r="B315" s="62" t="s">
        <v>1378</v>
      </c>
      <c r="C315" s="57" t="s">
        <v>264</v>
      </c>
      <c r="D315" s="62" t="s">
        <v>1376</v>
      </c>
      <c r="E315" s="11" t="s">
        <v>9</v>
      </c>
    </row>
    <row r="316">
      <c r="A316" s="48">
        <v>0.8743055555555556</v>
      </c>
      <c r="B316" s="62" t="s">
        <v>1377</v>
      </c>
      <c r="C316" s="57" t="s">
        <v>23</v>
      </c>
      <c r="D316" s="62" t="s">
        <v>1375</v>
      </c>
      <c r="E316" s="11" t="s">
        <v>13</v>
      </c>
    </row>
    <row r="317">
      <c r="A317" s="48">
        <v>0.8847222222222222</v>
      </c>
      <c r="B317" s="62" t="s">
        <v>1378</v>
      </c>
      <c r="C317" s="57" t="s">
        <v>222</v>
      </c>
      <c r="D317" s="62" t="s">
        <v>1258</v>
      </c>
      <c r="E317" s="11" t="s">
        <v>9</v>
      </c>
    </row>
    <row r="318">
      <c r="A318" s="48">
        <v>0.8847222222222222</v>
      </c>
      <c r="B318" s="62" t="s">
        <v>1375</v>
      </c>
      <c r="C318" s="57" t="s">
        <v>233</v>
      </c>
      <c r="D318" s="62" t="s">
        <v>1376</v>
      </c>
      <c r="E318" s="11" t="s">
        <v>13</v>
      </c>
    </row>
    <row r="319">
      <c r="A319" s="48">
        <v>0.8944444444444445</v>
      </c>
      <c r="B319" s="62" t="s">
        <v>1377</v>
      </c>
      <c r="C319" s="57" t="s">
        <v>352</v>
      </c>
      <c r="D319" s="62" t="s">
        <v>1258</v>
      </c>
      <c r="E319" s="11" t="s">
        <v>9</v>
      </c>
    </row>
    <row r="320">
      <c r="A320" s="48">
        <v>0.8944444444444445</v>
      </c>
      <c r="B320" s="62" t="s">
        <v>1375</v>
      </c>
      <c r="C320" s="57" t="s">
        <v>14</v>
      </c>
      <c r="D320" s="62" t="s">
        <v>1378</v>
      </c>
      <c r="E320" s="11" t="s">
        <v>13</v>
      </c>
    </row>
    <row r="321">
      <c r="A321" s="48">
        <v>0.9048611111111111</v>
      </c>
      <c r="B321" s="62" t="s">
        <v>1258</v>
      </c>
      <c r="C321" s="57" t="s">
        <v>7</v>
      </c>
      <c r="D321" s="62" t="s">
        <v>1375</v>
      </c>
      <c r="E321" s="11" t="s">
        <v>9</v>
      </c>
    </row>
    <row r="322">
      <c r="A322" s="48">
        <v>0.9048611111111111</v>
      </c>
      <c r="B322" s="62" t="s">
        <v>1377</v>
      </c>
      <c r="C322" s="57" t="s">
        <v>442</v>
      </c>
      <c r="D322" s="62" t="s">
        <v>1376</v>
      </c>
      <c r="E322" s="11" t="s">
        <v>13</v>
      </c>
    </row>
    <row r="323">
      <c r="A323" s="48">
        <v>0.9152777777777777</v>
      </c>
      <c r="B323" s="62" t="s">
        <v>1258</v>
      </c>
      <c r="C323" s="45" t="s">
        <v>18</v>
      </c>
      <c r="D323" s="62" t="s">
        <v>1376</v>
      </c>
      <c r="E323" s="11" t="s">
        <v>9</v>
      </c>
    </row>
    <row r="324">
      <c r="A324" s="48">
        <v>0.9152777777777777</v>
      </c>
      <c r="B324" s="62" t="s">
        <v>1377</v>
      </c>
      <c r="C324" s="45" t="s">
        <v>162</v>
      </c>
      <c r="D324" s="62" t="s">
        <v>1378</v>
      </c>
      <c r="E324" s="11" t="s">
        <v>13</v>
      </c>
    </row>
    <row r="325">
      <c r="A325" s="48">
        <v>0.925</v>
      </c>
      <c r="B325" s="62" t="s">
        <v>1376</v>
      </c>
      <c r="C325" s="45" t="s">
        <v>43</v>
      </c>
      <c r="D325" s="62" t="s">
        <v>1378</v>
      </c>
      <c r="E325" s="11" t="s">
        <v>9</v>
      </c>
    </row>
    <row r="326">
      <c r="A326" s="48">
        <v>0.925</v>
      </c>
      <c r="B326" s="62" t="s">
        <v>1375</v>
      </c>
      <c r="C326" s="45" t="s">
        <v>210</v>
      </c>
      <c r="D326" s="62" t="s">
        <v>1377</v>
      </c>
      <c r="E326" s="11" t="s">
        <v>13</v>
      </c>
    </row>
    <row r="327">
      <c r="A327" s="48">
        <v>0.9354166666666667</v>
      </c>
      <c r="B327" s="62" t="s">
        <v>1258</v>
      </c>
      <c r="C327" s="45" t="s">
        <v>14</v>
      </c>
      <c r="D327" s="62" t="s">
        <v>1378</v>
      </c>
      <c r="E327" s="11" t="s">
        <v>9</v>
      </c>
    </row>
    <row r="328">
      <c r="A328" s="48">
        <v>0.9354166666666667</v>
      </c>
      <c r="B328" s="62" t="s">
        <v>1376</v>
      </c>
      <c r="C328" s="45" t="s">
        <v>208</v>
      </c>
      <c r="D328" s="62" t="s">
        <v>1375</v>
      </c>
      <c r="E328" s="11" t="s">
        <v>13</v>
      </c>
    </row>
    <row r="329">
      <c r="A329" s="48">
        <v>0.9458333333333333</v>
      </c>
      <c r="B329" s="62" t="s">
        <v>1258</v>
      </c>
      <c r="C329" s="45" t="s">
        <v>342</v>
      </c>
      <c r="D329" s="62" t="s">
        <v>1377</v>
      </c>
      <c r="E329" s="11" t="s">
        <v>9</v>
      </c>
    </row>
    <row r="330">
      <c r="A330" s="48">
        <v>0.9458333333333333</v>
      </c>
      <c r="B330" s="62" t="s">
        <v>1378</v>
      </c>
      <c r="C330" s="45" t="s">
        <v>194</v>
      </c>
      <c r="D330" s="62" t="s">
        <v>1375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1379</v>
      </c>
      <c r="C333" s="45" t="s">
        <v>164</v>
      </c>
      <c r="D333" s="62" t="s">
        <v>1380</v>
      </c>
      <c r="E333" s="11" t="s">
        <v>29</v>
      </c>
    </row>
    <row r="334">
      <c r="A334" s="48">
        <v>0.8541666666666666</v>
      </c>
      <c r="B334" s="62" t="s">
        <v>1381</v>
      </c>
      <c r="C334" s="45" t="s">
        <v>218</v>
      </c>
      <c r="D334" s="62" t="s">
        <v>1317</v>
      </c>
      <c r="E334" s="11" t="s">
        <v>33</v>
      </c>
    </row>
    <row r="335">
      <c r="A335" s="48">
        <v>0.8638888888888889</v>
      </c>
      <c r="B335" s="62" t="s">
        <v>1381</v>
      </c>
      <c r="C335" s="45" t="s">
        <v>184</v>
      </c>
      <c r="D335" s="62" t="s">
        <v>1380</v>
      </c>
      <c r="E335" s="11" t="s">
        <v>29</v>
      </c>
    </row>
    <row r="336">
      <c r="A336" s="48">
        <v>0.8638888888888889</v>
      </c>
      <c r="B336" s="62" t="s">
        <v>1362</v>
      </c>
      <c r="C336" s="45" t="s">
        <v>290</v>
      </c>
      <c r="D336" s="62" t="s">
        <v>1317</v>
      </c>
      <c r="E336" s="11" t="s">
        <v>33</v>
      </c>
    </row>
    <row r="337">
      <c r="A337" s="48">
        <v>0.8743055555555556</v>
      </c>
      <c r="B337" s="62" t="s">
        <v>1362</v>
      </c>
      <c r="C337" s="45" t="s">
        <v>271</v>
      </c>
      <c r="D337" s="62" t="s">
        <v>1381</v>
      </c>
      <c r="E337" s="11" t="s">
        <v>29</v>
      </c>
    </row>
    <row r="338">
      <c r="A338" s="48">
        <v>0.8743055555555556</v>
      </c>
      <c r="B338" s="62" t="s">
        <v>1317</v>
      </c>
      <c r="C338" s="45" t="s">
        <v>219</v>
      </c>
      <c r="D338" s="62" t="s">
        <v>1379</v>
      </c>
      <c r="E338" s="11" t="s">
        <v>33</v>
      </c>
    </row>
    <row r="339">
      <c r="A339" s="48">
        <v>0.8847222222222222</v>
      </c>
      <c r="B339" s="62" t="s">
        <v>1362</v>
      </c>
      <c r="C339" s="45" t="s">
        <v>181</v>
      </c>
      <c r="D339" s="62" t="s">
        <v>1380</v>
      </c>
      <c r="E339" s="11" t="s">
        <v>29</v>
      </c>
    </row>
    <row r="340">
      <c r="A340" s="48">
        <v>0.8847222222222222</v>
      </c>
      <c r="B340" s="62" t="s">
        <v>1379</v>
      </c>
      <c r="C340" s="45" t="s">
        <v>158</v>
      </c>
      <c r="D340" s="62" t="s">
        <v>1381</v>
      </c>
      <c r="E340" s="11" t="s">
        <v>33</v>
      </c>
    </row>
    <row r="341">
      <c r="A341" s="48">
        <v>0.8944444444444445</v>
      </c>
      <c r="B341" s="62" t="s">
        <v>1317</v>
      </c>
      <c r="C341" s="45" t="s">
        <v>189</v>
      </c>
      <c r="D341" s="62" t="s">
        <v>1380</v>
      </c>
      <c r="E341" s="11" t="s">
        <v>29</v>
      </c>
    </row>
    <row r="342">
      <c r="A342" s="48">
        <v>0.8944444444444445</v>
      </c>
      <c r="B342" s="62" t="s">
        <v>1379</v>
      </c>
      <c r="C342" s="45" t="s">
        <v>41</v>
      </c>
      <c r="D342" s="62" t="s">
        <v>1362</v>
      </c>
      <c r="E342" s="11" t="s">
        <v>33</v>
      </c>
    </row>
    <row r="343">
      <c r="A343" s="48">
        <v>0.9048611111111111</v>
      </c>
      <c r="B343" s="62" t="s">
        <v>1380</v>
      </c>
      <c r="C343" s="45" t="s">
        <v>218</v>
      </c>
      <c r="D343" s="62" t="s">
        <v>1379</v>
      </c>
      <c r="E343" s="11" t="s">
        <v>29</v>
      </c>
    </row>
    <row r="344">
      <c r="A344" s="48">
        <v>0.9048611111111111</v>
      </c>
      <c r="B344" s="62" t="s">
        <v>1317</v>
      </c>
      <c r="C344" s="45" t="s">
        <v>381</v>
      </c>
      <c r="D344" s="62" t="s">
        <v>1381</v>
      </c>
      <c r="E344" s="11" t="s">
        <v>33</v>
      </c>
      <c r="I344" s="50" t="s">
        <v>514</v>
      </c>
    </row>
    <row r="345">
      <c r="A345" s="48">
        <v>0.9152777777777777</v>
      </c>
      <c r="B345" s="62" t="s">
        <v>1380</v>
      </c>
      <c r="C345" s="45" t="s">
        <v>162</v>
      </c>
      <c r="D345" s="62" t="s">
        <v>1381</v>
      </c>
      <c r="E345" s="11" t="s">
        <v>29</v>
      </c>
    </row>
    <row r="346">
      <c r="A346" s="48">
        <v>0.9152777777777777</v>
      </c>
      <c r="B346" s="62" t="s">
        <v>1317</v>
      </c>
      <c r="C346" s="45" t="s">
        <v>193</v>
      </c>
      <c r="D346" s="62" t="s">
        <v>1362</v>
      </c>
      <c r="E346" s="11" t="s">
        <v>33</v>
      </c>
    </row>
    <row r="347">
      <c r="A347" s="48">
        <v>0.925</v>
      </c>
      <c r="B347" s="62" t="s">
        <v>1381</v>
      </c>
      <c r="C347" s="45" t="s">
        <v>251</v>
      </c>
      <c r="D347" s="62" t="s">
        <v>1362</v>
      </c>
      <c r="E347" s="11" t="s">
        <v>29</v>
      </c>
    </row>
    <row r="348">
      <c r="A348" s="48">
        <v>0.925</v>
      </c>
      <c r="B348" s="62" t="s">
        <v>1379</v>
      </c>
      <c r="C348" s="45" t="s">
        <v>248</v>
      </c>
      <c r="D348" s="62" t="s">
        <v>1317</v>
      </c>
      <c r="E348" s="11" t="s">
        <v>33</v>
      </c>
    </row>
    <row r="349">
      <c r="A349" s="48">
        <v>0.9354166666666667</v>
      </c>
      <c r="B349" s="62" t="s">
        <v>1380</v>
      </c>
      <c r="C349" s="45" t="s">
        <v>163</v>
      </c>
      <c r="D349" s="62" t="s">
        <v>1362</v>
      </c>
      <c r="E349" s="11" t="s">
        <v>29</v>
      </c>
    </row>
    <row r="350">
      <c r="A350" s="48">
        <v>0.9354166666666667</v>
      </c>
      <c r="B350" s="62" t="s">
        <v>1381</v>
      </c>
      <c r="C350" s="45" t="s">
        <v>18</v>
      </c>
      <c r="D350" s="62" t="s">
        <v>1379</v>
      </c>
      <c r="E350" s="11" t="s">
        <v>33</v>
      </c>
    </row>
    <row r="351">
      <c r="A351" s="48">
        <v>0.9458333333333333</v>
      </c>
      <c r="B351" s="62" t="s">
        <v>1380</v>
      </c>
      <c r="C351" s="45" t="s">
        <v>208</v>
      </c>
      <c r="D351" s="62" t="s">
        <v>1317</v>
      </c>
      <c r="E351" s="11" t="s">
        <v>29</v>
      </c>
    </row>
    <row r="352">
      <c r="A352" s="48">
        <v>0.9458333333333333</v>
      </c>
      <c r="B352" s="62" t="s">
        <v>1362</v>
      </c>
      <c r="C352" s="45" t="s">
        <v>155</v>
      </c>
      <c r="D352" s="62" t="s">
        <v>1379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1382</v>
      </c>
      <c r="C355" s="45" t="s">
        <v>193</v>
      </c>
      <c r="D355" s="62" t="s">
        <v>1322</v>
      </c>
      <c r="E355" s="11" t="s">
        <v>9</v>
      </c>
    </row>
    <row r="356">
      <c r="A356" s="48">
        <v>0.9583333333333334</v>
      </c>
      <c r="B356" s="62" t="s">
        <v>1383</v>
      </c>
      <c r="C356" s="45" t="s">
        <v>185</v>
      </c>
      <c r="D356" s="62" t="s">
        <v>1384</v>
      </c>
      <c r="E356" s="11" t="s">
        <v>13</v>
      </c>
    </row>
    <row r="357">
      <c r="A357" s="48">
        <v>0.9680555555555556</v>
      </c>
      <c r="B357" s="62" t="s">
        <v>1383</v>
      </c>
      <c r="C357" s="45" t="s">
        <v>220</v>
      </c>
      <c r="D357" s="62" t="s">
        <v>1322</v>
      </c>
      <c r="E357" s="11" t="s">
        <v>9</v>
      </c>
    </row>
    <row r="358">
      <c r="A358" s="48">
        <v>0.9680555555555556</v>
      </c>
      <c r="B358" s="62" t="s">
        <v>339</v>
      </c>
      <c r="C358" s="45" t="s">
        <v>155</v>
      </c>
      <c r="D358" s="62" t="s">
        <v>1384</v>
      </c>
      <c r="E358" s="11" t="s">
        <v>13</v>
      </c>
    </row>
    <row r="359">
      <c r="A359" s="48">
        <v>0.9784722222222222</v>
      </c>
      <c r="B359" s="62" t="s">
        <v>339</v>
      </c>
      <c r="C359" s="45" t="s">
        <v>268</v>
      </c>
      <c r="D359" s="62" t="s">
        <v>1383</v>
      </c>
      <c r="E359" s="11" t="s">
        <v>9</v>
      </c>
    </row>
    <row r="360">
      <c r="A360" s="48">
        <v>0.9784722222222222</v>
      </c>
      <c r="B360" s="62" t="s">
        <v>1384</v>
      </c>
      <c r="C360" s="45" t="s">
        <v>380</v>
      </c>
      <c r="D360" s="62" t="s">
        <v>1382</v>
      </c>
      <c r="E360" s="11" t="s">
        <v>13</v>
      </c>
    </row>
    <row r="361">
      <c r="A361" s="48">
        <v>0.9888888888888889</v>
      </c>
      <c r="B361" s="62" t="s">
        <v>339</v>
      </c>
      <c r="C361" s="45" t="s">
        <v>155</v>
      </c>
      <c r="D361" s="62" t="s">
        <v>1322</v>
      </c>
      <c r="E361" s="11" t="s">
        <v>9</v>
      </c>
    </row>
    <row r="362">
      <c r="A362" s="48">
        <v>0.9888888888888889</v>
      </c>
      <c r="B362" s="62" t="s">
        <v>1382</v>
      </c>
      <c r="C362" s="45" t="s">
        <v>195</v>
      </c>
      <c r="D362" s="62" t="s">
        <v>1383</v>
      </c>
      <c r="E362" s="11" t="s">
        <v>13</v>
      </c>
    </row>
    <row r="363">
      <c r="A363" s="48">
        <v>0.9986111111111111</v>
      </c>
      <c r="B363" s="62" t="s">
        <v>1384</v>
      </c>
      <c r="C363" s="45" t="s">
        <v>218</v>
      </c>
      <c r="D363" s="62" t="s">
        <v>1322</v>
      </c>
      <c r="E363" s="11" t="s">
        <v>9</v>
      </c>
    </row>
    <row r="364">
      <c r="A364" s="48">
        <v>0.9986111111111111</v>
      </c>
      <c r="B364" s="62" t="s">
        <v>1382</v>
      </c>
      <c r="C364" s="45" t="s">
        <v>43</v>
      </c>
      <c r="D364" s="62" t="s">
        <v>339</v>
      </c>
      <c r="E364" s="11" t="s">
        <v>13</v>
      </c>
    </row>
    <row r="365">
      <c r="A365" s="48">
        <v>0.009027777777777777</v>
      </c>
      <c r="B365" s="62" t="s">
        <v>1322</v>
      </c>
      <c r="C365" s="45" t="s">
        <v>404</v>
      </c>
      <c r="D365" s="62" t="s">
        <v>1382</v>
      </c>
      <c r="E365" s="11" t="s">
        <v>9</v>
      </c>
    </row>
    <row r="366">
      <c r="A366" s="48">
        <v>0.009027777777777777</v>
      </c>
      <c r="B366" s="62" t="s">
        <v>1384</v>
      </c>
      <c r="C366" s="45" t="s">
        <v>17</v>
      </c>
      <c r="D366" s="62" t="s">
        <v>1383</v>
      </c>
      <c r="E366" s="11" t="s">
        <v>13</v>
      </c>
    </row>
    <row r="367">
      <c r="A367" s="48">
        <v>0.019444444444444445</v>
      </c>
      <c r="B367" s="62" t="s">
        <v>1322</v>
      </c>
      <c r="C367" s="45" t="s">
        <v>549</v>
      </c>
      <c r="D367" s="62" t="s">
        <v>1383</v>
      </c>
      <c r="E367" s="11" t="s">
        <v>9</v>
      </c>
    </row>
    <row r="368">
      <c r="A368" s="48">
        <v>0.019444444444444445</v>
      </c>
      <c r="B368" s="62" t="s">
        <v>1384</v>
      </c>
      <c r="C368" s="45" t="s">
        <v>248</v>
      </c>
      <c r="D368" s="62" t="s">
        <v>339</v>
      </c>
      <c r="E368" s="11" t="s">
        <v>13</v>
      </c>
    </row>
    <row r="369">
      <c r="A369" s="48">
        <v>0.029166666666666667</v>
      </c>
      <c r="B369" s="62" t="s">
        <v>1383</v>
      </c>
      <c r="C369" s="45" t="s">
        <v>14</v>
      </c>
      <c r="D369" s="62" t="s">
        <v>339</v>
      </c>
      <c r="E369" s="11" t="s">
        <v>9</v>
      </c>
    </row>
    <row r="370">
      <c r="A370" s="48">
        <v>0.029166666666666667</v>
      </c>
      <c r="B370" s="62" t="s">
        <v>1382</v>
      </c>
      <c r="C370" s="45" t="s">
        <v>162</v>
      </c>
      <c r="D370" s="62" t="s">
        <v>1384</v>
      </c>
      <c r="E370" s="11" t="s">
        <v>13</v>
      </c>
    </row>
    <row r="371">
      <c r="A371" s="48">
        <v>0.03958333333333333</v>
      </c>
      <c r="B371" s="62" t="s">
        <v>1322</v>
      </c>
      <c r="C371" s="45" t="s">
        <v>181</v>
      </c>
      <c r="D371" s="62" t="s">
        <v>339</v>
      </c>
      <c r="E371" s="11" t="s">
        <v>9</v>
      </c>
    </row>
    <row r="372">
      <c r="A372" s="48">
        <v>0.03958333333333333</v>
      </c>
      <c r="B372" s="62" t="s">
        <v>1383</v>
      </c>
      <c r="C372" s="45" t="s">
        <v>17</v>
      </c>
      <c r="D372" s="62" t="s">
        <v>1382</v>
      </c>
      <c r="E372" s="11" t="s">
        <v>13</v>
      </c>
    </row>
    <row r="373">
      <c r="A373" s="48">
        <v>0.05</v>
      </c>
      <c r="B373" s="62" t="s">
        <v>1322</v>
      </c>
      <c r="C373" s="45" t="s">
        <v>16</v>
      </c>
      <c r="D373" s="62" t="s">
        <v>1384</v>
      </c>
      <c r="E373" s="11" t="s">
        <v>9</v>
      </c>
    </row>
    <row r="374">
      <c r="A374" s="48">
        <v>0.05</v>
      </c>
      <c r="B374" s="62" t="s">
        <v>339</v>
      </c>
      <c r="C374" s="45" t="s">
        <v>207</v>
      </c>
      <c r="D374" s="62" t="s">
        <v>1382</v>
      </c>
      <c r="E374" s="11" t="s">
        <v>13</v>
      </c>
    </row>
    <row r="375">
      <c r="A375" s="51"/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1385</v>
      </c>
      <c r="C377" s="45" t="s">
        <v>38</v>
      </c>
      <c r="D377" s="62" t="s">
        <v>1191</v>
      </c>
      <c r="E377" s="11" t="s">
        <v>29</v>
      </c>
    </row>
    <row r="378">
      <c r="A378" s="48">
        <v>0.9583333333333334</v>
      </c>
      <c r="B378" s="62" t="s">
        <v>1386</v>
      </c>
      <c r="C378" s="45" t="s">
        <v>162</v>
      </c>
      <c r="D378" s="62" t="s">
        <v>472</v>
      </c>
      <c r="E378" s="11" t="s">
        <v>33</v>
      </c>
    </row>
    <row r="379">
      <c r="A379" s="48">
        <v>0.9680555555555556</v>
      </c>
      <c r="B379" s="62" t="s">
        <v>1386</v>
      </c>
      <c r="C379" s="45" t="s">
        <v>220</v>
      </c>
      <c r="D379" s="62" t="s">
        <v>1191</v>
      </c>
      <c r="E379" s="11" t="s">
        <v>29</v>
      </c>
    </row>
    <row r="380">
      <c r="A380" s="48">
        <v>0.9680555555555556</v>
      </c>
      <c r="B380" s="62" t="s">
        <v>1270</v>
      </c>
      <c r="C380" s="45" t="s">
        <v>20</v>
      </c>
      <c r="D380" s="62" t="s">
        <v>472</v>
      </c>
      <c r="E380" s="11" t="s">
        <v>33</v>
      </c>
    </row>
    <row r="381">
      <c r="A381" s="48">
        <v>0.9784722222222222</v>
      </c>
      <c r="B381" s="62" t="s">
        <v>1270</v>
      </c>
      <c r="C381" s="45" t="s">
        <v>17</v>
      </c>
      <c r="D381" s="62" t="s">
        <v>1386</v>
      </c>
      <c r="E381" s="11" t="s">
        <v>29</v>
      </c>
    </row>
    <row r="382">
      <c r="A382" s="48">
        <v>0.9784722222222222</v>
      </c>
      <c r="B382" s="62" t="s">
        <v>472</v>
      </c>
      <c r="C382" s="45" t="s">
        <v>183</v>
      </c>
      <c r="D382" s="62" t="s">
        <v>1385</v>
      </c>
      <c r="E382" s="11" t="s">
        <v>33</v>
      </c>
    </row>
    <row r="383">
      <c r="A383" s="48">
        <v>0.9888888888888889</v>
      </c>
      <c r="B383" s="62" t="s">
        <v>1270</v>
      </c>
      <c r="C383" s="45" t="s">
        <v>177</v>
      </c>
      <c r="D383" s="62" t="s">
        <v>1191</v>
      </c>
      <c r="E383" s="11" t="s">
        <v>29</v>
      </c>
    </row>
    <row r="384">
      <c r="A384" s="48">
        <v>0.9888888888888889</v>
      </c>
      <c r="B384" s="62" t="s">
        <v>1385</v>
      </c>
      <c r="C384" s="45" t="s">
        <v>41</v>
      </c>
      <c r="D384" s="62" t="s">
        <v>1386</v>
      </c>
      <c r="E384" s="11" t="s">
        <v>33</v>
      </c>
    </row>
    <row r="385">
      <c r="A385" s="48">
        <v>0.9986111111111111</v>
      </c>
      <c r="B385" s="62" t="s">
        <v>472</v>
      </c>
      <c r="C385" s="45" t="s">
        <v>210</v>
      </c>
      <c r="D385" s="62" t="s">
        <v>1191</v>
      </c>
      <c r="E385" s="11" t="s">
        <v>29</v>
      </c>
    </row>
    <row r="386">
      <c r="A386" s="48">
        <v>0.9986111111111111</v>
      </c>
      <c r="B386" s="62" t="s">
        <v>1385</v>
      </c>
      <c r="C386" s="45" t="s">
        <v>225</v>
      </c>
      <c r="D386" s="62" t="s">
        <v>1270</v>
      </c>
      <c r="E386" s="11" t="s">
        <v>33</v>
      </c>
    </row>
    <row r="387">
      <c r="A387" s="48">
        <v>0.009027777777777777</v>
      </c>
      <c r="B387" s="62" t="s">
        <v>1191</v>
      </c>
      <c r="C387" s="45" t="s">
        <v>268</v>
      </c>
      <c r="D387" s="62" t="s">
        <v>1385</v>
      </c>
      <c r="E387" s="11" t="s">
        <v>29</v>
      </c>
    </row>
    <row r="388">
      <c r="A388" s="48">
        <v>0.009027777777777777</v>
      </c>
      <c r="B388" s="62" t="s">
        <v>472</v>
      </c>
      <c r="C388" s="45" t="s">
        <v>166</v>
      </c>
      <c r="D388" s="62" t="s">
        <v>1386</v>
      </c>
      <c r="E388" s="11" t="s">
        <v>33</v>
      </c>
    </row>
    <row r="389">
      <c r="A389" s="48">
        <v>0.019444444444444445</v>
      </c>
      <c r="B389" s="62" t="s">
        <v>1191</v>
      </c>
      <c r="C389" s="45" t="s">
        <v>38</v>
      </c>
      <c r="D389" s="62" t="s">
        <v>1386</v>
      </c>
      <c r="E389" s="11" t="s">
        <v>29</v>
      </c>
    </row>
    <row r="390">
      <c r="A390" s="48">
        <v>0.019444444444444445</v>
      </c>
      <c r="B390" s="62" t="s">
        <v>472</v>
      </c>
      <c r="C390" s="45" t="s">
        <v>209</v>
      </c>
      <c r="D390" s="62" t="s">
        <v>1270</v>
      </c>
      <c r="E390" s="11" t="s">
        <v>33</v>
      </c>
    </row>
    <row r="391">
      <c r="A391" s="48">
        <v>0.029166666666666667</v>
      </c>
      <c r="B391" s="62" t="s">
        <v>1386</v>
      </c>
      <c r="C391" s="45" t="s">
        <v>545</v>
      </c>
      <c r="D391" s="62" t="s">
        <v>1270</v>
      </c>
      <c r="E391" s="11" t="s">
        <v>29</v>
      </c>
    </row>
    <row r="392">
      <c r="A392" s="48">
        <v>0.029166666666666667</v>
      </c>
      <c r="B392" s="62" t="s">
        <v>1385</v>
      </c>
      <c r="C392" s="45" t="s">
        <v>7</v>
      </c>
      <c r="D392" s="62" t="s">
        <v>472</v>
      </c>
      <c r="E392" s="11" t="s">
        <v>33</v>
      </c>
    </row>
    <row r="393">
      <c r="A393" s="48">
        <v>0.03958333333333333</v>
      </c>
      <c r="B393" s="62" t="s">
        <v>1191</v>
      </c>
      <c r="C393" s="45" t="s">
        <v>19</v>
      </c>
      <c r="D393" s="62" t="s">
        <v>1270</v>
      </c>
      <c r="E393" s="11" t="s">
        <v>29</v>
      </c>
    </row>
    <row r="394">
      <c r="A394" s="48">
        <v>0.03958333333333333</v>
      </c>
      <c r="B394" s="62" t="s">
        <v>1386</v>
      </c>
      <c r="C394" s="45" t="s">
        <v>20</v>
      </c>
      <c r="D394" s="62" t="s">
        <v>1385</v>
      </c>
      <c r="E394" s="11" t="s">
        <v>33</v>
      </c>
    </row>
    <row r="395">
      <c r="A395" s="48">
        <v>0.05</v>
      </c>
      <c r="B395" s="62" t="s">
        <v>1191</v>
      </c>
      <c r="C395" s="45" t="s">
        <v>290</v>
      </c>
      <c r="D395" s="62" t="s">
        <v>472</v>
      </c>
      <c r="E395" s="11" t="s">
        <v>29</v>
      </c>
    </row>
    <row r="396">
      <c r="A396" s="48">
        <v>0.05</v>
      </c>
      <c r="B396" s="62" t="s">
        <v>1270</v>
      </c>
      <c r="C396" s="45" t="s">
        <v>291</v>
      </c>
      <c r="D396" s="62" t="s">
        <v>1385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53"/>
    </row>
    <row r="2">
      <c r="A2" s="47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48">
        <v>0.0625</v>
      </c>
      <c r="B3" s="61" t="s">
        <v>1387</v>
      </c>
      <c r="C3" s="57" t="s">
        <v>196</v>
      </c>
      <c r="D3" s="62" t="s">
        <v>8</v>
      </c>
      <c r="E3" s="11" t="s">
        <v>9</v>
      </c>
    </row>
    <row r="4">
      <c r="A4" s="48">
        <v>0.0625</v>
      </c>
      <c r="B4" s="61" t="s">
        <v>154</v>
      </c>
      <c r="C4" s="57" t="s">
        <v>1388</v>
      </c>
      <c r="D4" s="61" t="s">
        <v>1128</v>
      </c>
      <c r="E4" s="11" t="s">
        <v>13</v>
      </c>
    </row>
    <row r="5">
      <c r="A5" s="48">
        <v>0.07222222222222222</v>
      </c>
      <c r="B5" s="62" t="s">
        <v>154</v>
      </c>
      <c r="C5" s="57" t="s">
        <v>251</v>
      </c>
      <c r="D5" s="61" t="s">
        <v>8</v>
      </c>
      <c r="E5" s="11" t="s">
        <v>9</v>
      </c>
    </row>
    <row r="6">
      <c r="A6" s="48">
        <v>0.07222222222222222</v>
      </c>
      <c r="B6" s="61" t="s">
        <v>6</v>
      </c>
      <c r="C6" s="57" t="s">
        <v>1255</v>
      </c>
      <c r="D6" s="62" t="s">
        <v>1128</v>
      </c>
      <c r="E6" s="11" t="s">
        <v>13</v>
      </c>
    </row>
    <row r="7">
      <c r="A7" s="48">
        <v>0.08263888888888889</v>
      </c>
      <c r="B7" s="62" t="s">
        <v>6</v>
      </c>
      <c r="C7" s="57" t="s">
        <v>380</v>
      </c>
      <c r="D7" s="61" t="s">
        <v>154</v>
      </c>
      <c r="E7" s="11" t="s">
        <v>9</v>
      </c>
    </row>
    <row r="8">
      <c r="A8" s="48">
        <v>0.08263888888888889</v>
      </c>
      <c r="B8" s="61" t="s">
        <v>1128</v>
      </c>
      <c r="C8" s="57" t="s">
        <v>181</v>
      </c>
      <c r="D8" s="61" t="s">
        <v>1387</v>
      </c>
      <c r="E8" s="11" t="s">
        <v>13</v>
      </c>
    </row>
    <row r="9">
      <c r="A9" s="48">
        <v>0.09305555555555556</v>
      </c>
      <c r="B9" s="62" t="s">
        <v>6</v>
      </c>
      <c r="C9" s="57" t="s">
        <v>158</v>
      </c>
      <c r="D9" s="62" t="s">
        <v>8</v>
      </c>
      <c r="E9" s="11" t="s">
        <v>9</v>
      </c>
    </row>
    <row r="10">
      <c r="A10" s="48">
        <v>0.09305555555555556</v>
      </c>
      <c r="B10" s="61" t="s">
        <v>1387</v>
      </c>
      <c r="C10" s="57" t="s">
        <v>38</v>
      </c>
      <c r="D10" s="61" t="s">
        <v>154</v>
      </c>
      <c r="E10" s="11" t="s">
        <v>13</v>
      </c>
    </row>
    <row r="11">
      <c r="A11" s="48">
        <v>0.10277777777777777</v>
      </c>
      <c r="B11" s="62" t="s">
        <v>1128</v>
      </c>
      <c r="C11" s="57" t="s">
        <v>20</v>
      </c>
      <c r="D11" s="61" t="s">
        <v>8</v>
      </c>
      <c r="E11" s="11" t="s">
        <v>9</v>
      </c>
    </row>
    <row r="12">
      <c r="A12" s="48">
        <v>0.10277777777777777</v>
      </c>
      <c r="B12" s="61" t="s">
        <v>1387</v>
      </c>
      <c r="C12" s="57" t="s">
        <v>162</v>
      </c>
      <c r="D12" s="62" t="s">
        <v>6</v>
      </c>
      <c r="E12" s="11" t="s">
        <v>13</v>
      </c>
    </row>
    <row r="13">
      <c r="A13" s="48">
        <v>0.11319444444444444</v>
      </c>
      <c r="B13" s="62" t="s">
        <v>8</v>
      </c>
      <c r="C13" s="57" t="s">
        <v>158</v>
      </c>
      <c r="D13" s="61" t="s">
        <v>1387</v>
      </c>
      <c r="E13" s="11" t="s">
        <v>9</v>
      </c>
    </row>
    <row r="14">
      <c r="A14" s="48">
        <v>0.11319444444444444</v>
      </c>
      <c r="B14" s="61" t="s">
        <v>1128</v>
      </c>
      <c r="C14" s="57" t="s">
        <v>18</v>
      </c>
      <c r="D14" s="61" t="s">
        <v>154</v>
      </c>
      <c r="E14" s="11" t="s">
        <v>13</v>
      </c>
    </row>
    <row r="15">
      <c r="A15" s="48">
        <v>0.12361111111111112</v>
      </c>
      <c r="B15" s="61" t="s">
        <v>8</v>
      </c>
      <c r="C15" s="45" t="s">
        <v>220</v>
      </c>
      <c r="D15" s="62" t="s">
        <v>154</v>
      </c>
      <c r="E15" s="11" t="s">
        <v>9</v>
      </c>
    </row>
    <row r="16">
      <c r="A16" s="48">
        <v>0.12361111111111112</v>
      </c>
      <c r="B16" s="62" t="s">
        <v>1128</v>
      </c>
      <c r="C16" s="45" t="s">
        <v>38</v>
      </c>
      <c r="D16" s="61" t="s">
        <v>6</v>
      </c>
      <c r="E16" s="11" t="s">
        <v>13</v>
      </c>
    </row>
    <row r="17">
      <c r="A17" s="48">
        <v>0.13333333333333333</v>
      </c>
      <c r="B17" s="61" t="s">
        <v>154</v>
      </c>
      <c r="C17" s="45" t="s">
        <v>20</v>
      </c>
      <c r="D17" s="62" t="s">
        <v>6</v>
      </c>
      <c r="E17" s="11" t="s">
        <v>9</v>
      </c>
    </row>
    <row r="18">
      <c r="A18" s="48">
        <v>0.13333333333333333</v>
      </c>
      <c r="B18" s="61" t="s">
        <v>1387</v>
      </c>
      <c r="C18" s="45" t="s">
        <v>18</v>
      </c>
      <c r="D18" s="61" t="s">
        <v>1128</v>
      </c>
      <c r="E18" s="11" t="s">
        <v>13</v>
      </c>
    </row>
    <row r="19">
      <c r="A19" s="48">
        <v>0.14375</v>
      </c>
      <c r="B19" s="62" t="s">
        <v>8</v>
      </c>
      <c r="C19" s="45" t="s">
        <v>158</v>
      </c>
      <c r="D19" s="62" t="s">
        <v>6</v>
      </c>
      <c r="E19" s="11" t="s">
        <v>9</v>
      </c>
    </row>
    <row r="20">
      <c r="A20" s="48">
        <v>0.14375</v>
      </c>
      <c r="B20" s="61" t="s">
        <v>154</v>
      </c>
      <c r="C20" s="45" t="s">
        <v>17</v>
      </c>
      <c r="D20" s="61" t="s">
        <v>1387</v>
      </c>
      <c r="E20" s="11" t="s">
        <v>13</v>
      </c>
    </row>
    <row r="21">
      <c r="A21" s="48">
        <v>0.15416666666666667</v>
      </c>
      <c r="B21" s="61" t="s">
        <v>8</v>
      </c>
      <c r="C21" s="45" t="s">
        <v>302</v>
      </c>
      <c r="D21" s="62" t="s">
        <v>1128</v>
      </c>
      <c r="E21" s="11" t="s">
        <v>9</v>
      </c>
    </row>
    <row r="22">
      <c r="A22" s="48">
        <v>0.15416666666666667</v>
      </c>
      <c r="B22" s="62" t="s">
        <v>6</v>
      </c>
      <c r="C22" s="45" t="s">
        <v>1389</v>
      </c>
      <c r="D22" s="61" t="s">
        <v>1387</v>
      </c>
      <c r="E22" s="11" t="s">
        <v>13</v>
      </c>
    </row>
    <row r="23">
      <c r="A23" s="51"/>
      <c r="B23" s="1" t="s">
        <v>25</v>
      </c>
      <c r="C23" s="2"/>
      <c r="D23" s="3"/>
      <c r="E23" s="73"/>
    </row>
    <row r="24">
      <c r="A24" s="4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48">
        <v>0.0625</v>
      </c>
      <c r="B25" s="56" t="s">
        <v>1390</v>
      </c>
      <c r="C25" s="45" t="s">
        <v>496</v>
      </c>
      <c r="D25" s="61" t="s">
        <v>987</v>
      </c>
      <c r="E25" s="11" t="s">
        <v>29</v>
      </c>
    </row>
    <row r="26">
      <c r="A26" s="48">
        <v>0.0625</v>
      </c>
      <c r="B26" s="61" t="s">
        <v>1130</v>
      </c>
      <c r="C26" s="45" t="s">
        <v>161</v>
      </c>
      <c r="D26" s="61" t="s">
        <v>141</v>
      </c>
      <c r="E26" s="11" t="s">
        <v>33</v>
      </c>
    </row>
    <row r="27">
      <c r="A27" s="48">
        <v>0.07222222222222222</v>
      </c>
      <c r="B27" s="62" t="s">
        <v>1130</v>
      </c>
      <c r="C27" s="45" t="s">
        <v>20</v>
      </c>
      <c r="D27" s="62" t="s">
        <v>987</v>
      </c>
      <c r="E27" s="11" t="s">
        <v>29</v>
      </c>
    </row>
    <row r="28">
      <c r="A28" s="48">
        <v>0.07222222222222222</v>
      </c>
      <c r="B28" s="61" t="s">
        <v>1270</v>
      </c>
      <c r="C28" s="45" t="s">
        <v>291</v>
      </c>
      <c r="D28" s="61" t="s">
        <v>141</v>
      </c>
      <c r="E28" s="11" t="s">
        <v>33</v>
      </c>
    </row>
    <row r="29">
      <c r="A29" s="48">
        <v>0.08263888888888889</v>
      </c>
      <c r="B29" s="62" t="s">
        <v>1270</v>
      </c>
      <c r="C29" s="45" t="s">
        <v>193</v>
      </c>
      <c r="D29" s="61" t="s">
        <v>1130</v>
      </c>
      <c r="E29" s="11" t="s">
        <v>29</v>
      </c>
    </row>
    <row r="30">
      <c r="A30" s="48">
        <v>0.08263888888888889</v>
      </c>
      <c r="B30" s="61" t="s">
        <v>141</v>
      </c>
      <c r="C30" s="45" t="s">
        <v>1120</v>
      </c>
      <c r="D30" s="56" t="s">
        <v>1390</v>
      </c>
      <c r="E30" s="11" t="s">
        <v>33</v>
      </c>
    </row>
    <row r="31">
      <c r="A31" s="48">
        <v>0.09305555555555556</v>
      </c>
      <c r="B31" s="62" t="s">
        <v>1270</v>
      </c>
      <c r="C31" s="45" t="s">
        <v>158</v>
      </c>
      <c r="D31" s="61" t="s">
        <v>987</v>
      </c>
      <c r="E31" s="11" t="s">
        <v>29</v>
      </c>
    </row>
    <row r="32">
      <c r="A32" s="48">
        <v>0.09305555555555556</v>
      </c>
      <c r="B32" s="56" t="s">
        <v>1390</v>
      </c>
      <c r="C32" s="45" t="s">
        <v>743</v>
      </c>
      <c r="D32" s="62" t="s">
        <v>1130</v>
      </c>
      <c r="E32" s="11" t="s">
        <v>33</v>
      </c>
    </row>
    <row r="33">
      <c r="A33" s="48">
        <v>0.10277777777777777</v>
      </c>
      <c r="B33" s="61" t="s">
        <v>141</v>
      </c>
      <c r="C33" s="45" t="s">
        <v>1391</v>
      </c>
      <c r="D33" s="61" t="s">
        <v>987</v>
      </c>
      <c r="E33" s="11" t="s">
        <v>29</v>
      </c>
    </row>
    <row r="34">
      <c r="A34" s="48">
        <v>0.10277777777777777</v>
      </c>
      <c r="B34" s="56" t="s">
        <v>1390</v>
      </c>
      <c r="C34" s="45" t="s">
        <v>21</v>
      </c>
      <c r="D34" s="61" t="s">
        <v>1270</v>
      </c>
      <c r="E34" s="11" t="s">
        <v>33</v>
      </c>
    </row>
    <row r="35">
      <c r="A35" s="48">
        <v>0.11319444444444444</v>
      </c>
      <c r="B35" s="61" t="s">
        <v>987</v>
      </c>
      <c r="C35" s="45" t="s">
        <v>227</v>
      </c>
      <c r="D35" s="56" t="s">
        <v>1390</v>
      </c>
      <c r="E35" s="11" t="s">
        <v>29</v>
      </c>
    </row>
    <row r="36">
      <c r="A36" s="48">
        <v>0.11319444444444444</v>
      </c>
      <c r="B36" s="61" t="s">
        <v>141</v>
      </c>
      <c r="C36" s="45" t="s">
        <v>158</v>
      </c>
      <c r="D36" s="61" t="s">
        <v>1130</v>
      </c>
      <c r="E36" s="11" t="s">
        <v>33</v>
      </c>
    </row>
    <row r="37">
      <c r="A37" s="48">
        <v>0.12361111111111112</v>
      </c>
      <c r="B37" s="62" t="s">
        <v>987</v>
      </c>
      <c r="C37" s="45" t="s">
        <v>16</v>
      </c>
      <c r="D37" s="62" t="s">
        <v>1130</v>
      </c>
      <c r="E37" s="11" t="s">
        <v>29</v>
      </c>
    </row>
    <row r="38">
      <c r="A38" s="48">
        <v>0.12361111111111112</v>
      </c>
      <c r="B38" s="61" t="s">
        <v>141</v>
      </c>
      <c r="C38" s="45" t="s">
        <v>1392</v>
      </c>
      <c r="D38" s="61" t="s">
        <v>1270</v>
      </c>
      <c r="E38" s="11" t="s">
        <v>33</v>
      </c>
    </row>
    <row r="39">
      <c r="A39" s="48">
        <v>0.13333333333333333</v>
      </c>
      <c r="B39" s="61" t="s">
        <v>1130</v>
      </c>
      <c r="C39" s="45" t="s">
        <v>209</v>
      </c>
      <c r="D39" s="62" t="s">
        <v>1270</v>
      </c>
      <c r="E39" s="11" t="s">
        <v>29</v>
      </c>
    </row>
    <row r="40">
      <c r="A40" s="48">
        <v>0.13333333333333333</v>
      </c>
      <c r="B40" s="56" t="s">
        <v>1390</v>
      </c>
      <c r="C40" s="45" t="s">
        <v>464</v>
      </c>
      <c r="D40" s="61" t="s">
        <v>141</v>
      </c>
      <c r="E40" s="11" t="s">
        <v>33</v>
      </c>
    </row>
    <row r="41">
      <c r="A41" s="48">
        <v>0.14375</v>
      </c>
      <c r="B41" s="61" t="s">
        <v>987</v>
      </c>
      <c r="C41" s="45" t="s">
        <v>248</v>
      </c>
      <c r="D41" s="62" t="s">
        <v>1270</v>
      </c>
      <c r="E41" s="11" t="s">
        <v>29</v>
      </c>
    </row>
    <row r="42">
      <c r="A42" s="48">
        <v>0.14375</v>
      </c>
      <c r="B42" s="62" t="s">
        <v>1130</v>
      </c>
      <c r="C42" s="45" t="s">
        <v>209</v>
      </c>
      <c r="D42" s="56" t="s">
        <v>1390</v>
      </c>
      <c r="E42" s="11" t="s">
        <v>33</v>
      </c>
    </row>
    <row r="43">
      <c r="A43" s="48">
        <v>0.15416666666666667</v>
      </c>
      <c r="B43" s="61" t="s">
        <v>987</v>
      </c>
      <c r="C43" s="45" t="s">
        <v>248</v>
      </c>
      <c r="D43" s="61" t="s">
        <v>141</v>
      </c>
      <c r="E43" s="11" t="s">
        <v>29</v>
      </c>
    </row>
    <row r="44">
      <c r="A44" s="48">
        <v>0.15416666666666667</v>
      </c>
      <c r="B44" s="61" t="s">
        <v>1270</v>
      </c>
      <c r="C44" s="45" t="s">
        <v>302</v>
      </c>
      <c r="D44" s="56" t="s">
        <v>1390</v>
      </c>
      <c r="E44" s="11" t="s">
        <v>33</v>
      </c>
    </row>
    <row r="45">
      <c r="A45" s="51"/>
      <c r="B45" s="1" t="s">
        <v>45</v>
      </c>
      <c r="C45" s="2"/>
      <c r="D45" s="3"/>
      <c r="E45" s="18"/>
    </row>
    <row r="46">
      <c r="A46" s="47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48">
        <v>0.1875</v>
      </c>
      <c r="B47" s="61" t="s">
        <v>188</v>
      </c>
      <c r="C47" s="79" t="s">
        <v>20</v>
      </c>
      <c r="D47" s="61" t="s">
        <v>1133</v>
      </c>
      <c r="E47" s="11" t="s">
        <v>9</v>
      </c>
    </row>
    <row r="48">
      <c r="A48" s="48">
        <v>0.1875</v>
      </c>
      <c r="B48" s="61" t="s">
        <v>981</v>
      </c>
      <c r="C48" s="45" t="s">
        <v>7</v>
      </c>
      <c r="D48" s="61" t="s">
        <v>1393</v>
      </c>
      <c r="E48" s="11" t="s">
        <v>13</v>
      </c>
    </row>
    <row r="49">
      <c r="A49" s="48">
        <v>0.19722222222222222</v>
      </c>
      <c r="B49" s="61" t="s">
        <v>981</v>
      </c>
      <c r="C49" s="45" t="s">
        <v>155</v>
      </c>
      <c r="D49" s="61" t="s">
        <v>1133</v>
      </c>
      <c r="E49" s="11" t="s">
        <v>9</v>
      </c>
    </row>
    <row r="50">
      <c r="A50" s="48">
        <v>0.19722222222222222</v>
      </c>
      <c r="B50" s="61" t="s">
        <v>1394</v>
      </c>
      <c r="C50" s="45" t="s">
        <v>180</v>
      </c>
      <c r="D50" s="61" t="s">
        <v>1393</v>
      </c>
      <c r="E50" s="11" t="s">
        <v>13</v>
      </c>
    </row>
    <row r="51">
      <c r="A51" s="48">
        <v>0.2076388888888889</v>
      </c>
      <c r="B51" s="61" t="s">
        <v>1394</v>
      </c>
      <c r="C51" s="45" t="s">
        <v>155</v>
      </c>
      <c r="D51" s="61" t="s">
        <v>981</v>
      </c>
      <c r="E51" s="11" t="s">
        <v>9</v>
      </c>
    </row>
    <row r="52">
      <c r="A52" s="48">
        <v>0.2076388888888889</v>
      </c>
      <c r="B52" s="61" t="s">
        <v>1393</v>
      </c>
      <c r="C52" s="45" t="s">
        <v>166</v>
      </c>
      <c r="D52" s="61" t="s">
        <v>188</v>
      </c>
      <c r="E52" s="11" t="s">
        <v>13</v>
      </c>
    </row>
    <row r="53">
      <c r="A53" s="48">
        <v>0.21805555555555556</v>
      </c>
      <c r="B53" s="61" t="s">
        <v>1394</v>
      </c>
      <c r="C53" s="45" t="s">
        <v>233</v>
      </c>
      <c r="D53" s="61" t="s">
        <v>1133</v>
      </c>
      <c r="E53" s="11" t="s">
        <v>9</v>
      </c>
    </row>
    <row r="54">
      <c r="A54" s="48">
        <v>0.21805555555555556</v>
      </c>
      <c r="B54" s="61" t="s">
        <v>188</v>
      </c>
      <c r="C54" s="45" t="s">
        <v>195</v>
      </c>
      <c r="D54" s="61" t="s">
        <v>981</v>
      </c>
      <c r="E54" s="11" t="s">
        <v>13</v>
      </c>
    </row>
    <row r="55">
      <c r="A55" s="48">
        <v>0.22777777777777777</v>
      </c>
      <c r="B55" s="61" t="s">
        <v>1393</v>
      </c>
      <c r="C55" s="45" t="s">
        <v>23</v>
      </c>
      <c r="D55" s="61" t="s">
        <v>1133</v>
      </c>
      <c r="E55" s="11" t="s">
        <v>9</v>
      </c>
    </row>
    <row r="56">
      <c r="A56" s="48">
        <v>0.22777777777777777</v>
      </c>
      <c r="B56" s="61" t="s">
        <v>188</v>
      </c>
      <c r="C56" s="45" t="s">
        <v>158</v>
      </c>
      <c r="D56" s="61" t="s">
        <v>1394</v>
      </c>
      <c r="E56" s="11" t="s">
        <v>13</v>
      </c>
    </row>
    <row r="57">
      <c r="A57" s="48">
        <v>0.23819444444444443</v>
      </c>
      <c r="B57" s="61" t="s">
        <v>1133</v>
      </c>
      <c r="C57" s="45" t="s">
        <v>185</v>
      </c>
      <c r="D57" s="61" t="s">
        <v>188</v>
      </c>
      <c r="E57" s="11" t="s">
        <v>9</v>
      </c>
    </row>
    <row r="58">
      <c r="A58" s="48">
        <v>0.23819444444444443</v>
      </c>
      <c r="B58" s="61" t="s">
        <v>1393</v>
      </c>
      <c r="C58" s="45" t="s">
        <v>222</v>
      </c>
      <c r="D58" s="61" t="s">
        <v>981</v>
      </c>
      <c r="E58" s="11" t="s">
        <v>13</v>
      </c>
    </row>
    <row r="59">
      <c r="A59" s="48">
        <v>0.24861111111111112</v>
      </c>
      <c r="B59" s="61" t="s">
        <v>1133</v>
      </c>
      <c r="C59" s="45" t="s">
        <v>352</v>
      </c>
      <c r="D59" s="61" t="s">
        <v>981</v>
      </c>
      <c r="E59" s="11" t="s">
        <v>9</v>
      </c>
    </row>
    <row r="60">
      <c r="A60" s="48">
        <v>0.24861111111111112</v>
      </c>
      <c r="B60" s="61" t="s">
        <v>1393</v>
      </c>
      <c r="C60" s="45" t="s">
        <v>888</v>
      </c>
      <c r="D60" s="61" t="s">
        <v>1394</v>
      </c>
      <c r="E60" s="11" t="s">
        <v>13</v>
      </c>
    </row>
    <row r="61">
      <c r="A61" s="48">
        <v>0.25833333333333336</v>
      </c>
      <c r="B61" s="61" t="s">
        <v>981</v>
      </c>
      <c r="C61" s="45" t="s">
        <v>161</v>
      </c>
      <c r="D61" s="61" t="s">
        <v>1394</v>
      </c>
      <c r="E61" s="11" t="s">
        <v>9</v>
      </c>
    </row>
    <row r="62">
      <c r="A62" s="48">
        <v>0.25833333333333336</v>
      </c>
      <c r="B62" s="61" t="s">
        <v>188</v>
      </c>
      <c r="C62" s="45" t="s">
        <v>193</v>
      </c>
      <c r="D62" s="61" t="s">
        <v>1393</v>
      </c>
      <c r="E62" s="11" t="s">
        <v>13</v>
      </c>
    </row>
    <row r="63">
      <c r="A63" s="48">
        <v>0.26875</v>
      </c>
      <c r="B63" s="61" t="s">
        <v>1133</v>
      </c>
      <c r="C63" s="45" t="s">
        <v>155</v>
      </c>
      <c r="D63" s="61" t="s">
        <v>1394</v>
      </c>
      <c r="E63" s="11" t="s">
        <v>9</v>
      </c>
    </row>
    <row r="64">
      <c r="A64" s="48">
        <v>0.26875</v>
      </c>
      <c r="B64" s="61" t="s">
        <v>981</v>
      </c>
      <c r="C64" s="45" t="s">
        <v>545</v>
      </c>
      <c r="D64" s="61" t="s">
        <v>188</v>
      </c>
      <c r="E64" s="11" t="s">
        <v>13</v>
      </c>
    </row>
    <row r="65">
      <c r="A65" s="48">
        <v>0.2791666666666667</v>
      </c>
      <c r="B65" s="61" t="s">
        <v>1133</v>
      </c>
      <c r="C65" s="45" t="s">
        <v>209</v>
      </c>
      <c r="D65" s="61" t="s">
        <v>1393</v>
      </c>
      <c r="E65" s="11" t="s">
        <v>9</v>
      </c>
    </row>
    <row r="66">
      <c r="A66" s="48">
        <v>0.2791666666666667</v>
      </c>
      <c r="B66" s="61" t="s">
        <v>1394</v>
      </c>
      <c r="C66" s="45" t="s">
        <v>279</v>
      </c>
      <c r="D66" s="61" t="s">
        <v>188</v>
      </c>
      <c r="E66" s="11" t="s">
        <v>13</v>
      </c>
    </row>
    <row r="67">
      <c r="A67" s="51"/>
      <c r="B67" s="1" t="s">
        <v>45</v>
      </c>
      <c r="C67" s="2"/>
      <c r="D67" s="3"/>
      <c r="E67" s="4"/>
    </row>
    <row r="68">
      <c r="A68" s="47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48">
        <v>0.1875</v>
      </c>
      <c r="B69" s="56" t="s">
        <v>1338</v>
      </c>
      <c r="C69" s="45" t="s">
        <v>1395</v>
      </c>
      <c r="D69" s="61" t="s">
        <v>1060</v>
      </c>
      <c r="E69" s="11" t="s">
        <v>29</v>
      </c>
    </row>
    <row r="70">
      <c r="A70" s="48">
        <v>0.1875</v>
      </c>
      <c r="B70" s="61" t="s">
        <v>1396</v>
      </c>
      <c r="C70" s="45" t="s">
        <v>219</v>
      </c>
      <c r="D70" s="61" t="s">
        <v>1397</v>
      </c>
      <c r="E70" s="11" t="s">
        <v>33</v>
      </c>
    </row>
    <row r="71">
      <c r="A71" s="48">
        <v>0.19722222222222222</v>
      </c>
      <c r="B71" s="61" t="s">
        <v>1396</v>
      </c>
      <c r="C71" s="45" t="s">
        <v>162</v>
      </c>
      <c r="D71" s="61" t="s">
        <v>1060</v>
      </c>
      <c r="E71" s="11" t="s">
        <v>29</v>
      </c>
    </row>
    <row r="72">
      <c r="A72" s="48">
        <v>0.19722222222222222</v>
      </c>
      <c r="B72" s="61" t="s">
        <v>1136</v>
      </c>
      <c r="C72" s="45" t="s">
        <v>39</v>
      </c>
      <c r="D72" s="61" t="s">
        <v>1397</v>
      </c>
      <c r="E72" s="11" t="s">
        <v>33</v>
      </c>
    </row>
    <row r="73">
      <c r="A73" s="48">
        <v>0.2076388888888889</v>
      </c>
      <c r="B73" s="61" t="s">
        <v>1136</v>
      </c>
      <c r="C73" s="45" t="s">
        <v>36</v>
      </c>
      <c r="D73" s="61" t="s">
        <v>1396</v>
      </c>
      <c r="E73" s="11" t="s">
        <v>29</v>
      </c>
    </row>
    <row r="74">
      <c r="A74" s="48">
        <v>0.2076388888888889</v>
      </c>
      <c r="B74" s="61" t="s">
        <v>1397</v>
      </c>
      <c r="C74" s="45" t="s">
        <v>209</v>
      </c>
      <c r="D74" s="56" t="s">
        <v>1338</v>
      </c>
      <c r="E74" s="11" t="s">
        <v>33</v>
      </c>
    </row>
    <row r="75">
      <c r="A75" s="48">
        <v>0.21805555555555556</v>
      </c>
      <c r="B75" s="61" t="s">
        <v>1136</v>
      </c>
      <c r="C75" s="45" t="s">
        <v>41</v>
      </c>
      <c r="D75" s="61" t="s">
        <v>1060</v>
      </c>
      <c r="E75" s="11" t="s">
        <v>29</v>
      </c>
    </row>
    <row r="76">
      <c r="A76" s="48">
        <v>0.21805555555555556</v>
      </c>
      <c r="B76" s="56" t="s">
        <v>1338</v>
      </c>
      <c r="C76" s="45" t="s">
        <v>176</v>
      </c>
      <c r="D76" s="61" t="s">
        <v>1396</v>
      </c>
      <c r="E76" s="11" t="s">
        <v>33</v>
      </c>
    </row>
    <row r="77">
      <c r="A77" s="48">
        <v>0.22777777777777777</v>
      </c>
      <c r="B77" s="61" t="s">
        <v>1397</v>
      </c>
      <c r="C77" s="45" t="s">
        <v>189</v>
      </c>
      <c r="D77" s="61" t="s">
        <v>1060</v>
      </c>
      <c r="E77" s="11" t="s">
        <v>29</v>
      </c>
    </row>
    <row r="78">
      <c r="A78" s="48">
        <v>0.22777777777777777</v>
      </c>
      <c r="B78" s="56" t="s">
        <v>1338</v>
      </c>
      <c r="C78" s="45" t="s">
        <v>164</v>
      </c>
      <c r="D78" s="61" t="s">
        <v>1136</v>
      </c>
      <c r="E78" s="11" t="s">
        <v>33</v>
      </c>
    </row>
    <row r="79">
      <c r="A79" s="48">
        <v>0.23819444444444443</v>
      </c>
      <c r="B79" s="61" t="s">
        <v>1060</v>
      </c>
      <c r="C79" s="45" t="s">
        <v>209</v>
      </c>
      <c r="D79" s="56" t="s">
        <v>1338</v>
      </c>
      <c r="E79" s="11" t="s">
        <v>29</v>
      </c>
    </row>
    <row r="80">
      <c r="A80" s="48">
        <v>0.23819444444444443</v>
      </c>
      <c r="B80" s="61" t="s">
        <v>1397</v>
      </c>
      <c r="C80" s="45" t="s">
        <v>281</v>
      </c>
      <c r="D80" s="61" t="s">
        <v>1396</v>
      </c>
      <c r="E80" s="11" t="s">
        <v>33</v>
      </c>
    </row>
    <row r="81">
      <c r="A81" s="48">
        <v>0.24861111111111112</v>
      </c>
      <c r="B81" s="61" t="s">
        <v>1060</v>
      </c>
      <c r="C81" s="45" t="s">
        <v>404</v>
      </c>
      <c r="D81" s="61" t="s">
        <v>1396</v>
      </c>
      <c r="E81" s="11" t="s">
        <v>29</v>
      </c>
    </row>
    <row r="82">
      <c r="A82" s="48">
        <v>0.24861111111111112</v>
      </c>
      <c r="B82" s="61" t="s">
        <v>1397</v>
      </c>
      <c r="C82" s="45" t="s">
        <v>181</v>
      </c>
      <c r="D82" s="61" t="s">
        <v>1136</v>
      </c>
      <c r="E82" s="11" t="s">
        <v>33</v>
      </c>
    </row>
    <row r="83">
      <c r="A83" s="48">
        <v>0.25833333333333336</v>
      </c>
      <c r="B83" s="61" t="s">
        <v>1396</v>
      </c>
      <c r="C83" s="45" t="s">
        <v>545</v>
      </c>
      <c r="D83" s="61" t="s">
        <v>1136</v>
      </c>
      <c r="E83" s="11" t="s">
        <v>29</v>
      </c>
    </row>
    <row r="84">
      <c r="A84" s="48">
        <v>0.25833333333333336</v>
      </c>
      <c r="B84" s="56" t="s">
        <v>1338</v>
      </c>
      <c r="C84" s="45" t="s">
        <v>203</v>
      </c>
      <c r="D84" s="61" t="s">
        <v>1397</v>
      </c>
      <c r="E84" s="11" t="s">
        <v>33</v>
      </c>
    </row>
    <row r="85">
      <c r="A85" s="48">
        <v>0.26875</v>
      </c>
      <c r="B85" s="61" t="s">
        <v>1060</v>
      </c>
      <c r="C85" s="45" t="s">
        <v>351</v>
      </c>
      <c r="D85" s="61" t="s">
        <v>1136</v>
      </c>
      <c r="E85" s="11" t="s">
        <v>29</v>
      </c>
    </row>
    <row r="86">
      <c r="A86" s="48">
        <v>0.26875</v>
      </c>
      <c r="B86" s="61" t="s">
        <v>1396</v>
      </c>
      <c r="C86" s="45" t="s">
        <v>227</v>
      </c>
      <c r="D86" s="56" t="s">
        <v>1338</v>
      </c>
      <c r="E86" s="11" t="s">
        <v>33</v>
      </c>
    </row>
    <row r="87">
      <c r="A87" s="48">
        <v>0.2791666666666667</v>
      </c>
      <c r="B87" s="61" t="s">
        <v>1060</v>
      </c>
      <c r="C87" s="45" t="s">
        <v>14</v>
      </c>
      <c r="D87" s="61" t="s">
        <v>1397</v>
      </c>
      <c r="E87" s="11" t="s">
        <v>29</v>
      </c>
    </row>
    <row r="88">
      <c r="A88" s="48">
        <v>0.2791666666666667</v>
      </c>
      <c r="B88" s="61" t="s">
        <v>1136</v>
      </c>
      <c r="C88" s="45" t="s">
        <v>1186</v>
      </c>
      <c r="D88" s="56" t="s">
        <v>1338</v>
      </c>
      <c r="E88" s="11" t="s">
        <v>33</v>
      </c>
    </row>
    <row r="89">
      <c r="A89" s="80"/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56" t="s">
        <v>1398</v>
      </c>
      <c r="C91" s="45" t="s">
        <v>464</v>
      </c>
      <c r="D91" s="61" t="s">
        <v>1284</v>
      </c>
      <c r="E91" s="11" t="s">
        <v>9</v>
      </c>
    </row>
    <row r="92">
      <c r="A92" s="48">
        <v>0.3333333333333333</v>
      </c>
      <c r="B92" s="61" t="s">
        <v>1399</v>
      </c>
      <c r="C92" s="45" t="s">
        <v>279</v>
      </c>
      <c r="D92" s="61" t="s">
        <v>1400</v>
      </c>
      <c r="E92" s="11" t="s">
        <v>13</v>
      </c>
    </row>
    <row r="93">
      <c r="A93" s="48">
        <v>0.34305555555555556</v>
      </c>
      <c r="B93" s="61" t="s">
        <v>1399</v>
      </c>
      <c r="C93" s="45" t="s">
        <v>464</v>
      </c>
      <c r="D93" s="61" t="s">
        <v>1284</v>
      </c>
      <c r="E93" s="11" t="s">
        <v>9</v>
      </c>
    </row>
    <row r="94">
      <c r="A94" s="48">
        <v>0.34305555555555556</v>
      </c>
      <c r="B94" s="61" t="s">
        <v>1401</v>
      </c>
      <c r="C94" s="45" t="s">
        <v>856</v>
      </c>
      <c r="D94" s="61" t="s">
        <v>1400</v>
      </c>
      <c r="E94" s="11" t="s">
        <v>13</v>
      </c>
    </row>
    <row r="95">
      <c r="A95" s="48">
        <v>0.35347222222222224</v>
      </c>
      <c r="B95" s="61" t="s">
        <v>1401</v>
      </c>
      <c r="C95" s="45" t="s">
        <v>23</v>
      </c>
      <c r="D95" s="61" t="s">
        <v>1399</v>
      </c>
      <c r="E95" s="11" t="s">
        <v>9</v>
      </c>
    </row>
    <row r="96">
      <c r="A96" s="48">
        <v>0.35347222222222224</v>
      </c>
      <c r="B96" s="61" t="s">
        <v>1400</v>
      </c>
      <c r="C96" s="45" t="s">
        <v>1107</v>
      </c>
      <c r="D96" s="56" t="s">
        <v>1398</v>
      </c>
      <c r="E96" s="11" t="s">
        <v>13</v>
      </c>
    </row>
    <row r="97">
      <c r="A97" s="48">
        <v>0.3638888888888889</v>
      </c>
      <c r="B97" s="61" t="s">
        <v>1401</v>
      </c>
      <c r="C97" s="45" t="s">
        <v>181</v>
      </c>
      <c r="D97" s="61" t="s">
        <v>1284</v>
      </c>
      <c r="E97" s="11" t="s">
        <v>9</v>
      </c>
    </row>
    <row r="98">
      <c r="A98" s="48">
        <v>0.3638888888888889</v>
      </c>
      <c r="B98" s="56" t="s">
        <v>1398</v>
      </c>
      <c r="C98" s="45" t="s">
        <v>574</v>
      </c>
      <c r="D98" s="61" t="s">
        <v>1399</v>
      </c>
      <c r="E98" s="11" t="s">
        <v>13</v>
      </c>
    </row>
    <row r="99">
      <c r="A99" s="48">
        <v>0.3736111111111111</v>
      </c>
      <c r="B99" s="61" t="s">
        <v>1400</v>
      </c>
      <c r="C99" s="45" t="s">
        <v>158</v>
      </c>
      <c r="D99" s="61" t="s">
        <v>1284</v>
      </c>
      <c r="E99" s="11" t="s">
        <v>9</v>
      </c>
    </row>
    <row r="100">
      <c r="A100" s="48">
        <v>0.3736111111111111</v>
      </c>
      <c r="B100" s="56" t="s">
        <v>1398</v>
      </c>
      <c r="C100" s="45" t="s">
        <v>496</v>
      </c>
      <c r="D100" s="61" t="s">
        <v>1401</v>
      </c>
      <c r="E100" s="11" t="s">
        <v>13</v>
      </c>
    </row>
    <row r="101">
      <c r="A101" s="48">
        <v>0.3840277777777778</v>
      </c>
      <c r="B101" s="61" t="s">
        <v>1284</v>
      </c>
      <c r="C101" s="45" t="s">
        <v>225</v>
      </c>
      <c r="D101" s="56" t="s">
        <v>1398</v>
      </c>
      <c r="E101" s="11" t="s">
        <v>9</v>
      </c>
    </row>
    <row r="102">
      <c r="A102" s="48">
        <v>0.3840277777777778</v>
      </c>
      <c r="B102" s="61" t="s">
        <v>1400</v>
      </c>
      <c r="C102" s="45" t="s">
        <v>219</v>
      </c>
      <c r="D102" s="61" t="s">
        <v>1399</v>
      </c>
      <c r="E102" s="11" t="s">
        <v>13</v>
      </c>
    </row>
    <row r="103">
      <c r="A103" s="48">
        <v>0.39444444444444443</v>
      </c>
      <c r="B103" s="61" t="s">
        <v>1284</v>
      </c>
      <c r="C103" s="45" t="s">
        <v>16</v>
      </c>
      <c r="D103" s="61" t="s">
        <v>1399</v>
      </c>
      <c r="E103" s="11" t="s">
        <v>9</v>
      </c>
    </row>
    <row r="104">
      <c r="A104" s="48">
        <v>0.39444444444444443</v>
      </c>
      <c r="B104" s="61" t="s">
        <v>1400</v>
      </c>
      <c r="C104" s="45" t="s">
        <v>302</v>
      </c>
      <c r="D104" s="61" t="s">
        <v>1401</v>
      </c>
      <c r="E104" s="11" t="s">
        <v>13</v>
      </c>
    </row>
    <row r="105">
      <c r="A105" s="48">
        <v>0.4041666666666667</v>
      </c>
      <c r="B105" s="61" t="s">
        <v>1399</v>
      </c>
      <c r="C105" s="45" t="s">
        <v>219</v>
      </c>
      <c r="D105" s="61" t="s">
        <v>1401</v>
      </c>
      <c r="E105" s="11" t="s">
        <v>9</v>
      </c>
    </row>
    <row r="106">
      <c r="A106" s="48">
        <v>0.4041666666666667</v>
      </c>
      <c r="B106" s="56" t="s">
        <v>1398</v>
      </c>
      <c r="C106" s="45" t="s">
        <v>177</v>
      </c>
      <c r="D106" s="61" t="s">
        <v>1400</v>
      </c>
      <c r="E106" s="11" t="s">
        <v>13</v>
      </c>
    </row>
    <row r="107">
      <c r="A107" s="48">
        <v>0.41458333333333336</v>
      </c>
      <c r="B107" s="61" t="s">
        <v>1284</v>
      </c>
      <c r="C107" s="45" t="s">
        <v>182</v>
      </c>
      <c r="D107" s="61" t="s">
        <v>1401</v>
      </c>
      <c r="E107" s="11" t="s">
        <v>9</v>
      </c>
    </row>
    <row r="108">
      <c r="A108" s="48">
        <v>0.41458333333333336</v>
      </c>
      <c r="B108" s="61" t="s">
        <v>1399</v>
      </c>
      <c r="C108" s="45" t="s">
        <v>1402</v>
      </c>
      <c r="D108" s="56" t="s">
        <v>1398</v>
      </c>
      <c r="E108" s="11" t="s">
        <v>13</v>
      </c>
    </row>
    <row r="109">
      <c r="A109" s="48">
        <v>0.425</v>
      </c>
      <c r="B109" s="61" t="s">
        <v>1284</v>
      </c>
      <c r="C109" s="45" t="s">
        <v>1403</v>
      </c>
      <c r="D109" s="61" t="s">
        <v>1400</v>
      </c>
      <c r="E109" s="11" t="s">
        <v>9</v>
      </c>
    </row>
    <row r="110">
      <c r="A110" s="48">
        <v>0.425</v>
      </c>
      <c r="B110" s="61" t="s">
        <v>1401</v>
      </c>
      <c r="C110" s="45" t="s">
        <v>180</v>
      </c>
      <c r="D110" s="56" t="s">
        <v>1398</v>
      </c>
      <c r="E110" s="11" t="s">
        <v>13</v>
      </c>
    </row>
    <row r="111">
      <c r="A111" s="5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8">
        <v>0.3333333333333333</v>
      </c>
      <c r="B113" s="61" t="s">
        <v>510</v>
      </c>
      <c r="C113" s="57" t="s">
        <v>245</v>
      </c>
      <c r="D113" s="61" t="s">
        <v>1404</v>
      </c>
      <c r="E113" s="11" t="s">
        <v>29</v>
      </c>
    </row>
    <row r="114">
      <c r="A114" s="48">
        <v>0.3333333333333333</v>
      </c>
      <c r="B114" s="61" t="s">
        <v>1405</v>
      </c>
      <c r="C114" s="57" t="s">
        <v>193</v>
      </c>
      <c r="D114" s="61" t="s">
        <v>730</v>
      </c>
      <c r="E114" s="11" t="s">
        <v>33</v>
      </c>
    </row>
    <row r="115">
      <c r="A115" s="48">
        <v>0.34305555555555556</v>
      </c>
      <c r="B115" s="61" t="s">
        <v>1405</v>
      </c>
      <c r="C115" s="57" t="s">
        <v>44</v>
      </c>
      <c r="D115" s="61" t="s">
        <v>1404</v>
      </c>
      <c r="E115" s="11" t="s">
        <v>29</v>
      </c>
    </row>
    <row r="116">
      <c r="A116" s="48">
        <v>0.34305555555555556</v>
      </c>
      <c r="B116" s="61" t="s">
        <v>228</v>
      </c>
      <c r="C116" s="57" t="s">
        <v>36</v>
      </c>
      <c r="D116" s="61" t="s">
        <v>730</v>
      </c>
      <c r="E116" s="11" t="s">
        <v>33</v>
      </c>
    </row>
    <row r="117">
      <c r="A117" s="48">
        <v>0.35347222222222224</v>
      </c>
      <c r="B117" s="61" t="s">
        <v>228</v>
      </c>
      <c r="C117" s="57" t="s">
        <v>257</v>
      </c>
      <c r="D117" s="61" t="s">
        <v>1405</v>
      </c>
      <c r="E117" s="11" t="s">
        <v>29</v>
      </c>
    </row>
    <row r="118">
      <c r="A118" s="48">
        <v>0.35347222222222224</v>
      </c>
      <c r="B118" s="61" t="s">
        <v>730</v>
      </c>
      <c r="C118" s="57" t="s">
        <v>16</v>
      </c>
      <c r="D118" s="61" t="s">
        <v>510</v>
      </c>
      <c r="E118" s="11" t="s">
        <v>33</v>
      </c>
    </row>
    <row r="119">
      <c r="A119" s="48">
        <v>0.3638888888888889</v>
      </c>
      <c r="B119" s="61" t="s">
        <v>228</v>
      </c>
      <c r="C119" s="57" t="s">
        <v>7</v>
      </c>
      <c r="D119" s="61" t="s">
        <v>1404</v>
      </c>
      <c r="E119" s="11" t="s">
        <v>29</v>
      </c>
    </row>
    <row r="120">
      <c r="A120" s="48">
        <v>0.3638888888888889</v>
      </c>
      <c r="B120" s="61" t="s">
        <v>510</v>
      </c>
      <c r="C120" s="57" t="s">
        <v>344</v>
      </c>
      <c r="D120" s="61" t="s">
        <v>1405</v>
      </c>
      <c r="E120" s="11" t="s">
        <v>33</v>
      </c>
    </row>
    <row r="121">
      <c r="A121" s="48">
        <v>0.3736111111111111</v>
      </c>
      <c r="B121" s="61" t="s">
        <v>730</v>
      </c>
      <c r="C121" s="57" t="s">
        <v>23</v>
      </c>
      <c r="D121" s="61" t="s">
        <v>1404</v>
      </c>
      <c r="E121" s="11" t="s">
        <v>29</v>
      </c>
    </row>
    <row r="122">
      <c r="A122" s="48">
        <v>0.3736111111111111</v>
      </c>
      <c r="B122" s="61" t="s">
        <v>510</v>
      </c>
      <c r="C122" s="57" t="s">
        <v>20</v>
      </c>
      <c r="D122" s="61" t="s">
        <v>228</v>
      </c>
      <c r="E122" s="11" t="s">
        <v>33</v>
      </c>
    </row>
    <row r="123">
      <c r="A123" s="48">
        <v>0.3840277777777778</v>
      </c>
      <c r="B123" s="61" t="s">
        <v>1404</v>
      </c>
      <c r="C123" s="57" t="s">
        <v>158</v>
      </c>
      <c r="D123" s="61" t="s">
        <v>510</v>
      </c>
      <c r="E123" s="11" t="s">
        <v>29</v>
      </c>
    </row>
    <row r="124">
      <c r="A124" s="48">
        <v>0.3840277777777778</v>
      </c>
      <c r="B124" s="61" t="s">
        <v>730</v>
      </c>
      <c r="C124" s="57" t="s">
        <v>1406</v>
      </c>
      <c r="D124" s="61" t="s">
        <v>1405</v>
      </c>
      <c r="E124" s="11" t="s">
        <v>33</v>
      </c>
    </row>
    <row r="125">
      <c r="A125" s="48">
        <v>0.39444444444444443</v>
      </c>
      <c r="B125" s="61" t="s">
        <v>1404</v>
      </c>
      <c r="C125" s="45" t="s">
        <v>1407</v>
      </c>
      <c r="D125" s="61" t="s">
        <v>1405</v>
      </c>
      <c r="E125" s="11" t="s">
        <v>29</v>
      </c>
    </row>
    <row r="126">
      <c r="A126" s="48">
        <v>0.39444444444444443</v>
      </c>
      <c r="B126" s="61" t="s">
        <v>730</v>
      </c>
      <c r="C126" s="45" t="s">
        <v>302</v>
      </c>
      <c r="D126" s="61" t="s">
        <v>228</v>
      </c>
      <c r="E126" s="11" t="s">
        <v>33</v>
      </c>
    </row>
    <row r="127">
      <c r="A127" s="48">
        <v>0.4041666666666667</v>
      </c>
      <c r="B127" s="61" t="s">
        <v>1405</v>
      </c>
      <c r="C127" s="45" t="s">
        <v>1408</v>
      </c>
      <c r="D127" s="61" t="s">
        <v>228</v>
      </c>
      <c r="E127" s="11" t="s">
        <v>29</v>
      </c>
    </row>
    <row r="128">
      <c r="A128" s="48">
        <v>0.4041666666666667</v>
      </c>
      <c r="B128" s="61" t="s">
        <v>510</v>
      </c>
      <c r="C128" s="45" t="s">
        <v>743</v>
      </c>
      <c r="D128" s="61" t="s">
        <v>730</v>
      </c>
      <c r="E128" s="11" t="s">
        <v>33</v>
      </c>
    </row>
    <row r="129">
      <c r="A129" s="48">
        <v>0.41458333333333336</v>
      </c>
      <c r="B129" s="61" t="s">
        <v>1404</v>
      </c>
      <c r="C129" s="45" t="s">
        <v>351</v>
      </c>
      <c r="D129" s="61" t="s">
        <v>228</v>
      </c>
      <c r="E129" s="11" t="s">
        <v>29</v>
      </c>
    </row>
    <row r="130">
      <c r="A130" s="48">
        <v>0.41458333333333336</v>
      </c>
      <c r="B130" s="61" t="s">
        <v>1405</v>
      </c>
      <c r="C130" s="45" t="s">
        <v>20</v>
      </c>
      <c r="D130" s="61" t="s">
        <v>510</v>
      </c>
      <c r="E130" s="11" t="s">
        <v>33</v>
      </c>
    </row>
    <row r="131">
      <c r="A131" s="48">
        <v>0.425</v>
      </c>
      <c r="B131" s="61" t="s">
        <v>1404</v>
      </c>
      <c r="C131" s="45" t="s">
        <v>219</v>
      </c>
      <c r="D131" s="61" t="s">
        <v>730</v>
      </c>
      <c r="E131" s="11" t="s">
        <v>29</v>
      </c>
    </row>
    <row r="132">
      <c r="A132" s="48">
        <v>0.425</v>
      </c>
      <c r="B132" s="61" t="s">
        <v>228</v>
      </c>
      <c r="C132" s="45" t="s">
        <v>196</v>
      </c>
      <c r="D132" s="61" t="s">
        <v>510</v>
      </c>
      <c r="E132" s="11" t="s">
        <v>33</v>
      </c>
    </row>
    <row r="133">
      <c r="A133" s="5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56" t="s">
        <v>1409</v>
      </c>
      <c r="C135" s="57" t="s">
        <v>245</v>
      </c>
      <c r="D135" s="61" t="s">
        <v>1410</v>
      </c>
      <c r="E135" s="11" t="s">
        <v>9</v>
      </c>
    </row>
    <row r="136">
      <c r="A136" s="48">
        <v>0.4375</v>
      </c>
      <c r="B136" s="61" t="s">
        <v>1411</v>
      </c>
      <c r="C136" s="57" t="s">
        <v>162</v>
      </c>
      <c r="D136" s="61" t="s">
        <v>1412</v>
      </c>
      <c r="E136" s="11" t="s">
        <v>13</v>
      </c>
    </row>
    <row r="137">
      <c r="A137" s="48">
        <v>0.44722222222222224</v>
      </c>
      <c r="B137" s="61" t="s">
        <v>1411</v>
      </c>
      <c r="C137" s="57" t="s">
        <v>176</v>
      </c>
      <c r="D137" s="61" t="s">
        <v>1410</v>
      </c>
      <c r="E137" s="11" t="s">
        <v>9</v>
      </c>
    </row>
    <row r="138">
      <c r="A138" s="48">
        <v>0.44722222222222224</v>
      </c>
      <c r="B138" s="61" t="s">
        <v>1413</v>
      </c>
      <c r="C138" s="57" t="s">
        <v>16</v>
      </c>
      <c r="D138" s="61" t="s">
        <v>1412</v>
      </c>
      <c r="E138" s="11" t="s">
        <v>13</v>
      </c>
    </row>
    <row r="139">
      <c r="A139" s="48">
        <v>0.4576388888888889</v>
      </c>
      <c r="B139" s="61" t="s">
        <v>1413</v>
      </c>
      <c r="C139" s="57" t="s">
        <v>219</v>
      </c>
      <c r="D139" s="61" t="s">
        <v>1411</v>
      </c>
      <c r="E139" s="11" t="s">
        <v>9</v>
      </c>
    </row>
    <row r="140">
      <c r="A140" s="48">
        <v>0.4576388888888889</v>
      </c>
      <c r="B140" s="61" t="s">
        <v>1412</v>
      </c>
      <c r="C140" s="57" t="s">
        <v>582</v>
      </c>
      <c r="D140" s="56" t="s">
        <v>1409</v>
      </c>
      <c r="E140" s="11" t="s">
        <v>13</v>
      </c>
    </row>
    <row r="141">
      <c r="A141" s="48">
        <v>0.46805555555555556</v>
      </c>
      <c r="B141" s="61" t="s">
        <v>1413</v>
      </c>
      <c r="C141" s="57" t="s">
        <v>177</v>
      </c>
      <c r="D141" s="61" t="s">
        <v>1410</v>
      </c>
      <c r="E141" s="11" t="s">
        <v>9</v>
      </c>
    </row>
    <row r="142">
      <c r="A142" s="48">
        <v>0.46805555555555556</v>
      </c>
      <c r="B142" s="56" t="s">
        <v>1409</v>
      </c>
      <c r="C142" s="57" t="s">
        <v>14</v>
      </c>
      <c r="D142" s="61" t="s">
        <v>1411</v>
      </c>
      <c r="E142" s="11" t="s">
        <v>13</v>
      </c>
    </row>
    <row r="143">
      <c r="A143" s="48">
        <v>0.4777777777777778</v>
      </c>
      <c r="B143" s="61" t="s">
        <v>1412</v>
      </c>
      <c r="C143" s="57" t="s">
        <v>433</v>
      </c>
      <c r="D143" s="61" t="s">
        <v>1410</v>
      </c>
      <c r="E143" s="11" t="s">
        <v>9</v>
      </c>
    </row>
    <row r="144">
      <c r="A144" s="48">
        <v>0.4777777777777778</v>
      </c>
      <c r="B144" s="56" t="s">
        <v>1409</v>
      </c>
      <c r="C144" s="57" t="s">
        <v>14</v>
      </c>
      <c r="D144" s="61" t="s">
        <v>1413</v>
      </c>
      <c r="E144" s="11" t="s">
        <v>13</v>
      </c>
    </row>
    <row r="145">
      <c r="A145" s="48">
        <v>0.48819444444444443</v>
      </c>
      <c r="B145" s="61" t="s">
        <v>1410</v>
      </c>
      <c r="C145" s="57" t="s">
        <v>582</v>
      </c>
      <c r="D145" s="56" t="s">
        <v>1409</v>
      </c>
      <c r="E145" s="11" t="s">
        <v>9</v>
      </c>
    </row>
    <row r="146">
      <c r="A146" s="48">
        <v>0.48819444444444443</v>
      </c>
      <c r="B146" s="61" t="s">
        <v>1412</v>
      </c>
      <c r="C146" s="57" t="s">
        <v>225</v>
      </c>
      <c r="D146" s="61" t="s">
        <v>1411</v>
      </c>
      <c r="E146" s="11" t="s">
        <v>13</v>
      </c>
    </row>
    <row r="147">
      <c r="A147" s="48">
        <v>0.4986111111111111</v>
      </c>
      <c r="B147" s="61" t="s">
        <v>1410</v>
      </c>
      <c r="C147" s="45" t="s">
        <v>250</v>
      </c>
      <c r="D147" s="61" t="s">
        <v>1411</v>
      </c>
      <c r="E147" s="11" t="s">
        <v>9</v>
      </c>
    </row>
    <row r="148">
      <c r="A148" s="48">
        <v>0.4986111111111111</v>
      </c>
      <c r="B148" s="61" t="s">
        <v>1412</v>
      </c>
      <c r="C148" s="45" t="s">
        <v>774</v>
      </c>
      <c r="D148" s="61" t="s">
        <v>1413</v>
      </c>
      <c r="E148" s="11" t="s">
        <v>13</v>
      </c>
    </row>
    <row r="149">
      <c r="A149" s="48">
        <v>0.5083333333333333</v>
      </c>
      <c r="B149" s="61" t="s">
        <v>1411</v>
      </c>
      <c r="C149" s="45" t="s">
        <v>279</v>
      </c>
      <c r="D149" s="61" t="s">
        <v>1413</v>
      </c>
      <c r="E149" s="11" t="s">
        <v>9</v>
      </c>
    </row>
    <row r="150">
      <c r="A150" s="48">
        <v>0.5083333333333333</v>
      </c>
      <c r="B150" s="56" t="s">
        <v>1409</v>
      </c>
      <c r="C150" s="45" t="s">
        <v>281</v>
      </c>
      <c r="D150" s="61" t="s">
        <v>1412</v>
      </c>
      <c r="E150" s="11" t="s">
        <v>13</v>
      </c>
    </row>
    <row r="151">
      <c r="A151" s="48">
        <v>0.51875</v>
      </c>
      <c r="B151" s="61" t="s">
        <v>1410</v>
      </c>
      <c r="C151" s="45" t="s">
        <v>155</v>
      </c>
      <c r="D151" s="61" t="s">
        <v>1413</v>
      </c>
      <c r="E151" s="11" t="s">
        <v>9</v>
      </c>
    </row>
    <row r="152">
      <c r="A152" s="48">
        <v>0.51875</v>
      </c>
      <c r="B152" s="61" t="s">
        <v>1411</v>
      </c>
      <c r="C152" s="45" t="s">
        <v>163</v>
      </c>
      <c r="D152" s="56" t="s">
        <v>1409</v>
      </c>
      <c r="E152" s="11" t="s">
        <v>13</v>
      </c>
    </row>
    <row r="153">
      <c r="A153" s="48">
        <v>0.5291666666666667</v>
      </c>
      <c r="B153" s="61" t="s">
        <v>1410</v>
      </c>
      <c r="C153" s="45" t="s">
        <v>545</v>
      </c>
      <c r="D153" s="61" t="s">
        <v>1412</v>
      </c>
      <c r="E153" s="11" t="s">
        <v>9</v>
      </c>
    </row>
    <row r="154">
      <c r="A154" s="48">
        <v>0.5291666666666667</v>
      </c>
      <c r="B154" s="61" t="s">
        <v>1413</v>
      </c>
      <c r="C154" s="45" t="s">
        <v>257</v>
      </c>
      <c r="D154" s="56" t="s">
        <v>1409</v>
      </c>
      <c r="E154" s="11" t="s">
        <v>13</v>
      </c>
    </row>
    <row r="155">
      <c r="A155" s="5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406</v>
      </c>
      <c r="C157" s="57" t="s">
        <v>185</v>
      </c>
      <c r="D157" s="61" t="s">
        <v>1414</v>
      </c>
      <c r="E157" s="11" t="s">
        <v>29</v>
      </c>
    </row>
    <row r="158">
      <c r="A158" s="48">
        <v>0.4375</v>
      </c>
      <c r="B158" s="61" t="s">
        <v>1415</v>
      </c>
      <c r="C158" s="57" t="s">
        <v>181</v>
      </c>
      <c r="D158" s="61" t="s">
        <v>1416</v>
      </c>
      <c r="E158" s="11" t="s">
        <v>33</v>
      </c>
    </row>
    <row r="159">
      <c r="A159" s="48">
        <v>0.44722222222222224</v>
      </c>
      <c r="B159" s="61" t="s">
        <v>1415</v>
      </c>
      <c r="C159" s="57" t="s">
        <v>38</v>
      </c>
      <c r="D159" s="61" t="s">
        <v>1414</v>
      </c>
      <c r="E159" s="11" t="s">
        <v>29</v>
      </c>
    </row>
    <row r="160">
      <c r="A160" s="48">
        <v>0.44722222222222224</v>
      </c>
      <c r="B160" s="61" t="s">
        <v>1417</v>
      </c>
      <c r="C160" s="57" t="s">
        <v>210</v>
      </c>
      <c r="D160" s="61" t="s">
        <v>1416</v>
      </c>
      <c r="E160" s="11" t="s">
        <v>33</v>
      </c>
    </row>
    <row r="161">
      <c r="A161" s="48">
        <v>0.4576388888888889</v>
      </c>
      <c r="B161" s="61" t="s">
        <v>1417</v>
      </c>
      <c r="C161" s="57" t="s">
        <v>1418</v>
      </c>
      <c r="D161" s="61" t="s">
        <v>1415</v>
      </c>
      <c r="E161" s="11" t="s">
        <v>29</v>
      </c>
    </row>
    <row r="162">
      <c r="A162" s="48">
        <v>0.4576388888888889</v>
      </c>
      <c r="B162" s="61" t="s">
        <v>1416</v>
      </c>
      <c r="C162" s="57" t="s">
        <v>278</v>
      </c>
      <c r="D162" s="61" t="s">
        <v>406</v>
      </c>
      <c r="E162" s="11" t="s">
        <v>33</v>
      </c>
    </row>
    <row r="163">
      <c r="A163" s="48">
        <v>0.46805555555555556</v>
      </c>
      <c r="B163" s="61" t="s">
        <v>1417</v>
      </c>
      <c r="C163" s="57" t="s">
        <v>20</v>
      </c>
      <c r="D163" s="61" t="s">
        <v>1414</v>
      </c>
      <c r="E163" s="11" t="s">
        <v>29</v>
      </c>
    </row>
    <row r="164">
      <c r="A164" s="48">
        <v>0.46805555555555556</v>
      </c>
      <c r="B164" s="61" t="s">
        <v>406</v>
      </c>
      <c r="C164" s="57" t="s">
        <v>17</v>
      </c>
      <c r="D164" s="61" t="s">
        <v>1415</v>
      </c>
      <c r="E164" s="11" t="s">
        <v>33</v>
      </c>
    </row>
    <row r="165">
      <c r="A165" s="48">
        <v>0.4777777777777778</v>
      </c>
      <c r="B165" s="61" t="s">
        <v>1416</v>
      </c>
      <c r="C165" s="57" t="s">
        <v>17</v>
      </c>
      <c r="D165" s="61" t="s">
        <v>1414</v>
      </c>
      <c r="E165" s="11" t="s">
        <v>29</v>
      </c>
    </row>
    <row r="166">
      <c r="A166" s="48">
        <v>0.4777777777777778</v>
      </c>
      <c r="B166" s="61" t="s">
        <v>406</v>
      </c>
      <c r="C166" s="57" t="s">
        <v>23</v>
      </c>
      <c r="D166" s="61" t="s">
        <v>1417</v>
      </c>
      <c r="E166" s="11" t="s">
        <v>33</v>
      </c>
    </row>
    <row r="167">
      <c r="A167" s="48">
        <v>0.48819444444444443</v>
      </c>
      <c r="B167" s="61" t="s">
        <v>1414</v>
      </c>
      <c r="C167" s="57" t="s">
        <v>173</v>
      </c>
      <c r="D167" s="61" t="s">
        <v>406</v>
      </c>
      <c r="E167" s="11" t="s">
        <v>29</v>
      </c>
    </row>
    <row r="168">
      <c r="A168" s="48">
        <v>0.48819444444444443</v>
      </c>
      <c r="B168" s="61" t="s">
        <v>1416</v>
      </c>
      <c r="C168" s="57" t="s">
        <v>250</v>
      </c>
      <c r="D168" s="61" t="s">
        <v>1415</v>
      </c>
      <c r="E168" s="11" t="s">
        <v>33</v>
      </c>
    </row>
    <row r="169">
      <c r="A169" s="48">
        <v>0.4986111111111111</v>
      </c>
      <c r="B169" s="61" t="s">
        <v>1414</v>
      </c>
      <c r="C169" s="45" t="s">
        <v>709</v>
      </c>
      <c r="D169" s="61" t="s">
        <v>1415</v>
      </c>
      <c r="E169" s="11" t="s">
        <v>29</v>
      </c>
    </row>
    <row r="170">
      <c r="A170" s="48">
        <v>0.4986111111111111</v>
      </c>
      <c r="B170" s="61" t="s">
        <v>1416</v>
      </c>
      <c r="C170" s="45" t="s">
        <v>23</v>
      </c>
      <c r="D170" s="61" t="s">
        <v>1417</v>
      </c>
      <c r="E170" s="11" t="s">
        <v>33</v>
      </c>
    </row>
    <row r="171">
      <c r="A171" s="48">
        <v>0.5083333333333333</v>
      </c>
      <c r="B171" s="61" t="s">
        <v>1415</v>
      </c>
      <c r="C171" s="45" t="s">
        <v>638</v>
      </c>
      <c r="D171" s="61" t="s">
        <v>1417</v>
      </c>
      <c r="E171" s="11" t="s">
        <v>29</v>
      </c>
    </row>
    <row r="172">
      <c r="A172" s="48">
        <v>0.5083333333333333</v>
      </c>
      <c r="B172" s="61" t="s">
        <v>406</v>
      </c>
      <c r="C172" s="45" t="s">
        <v>20</v>
      </c>
      <c r="D172" s="61" t="s">
        <v>1416</v>
      </c>
      <c r="E172" s="11" t="s">
        <v>33</v>
      </c>
    </row>
    <row r="173">
      <c r="A173" s="48">
        <v>0.51875</v>
      </c>
      <c r="B173" s="61" t="s">
        <v>1414</v>
      </c>
      <c r="C173" s="45" t="s">
        <v>208</v>
      </c>
      <c r="D173" s="61" t="s">
        <v>1417</v>
      </c>
      <c r="E173" s="11" t="s">
        <v>29</v>
      </c>
    </row>
    <row r="174">
      <c r="A174" s="48">
        <v>0.51875</v>
      </c>
      <c r="B174" s="61" t="s">
        <v>1415</v>
      </c>
      <c r="C174" s="45" t="s">
        <v>1419</v>
      </c>
      <c r="D174" s="61" t="s">
        <v>406</v>
      </c>
      <c r="E174" s="11" t="s">
        <v>33</v>
      </c>
    </row>
    <row r="175">
      <c r="A175" s="48">
        <v>0.5291666666666667</v>
      </c>
      <c r="B175" s="61" t="s">
        <v>1414</v>
      </c>
      <c r="C175" s="45" t="s">
        <v>1420</v>
      </c>
      <c r="D175" s="61" t="s">
        <v>1416</v>
      </c>
      <c r="E175" s="11" t="s">
        <v>29</v>
      </c>
    </row>
    <row r="176">
      <c r="A176" s="48">
        <v>0.5291666666666667</v>
      </c>
      <c r="B176" s="61" t="s">
        <v>1417</v>
      </c>
      <c r="C176" s="45" t="s">
        <v>1421</v>
      </c>
      <c r="D176" s="61" t="s">
        <v>406</v>
      </c>
      <c r="E176" s="11" t="s">
        <v>33</v>
      </c>
    </row>
    <row r="177">
      <c r="A177" s="5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56" t="s">
        <v>1422</v>
      </c>
      <c r="C179" s="45" t="s">
        <v>574</v>
      </c>
      <c r="D179" s="61" t="s">
        <v>80</v>
      </c>
      <c r="E179" s="11" t="s">
        <v>9</v>
      </c>
    </row>
    <row r="180">
      <c r="A180" s="48">
        <v>0.5416666666666666</v>
      </c>
      <c r="B180" s="61" t="s">
        <v>1423</v>
      </c>
      <c r="C180" s="45" t="s">
        <v>208</v>
      </c>
      <c r="D180" s="61" t="s">
        <v>528</v>
      </c>
      <c r="E180" s="11" t="s">
        <v>13</v>
      </c>
    </row>
    <row r="181">
      <c r="A181" s="48">
        <v>0.5513888888888889</v>
      </c>
      <c r="B181" s="61" t="s">
        <v>1423</v>
      </c>
      <c r="C181" s="45" t="s">
        <v>43</v>
      </c>
      <c r="D181" s="61" t="s">
        <v>80</v>
      </c>
      <c r="E181" s="11" t="s">
        <v>9</v>
      </c>
    </row>
    <row r="182">
      <c r="A182" s="48">
        <v>0.5513888888888889</v>
      </c>
      <c r="B182" s="61" t="s">
        <v>1296</v>
      </c>
      <c r="C182" s="45" t="s">
        <v>291</v>
      </c>
      <c r="D182" s="61" t="s">
        <v>528</v>
      </c>
      <c r="E182" s="11" t="s">
        <v>13</v>
      </c>
    </row>
    <row r="183">
      <c r="A183" s="48">
        <v>0.5618055555555556</v>
      </c>
      <c r="B183" s="61" t="s">
        <v>1296</v>
      </c>
      <c r="C183" s="45" t="s">
        <v>210</v>
      </c>
      <c r="D183" s="61" t="s">
        <v>1423</v>
      </c>
      <c r="E183" s="11" t="s">
        <v>9</v>
      </c>
    </row>
    <row r="184">
      <c r="A184" s="48">
        <v>0.5618055555555556</v>
      </c>
      <c r="B184" s="61" t="s">
        <v>528</v>
      </c>
      <c r="C184" s="45" t="s">
        <v>545</v>
      </c>
      <c r="D184" s="56" t="s">
        <v>1422</v>
      </c>
      <c r="E184" s="11" t="s">
        <v>13</v>
      </c>
    </row>
    <row r="185">
      <c r="A185" s="48">
        <v>0.5722222222222222</v>
      </c>
      <c r="B185" s="61" t="s">
        <v>1296</v>
      </c>
      <c r="C185" s="45" t="s">
        <v>292</v>
      </c>
      <c r="D185" s="61" t="s">
        <v>80</v>
      </c>
      <c r="E185" s="11" t="s">
        <v>9</v>
      </c>
    </row>
    <row r="186">
      <c r="A186" s="48">
        <v>0.5722222222222222</v>
      </c>
      <c r="B186" s="56" t="s">
        <v>1422</v>
      </c>
      <c r="C186" s="45" t="s">
        <v>281</v>
      </c>
      <c r="D186" s="61" t="s">
        <v>1423</v>
      </c>
      <c r="E186" s="11" t="s">
        <v>13</v>
      </c>
    </row>
    <row r="187">
      <c r="A187" s="48">
        <v>0.5819444444444445</v>
      </c>
      <c r="B187" s="61" t="s">
        <v>528</v>
      </c>
      <c r="C187" s="45" t="s">
        <v>165</v>
      </c>
      <c r="D187" s="61" t="s">
        <v>80</v>
      </c>
      <c r="E187" s="11" t="s">
        <v>9</v>
      </c>
    </row>
    <row r="188">
      <c r="A188" s="48">
        <v>0.5819444444444445</v>
      </c>
      <c r="B188" s="56" t="s">
        <v>1422</v>
      </c>
      <c r="C188" s="45" t="s">
        <v>425</v>
      </c>
      <c r="D188" s="61" t="s">
        <v>1296</v>
      </c>
      <c r="E188" s="11" t="s">
        <v>13</v>
      </c>
    </row>
    <row r="189">
      <c r="A189" s="48">
        <v>0.5923611111111111</v>
      </c>
      <c r="B189" s="61" t="s">
        <v>80</v>
      </c>
      <c r="C189" s="45" t="s">
        <v>1107</v>
      </c>
      <c r="D189" s="56" t="s">
        <v>1422</v>
      </c>
      <c r="E189" s="11" t="s">
        <v>9</v>
      </c>
    </row>
    <row r="190">
      <c r="A190" s="48">
        <v>0.5923611111111111</v>
      </c>
      <c r="B190" s="61" t="s">
        <v>528</v>
      </c>
      <c r="C190" s="45" t="s">
        <v>222</v>
      </c>
      <c r="D190" s="61" t="s">
        <v>1423</v>
      </c>
      <c r="E190" s="11" t="s">
        <v>13</v>
      </c>
    </row>
    <row r="191">
      <c r="A191" s="48">
        <v>0.6027777777777777</v>
      </c>
      <c r="B191" s="61" t="s">
        <v>80</v>
      </c>
      <c r="C191" s="45" t="s">
        <v>477</v>
      </c>
      <c r="D191" s="61" t="s">
        <v>1423</v>
      </c>
      <c r="E191" s="11" t="s">
        <v>9</v>
      </c>
    </row>
    <row r="192">
      <c r="A192" s="48">
        <v>0.6027777777777777</v>
      </c>
      <c r="B192" s="61" t="s">
        <v>528</v>
      </c>
      <c r="C192" s="45" t="s">
        <v>31</v>
      </c>
      <c r="D192" s="61" t="s">
        <v>1296</v>
      </c>
      <c r="E192" s="11" t="s">
        <v>13</v>
      </c>
    </row>
    <row r="193">
      <c r="A193" s="48">
        <v>0.6125</v>
      </c>
      <c r="B193" s="61" t="s">
        <v>1423</v>
      </c>
      <c r="C193" s="45" t="s">
        <v>1424</v>
      </c>
      <c r="D193" s="61" t="s">
        <v>1296</v>
      </c>
      <c r="E193" s="11" t="s">
        <v>9</v>
      </c>
    </row>
    <row r="194">
      <c r="A194" s="48">
        <v>0.6125</v>
      </c>
      <c r="B194" s="56" t="s">
        <v>1422</v>
      </c>
      <c r="C194" s="45" t="s">
        <v>1425</v>
      </c>
      <c r="D194" s="61" t="s">
        <v>528</v>
      </c>
      <c r="E194" s="11" t="s">
        <v>13</v>
      </c>
    </row>
    <row r="195">
      <c r="A195" s="48">
        <v>0.6229166666666667</v>
      </c>
      <c r="B195" s="61" t="s">
        <v>80</v>
      </c>
      <c r="C195" s="45" t="s">
        <v>1426</v>
      </c>
      <c r="D195" s="61" t="s">
        <v>1296</v>
      </c>
      <c r="E195" s="11" t="s">
        <v>9</v>
      </c>
    </row>
    <row r="196">
      <c r="A196" s="48">
        <v>0.6229166666666667</v>
      </c>
      <c r="B196" s="61" t="s">
        <v>1423</v>
      </c>
      <c r="C196" s="45" t="s">
        <v>257</v>
      </c>
      <c r="D196" s="56" t="s">
        <v>1422</v>
      </c>
      <c r="E196" s="11" t="s">
        <v>13</v>
      </c>
    </row>
    <row r="197">
      <c r="A197" s="48">
        <v>0.6333333333333333</v>
      </c>
      <c r="B197" s="61" t="s">
        <v>80</v>
      </c>
      <c r="C197" s="45" t="s">
        <v>271</v>
      </c>
      <c r="D197" s="61" t="s">
        <v>528</v>
      </c>
      <c r="E197" s="11" t="s">
        <v>9</v>
      </c>
    </row>
    <row r="198">
      <c r="A198" s="48">
        <v>0.6333333333333333</v>
      </c>
      <c r="B198" s="61" t="s">
        <v>1296</v>
      </c>
      <c r="C198" s="45" t="s">
        <v>1427</v>
      </c>
      <c r="D198" s="56" t="s">
        <v>1422</v>
      </c>
      <c r="E198" s="11" t="s">
        <v>13</v>
      </c>
    </row>
    <row r="199">
      <c r="A199" s="5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0.5416666666666666</v>
      </c>
      <c r="B201" s="61" t="s">
        <v>392</v>
      </c>
      <c r="C201" s="57" t="s">
        <v>209</v>
      </c>
      <c r="D201" s="61" t="s">
        <v>1428</v>
      </c>
      <c r="E201" s="11" t="s">
        <v>29</v>
      </c>
    </row>
    <row r="202">
      <c r="A202" s="48">
        <v>0.5416666666666666</v>
      </c>
      <c r="B202" s="61" t="s">
        <v>1429</v>
      </c>
      <c r="C202" s="57" t="s">
        <v>176</v>
      </c>
      <c r="D202" s="61" t="s">
        <v>1416</v>
      </c>
      <c r="E202" s="11" t="s">
        <v>33</v>
      </c>
    </row>
    <row r="203">
      <c r="A203" s="48">
        <v>0.5513888888888889</v>
      </c>
      <c r="B203" s="61" t="s">
        <v>1429</v>
      </c>
      <c r="C203" s="57" t="s">
        <v>198</v>
      </c>
      <c r="D203" s="61" t="s">
        <v>1428</v>
      </c>
      <c r="E203" s="11" t="s">
        <v>29</v>
      </c>
    </row>
    <row r="204">
      <c r="A204" s="48">
        <v>0.5513888888888889</v>
      </c>
      <c r="B204" s="61" t="s">
        <v>1430</v>
      </c>
      <c r="C204" s="57" t="s">
        <v>38</v>
      </c>
      <c r="D204" s="61" t="s">
        <v>1416</v>
      </c>
      <c r="E204" s="11" t="s">
        <v>33</v>
      </c>
    </row>
    <row r="205">
      <c r="A205" s="48">
        <v>0.5618055555555556</v>
      </c>
      <c r="B205" s="61" t="s">
        <v>1430</v>
      </c>
      <c r="C205" s="57" t="s">
        <v>218</v>
      </c>
      <c r="D205" s="61" t="s">
        <v>1429</v>
      </c>
      <c r="E205" s="11" t="s">
        <v>29</v>
      </c>
    </row>
    <row r="206">
      <c r="A206" s="48">
        <v>0.5618055555555556</v>
      </c>
      <c r="B206" s="61" t="s">
        <v>1416</v>
      </c>
      <c r="C206" s="57" t="s">
        <v>16</v>
      </c>
      <c r="D206" s="61" t="s">
        <v>392</v>
      </c>
      <c r="E206" s="11" t="s">
        <v>33</v>
      </c>
    </row>
    <row r="207">
      <c r="A207" s="48">
        <v>0.5722222222222222</v>
      </c>
      <c r="B207" s="61" t="s">
        <v>1430</v>
      </c>
      <c r="C207" s="57" t="s">
        <v>278</v>
      </c>
      <c r="D207" s="61" t="s">
        <v>1428</v>
      </c>
      <c r="E207" s="11" t="s">
        <v>29</v>
      </c>
    </row>
    <row r="208">
      <c r="A208" s="48">
        <v>0.5722222222222222</v>
      </c>
      <c r="B208" s="61" t="s">
        <v>392</v>
      </c>
      <c r="C208" s="57" t="s">
        <v>354</v>
      </c>
      <c r="D208" s="61" t="s">
        <v>1429</v>
      </c>
      <c r="E208" s="11" t="s">
        <v>33</v>
      </c>
    </row>
    <row r="209">
      <c r="A209" s="48">
        <v>0.5819444444444445</v>
      </c>
      <c r="B209" s="61" t="s">
        <v>1416</v>
      </c>
      <c r="C209" s="57" t="s">
        <v>173</v>
      </c>
      <c r="D209" s="61" t="s">
        <v>1428</v>
      </c>
      <c r="E209" s="11" t="s">
        <v>29</v>
      </c>
    </row>
    <row r="210">
      <c r="A210" s="48">
        <v>0.5819444444444445</v>
      </c>
      <c r="B210" s="61" t="s">
        <v>392</v>
      </c>
      <c r="C210" s="57" t="s">
        <v>1162</v>
      </c>
      <c r="D210" s="61" t="s">
        <v>1430</v>
      </c>
      <c r="E210" s="11" t="s">
        <v>33</v>
      </c>
    </row>
    <row r="211">
      <c r="A211" s="48">
        <v>0.5923611111111111</v>
      </c>
      <c r="B211" s="61" t="s">
        <v>1428</v>
      </c>
      <c r="C211" s="57" t="s">
        <v>357</v>
      </c>
      <c r="D211" s="61" t="s">
        <v>392</v>
      </c>
      <c r="E211" s="11" t="s">
        <v>29</v>
      </c>
    </row>
    <row r="212">
      <c r="A212" s="48">
        <v>0.5923611111111111</v>
      </c>
      <c r="B212" s="61" t="s">
        <v>1416</v>
      </c>
      <c r="C212" s="57" t="s">
        <v>225</v>
      </c>
      <c r="D212" s="61" t="s">
        <v>1429</v>
      </c>
      <c r="E212" s="11" t="s">
        <v>33</v>
      </c>
    </row>
    <row r="213">
      <c r="A213" s="48">
        <v>0.6027777777777777</v>
      </c>
      <c r="B213" s="61" t="s">
        <v>1428</v>
      </c>
      <c r="C213" s="45" t="s">
        <v>442</v>
      </c>
      <c r="D213" s="61" t="s">
        <v>1429</v>
      </c>
      <c r="E213" s="11" t="s">
        <v>29</v>
      </c>
    </row>
    <row r="214">
      <c r="A214" s="48">
        <v>0.6027777777777777</v>
      </c>
      <c r="B214" s="61" t="s">
        <v>1416</v>
      </c>
      <c r="C214" s="45" t="s">
        <v>248</v>
      </c>
      <c r="D214" s="61" t="s">
        <v>1430</v>
      </c>
      <c r="E214" s="11" t="s">
        <v>33</v>
      </c>
    </row>
    <row r="215">
      <c r="A215" s="48">
        <v>0.6125</v>
      </c>
      <c r="B215" s="61" t="s">
        <v>1429</v>
      </c>
      <c r="C215" s="45" t="s">
        <v>291</v>
      </c>
      <c r="D215" s="61" t="s">
        <v>1430</v>
      </c>
      <c r="E215" s="11" t="s">
        <v>29</v>
      </c>
    </row>
    <row r="216">
      <c r="A216" s="48">
        <v>0.6125</v>
      </c>
      <c r="B216" s="61" t="s">
        <v>392</v>
      </c>
      <c r="C216" s="45" t="s">
        <v>23</v>
      </c>
      <c r="D216" s="61" t="s">
        <v>1416</v>
      </c>
      <c r="E216" s="11" t="s">
        <v>33</v>
      </c>
    </row>
    <row r="217">
      <c r="A217" s="48">
        <v>0.6229166666666667</v>
      </c>
      <c r="B217" s="61" t="s">
        <v>1428</v>
      </c>
      <c r="C217" s="45" t="s">
        <v>210</v>
      </c>
      <c r="D217" s="61" t="s">
        <v>1430</v>
      </c>
      <c r="E217" s="11" t="s">
        <v>29</v>
      </c>
    </row>
    <row r="218">
      <c r="A218" s="48">
        <v>0.6229166666666667</v>
      </c>
      <c r="B218" s="61" t="s">
        <v>1429</v>
      </c>
      <c r="C218" s="45" t="s">
        <v>187</v>
      </c>
      <c r="D218" s="61" t="s">
        <v>392</v>
      </c>
      <c r="E218" s="11" t="s">
        <v>33</v>
      </c>
    </row>
    <row r="219">
      <c r="A219" s="48">
        <v>0.6333333333333333</v>
      </c>
      <c r="B219" s="61" t="s">
        <v>1428</v>
      </c>
      <c r="C219" s="45" t="s">
        <v>718</v>
      </c>
      <c r="D219" s="61" t="s">
        <v>1416</v>
      </c>
      <c r="E219" s="11" t="s">
        <v>29</v>
      </c>
    </row>
    <row r="220">
      <c r="A220" s="48">
        <v>0.6333333333333333</v>
      </c>
      <c r="B220" s="61" t="s">
        <v>1430</v>
      </c>
      <c r="C220" s="45" t="s">
        <v>219</v>
      </c>
      <c r="D220" s="61" t="s">
        <v>392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1431</v>
      </c>
      <c r="C223" s="57" t="s">
        <v>162</v>
      </c>
      <c r="D223" s="62" t="s">
        <v>1171</v>
      </c>
      <c r="E223" s="11" t="s">
        <v>9</v>
      </c>
    </row>
    <row r="224">
      <c r="A224" s="48">
        <v>0.6458333333333334</v>
      </c>
      <c r="B224" s="62" t="s">
        <v>92</v>
      </c>
      <c r="C224" s="57" t="s">
        <v>158</v>
      </c>
      <c r="D224" s="62" t="s">
        <v>1366</v>
      </c>
      <c r="E224" s="11" t="s">
        <v>13</v>
      </c>
    </row>
    <row r="225">
      <c r="A225" s="48">
        <v>0.6555555555555556</v>
      </c>
      <c r="B225" s="62" t="s">
        <v>92</v>
      </c>
      <c r="C225" s="57" t="s">
        <v>155</v>
      </c>
      <c r="D225" s="62" t="s">
        <v>1171</v>
      </c>
      <c r="E225" s="11" t="s">
        <v>9</v>
      </c>
    </row>
    <row r="226">
      <c r="A226" s="48">
        <v>0.6555555555555556</v>
      </c>
      <c r="B226" s="62" t="s">
        <v>1300</v>
      </c>
      <c r="C226" s="57" t="s">
        <v>220</v>
      </c>
      <c r="D226" s="62" t="s">
        <v>1366</v>
      </c>
      <c r="E226" s="11" t="s">
        <v>13</v>
      </c>
    </row>
    <row r="227">
      <c r="A227" s="48">
        <v>0.6659722222222222</v>
      </c>
      <c r="B227" s="62" t="s">
        <v>1300</v>
      </c>
      <c r="C227" s="57" t="s">
        <v>198</v>
      </c>
      <c r="D227" s="62" t="s">
        <v>92</v>
      </c>
      <c r="E227" s="11" t="s">
        <v>9</v>
      </c>
    </row>
    <row r="228">
      <c r="A228" s="48">
        <v>0.6659722222222222</v>
      </c>
      <c r="B228" s="62" t="s">
        <v>1366</v>
      </c>
      <c r="C228" s="57" t="s">
        <v>158</v>
      </c>
      <c r="D228" s="62" t="s">
        <v>1431</v>
      </c>
      <c r="E228" s="11" t="s">
        <v>13</v>
      </c>
    </row>
    <row r="229">
      <c r="A229" s="48">
        <v>0.6763888888888889</v>
      </c>
      <c r="B229" s="62" t="s">
        <v>1300</v>
      </c>
      <c r="C229" s="57" t="s">
        <v>220</v>
      </c>
      <c r="D229" s="62" t="s">
        <v>1171</v>
      </c>
      <c r="E229" s="11" t="s">
        <v>9</v>
      </c>
    </row>
    <row r="230">
      <c r="A230" s="48">
        <v>0.6763888888888889</v>
      </c>
      <c r="B230" s="62" t="s">
        <v>1431</v>
      </c>
      <c r="C230" s="57" t="s">
        <v>173</v>
      </c>
      <c r="D230" s="62" t="s">
        <v>92</v>
      </c>
      <c r="E230" s="11" t="s">
        <v>13</v>
      </c>
    </row>
    <row r="231">
      <c r="A231" s="48">
        <v>0.6861111111111111</v>
      </c>
      <c r="B231" s="62" t="s">
        <v>1366</v>
      </c>
      <c r="C231" s="57" t="s">
        <v>219</v>
      </c>
      <c r="D231" s="62" t="s">
        <v>1171</v>
      </c>
      <c r="E231" s="11" t="s">
        <v>9</v>
      </c>
    </row>
    <row r="232">
      <c r="A232" s="48">
        <v>0.6861111111111111</v>
      </c>
      <c r="B232" s="62" t="s">
        <v>1431</v>
      </c>
      <c r="C232" s="57" t="s">
        <v>181</v>
      </c>
      <c r="D232" s="62" t="s">
        <v>1300</v>
      </c>
      <c r="E232" s="11" t="s">
        <v>13</v>
      </c>
    </row>
    <row r="233">
      <c r="A233" s="48">
        <v>0.6965277777777777</v>
      </c>
      <c r="B233" s="62" t="s">
        <v>1171</v>
      </c>
      <c r="C233" s="57" t="s">
        <v>43</v>
      </c>
      <c r="D233" s="62" t="s">
        <v>1431</v>
      </c>
      <c r="E233" s="11" t="s">
        <v>9</v>
      </c>
    </row>
    <row r="234">
      <c r="A234" s="48">
        <v>0.6965277777777777</v>
      </c>
      <c r="B234" s="62" t="s">
        <v>1366</v>
      </c>
      <c r="C234" s="57" t="s">
        <v>16</v>
      </c>
      <c r="D234" s="62" t="s">
        <v>92</v>
      </c>
      <c r="E234" s="11" t="s">
        <v>13</v>
      </c>
    </row>
    <row r="235">
      <c r="A235" s="48">
        <v>0.7069444444444445</v>
      </c>
      <c r="B235" s="62" t="s">
        <v>1171</v>
      </c>
      <c r="C235" s="45" t="s">
        <v>279</v>
      </c>
      <c r="D235" s="62" t="s">
        <v>92</v>
      </c>
      <c r="E235" s="11" t="s">
        <v>9</v>
      </c>
    </row>
    <row r="236">
      <c r="A236" s="48">
        <v>0.7069444444444445</v>
      </c>
      <c r="B236" s="62" t="s">
        <v>1366</v>
      </c>
      <c r="C236" s="45" t="s">
        <v>18</v>
      </c>
      <c r="D236" s="62" t="s">
        <v>1300</v>
      </c>
      <c r="E236" s="11" t="s">
        <v>13</v>
      </c>
    </row>
    <row r="237">
      <c r="A237" s="48">
        <v>0.7166666666666667</v>
      </c>
      <c r="B237" s="62" t="s">
        <v>92</v>
      </c>
      <c r="C237" s="45" t="s">
        <v>1120</v>
      </c>
      <c r="D237" s="62" t="s">
        <v>1300</v>
      </c>
      <c r="E237" s="11" t="s">
        <v>9</v>
      </c>
    </row>
    <row r="238">
      <c r="A238" s="48">
        <v>0.7166666666666667</v>
      </c>
      <c r="B238" s="62" t="s">
        <v>1431</v>
      </c>
      <c r="C238" s="45" t="s">
        <v>14</v>
      </c>
      <c r="D238" s="62" t="s">
        <v>1366</v>
      </c>
      <c r="E238" s="11" t="s">
        <v>13</v>
      </c>
    </row>
    <row r="239">
      <c r="A239" s="48">
        <v>0.7270833333333333</v>
      </c>
      <c r="B239" s="62" t="s">
        <v>1171</v>
      </c>
      <c r="C239" s="45" t="s">
        <v>196</v>
      </c>
      <c r="D239" s="62" t="s">
        <v>1300</v>
      </c>
      <c r="E239" s="11" t="s">
        <v>9</v>
      </c>
    </row>
    <row r="240">
      <c r="A240" s="48">
        <v>0.7270833333333333</v>
      </c>
      <c r="B240" s="62" t="s">
        <v>92</v>
      </c>
      <c r="C240" s="45" t="s">
        <v>291</v>
      </c>
      <c r="D240" s="62" t="s">
        <v>1431</v>
      </c>
      <c r="E240" s="11" t="s">
        <v>13</v>
      </c>
    </row>
    <row r="241">
      <c r="A241" s="48">
        <v>0.7375</v>
      </c>
      <c r="B241" s="62" t="s">
        <v>1171</v>
      </c>
      <c r="C241" s="45" t="s">
        <v>334</v>
      </c>
      <c r="D241" s="62" t="s">
        <v>1366</v>
      </c>
      <c r="E241" s="11" t="s">
        <v>9</v>
      </c>
    </row>
    <row r="242">
      <c r="A242" s="48">
        <v>0.7375</v>
      </c>
      <c r="B242" s="62" t="s">
        <v>1300</v>
      </c>
      <c r="C242" s="45" t="s">
        <v>158</v>
      </c>
      <c r="D242" s="62" t="s">
        <v>1431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1237</v>
      </c>
      <c r="C245" s="57" t="s">
        <v>291</v>
      </c>
      <c r="D245" s="62" t="s">
        <v>1432</v>
      </c>
      <c r="E245" s="11" t="s">
        <v>29</v>
      </c>
    </row>
    <row r="246">
      <c r="A246" s="48">
        <v>0.6458333333333334</v>
      </c>
      <c r="B246" s="62" t="s">
        <v>869</v>
      </c>
      <c r="C246" s="81" t="s">
        <v>668</v>
      </c>
      <c r="D246" s="62" t="s">
        <v>1433</v>
      </c>
      <c r="E246" s="11" t="s">
        <v>33</v>
      </c>
    </row>
    <row r="247">
      <c r="A247" s="48">
        <v>0.6555555555555556</v>
      </c>
      <c r="B247" s="62" t="s">
        <v>869</v>
      </c>
      <c r="C247" s="57" t="s">
        <v>278</v>
      </c>
      <c r="D247" s="62" t="s">
        <v>1432</v>
      </c>
      <c r="E247" s="11" t="s">
        <v>29</v>
      </c>
    </row>
    <row r="248">
      <c r="A248" s="48">
        <v>0.6555555555555556</v>
      </c>
      <c r="B248" s="62" t="s">
        <v>1240</v>
      </c>
      <c r="C248" s="81" t="s">
        <v>668</v>
      </c>
      <c r="D248" s="62" t="s">
        <v>1433</v>
      </c>
      <c r="E248" s="55" t="s">
        <v>33</v>
      </c>
    </row>
    <row r="249">
      <c r="A249" s="48">
        <v>0.6659722222222222</v>
      </c>
      <c r="B249" s="62" t="s">
        <v>1240</v>
      </c>
      <c r="C249" s="57" t="s">
        <v>688</v>
      </c>
      <c r="D249" s="62" t="s">
        <v>869</v>
      </c>
      <c r="E249" s="11" t="s">
        <v>29</v>
      </c>
    </row>
    <row r="250">
      <c r="A250" s="48">
        <v>0.6659722222222222</v>
      </c>
      <c r="B250" s="62" t="s">
        <v>1433</v>
      </c>
      <c r="C250" s="57" t="s">
        <v>166</v>
      </c>
      <c r="D250" s="62" t="s">
        <v>1237</v>
      </c>
      <c r="E250" s="11" t="s">
        <v>33</v>
      </c>
    </row>
    <row r="251">
      <c r="A251" s="48">
        <v>0.6763888888888889</v>
      </c>
      <c r="B251" s="62" t="s">
        <v>1240</v>
      </c>
      <c r="C251" s="57" t="s">
        <v>313</v>
      </c>
      <c r="D251" s="62" t="s">
        <v>1432</v>
      </c>
      <c r="E251" s="11" t="s">
        <v>29</v>
      </c>
    </row>
    <row r="252">
      <c r="A252" s="48">
        <v>0.6763888888888889</v>
      </c>
      <c r="B252" s="62" t="s">
        <v>1237</v>
      </c>
      <c r="C252" s="57" t="s">
        <v>302</v>
      </c>
      <c r="D252" s="62" t="s">
        <v>869</v>
      </c>
      <c r="E252" s="11" t="s">
        <v>33</v>
      </c>
    </row>
    <row r="253">
      <c r="A253" s="48">
        <v>0.6861111111111111</v>
      </c>
      <c r="B253" s="62" t="s">
        <v>1433</v>
      </c>
      <c r="C253" s="57" t="s">
        <v>342</v>
      </c>
      <c r="D253" s="62" t="s">
        <v>1432</v>
      </c>
      <c r="E253" s="11" t="s">
        <v>29</v>
      </c>
    </row>
    <row r="254">
      <c r="A254" s="48">
        <v>0.6861111111111111</v>
      </c>
      <c r="B254" s="62" t="s">
        <v>1237</v>
      </c>
      <c r="C254" s="57" t="s">
        <v>352</v>
      </c>
      <c r="D254" s="62" t="s">
        <v>1240</v>
      </c>
      <c r="E254" s="11" t="s">
        <v>33</v>
      </c>
    </row>
    <row r="255">
      <c r="A255" s="48">
        <v>0.6965277777777777</v>
      </c>
      <c r="B255" s="62" t="s">
        <v>1432</v>
      </c>
      <c r="C255" s="57" t="s">
        <v>16</v>
      </c>
      <c r="D255" s="62" t="s">
        <v>1237</v>
      </c>
      <c r="E255" s="11" t="s">
        <v>29</v>
      </c>
    </row>
    <row r="256">
      <c r="A256" s="48">
        <v>0.6965277777777777</v>
      </c>
      <c r="B256" s="62" t="s">
        <v>1433</v>
      </c>
      <c r="C256" s="57" t="s">
        <v>38</v>
      </c>
      <c r="D256" s="62" t="s">
        <v>869</v>
      </c>
      <c r="E256" s="11" t="s">
        <v>33</v>
      </c>
    </row>
    <row r="257">
      <c r="A257" s="48">
        <v>0.7069444444444445</v>
      </c>
      <c r="B257" s="62" t="s">
        <v>1432</v>
      </c>
      <c r="C257" s="57" t="s">
        <v>24</v>
      </c>
      <c r="D257" s="62" t="s">
        <v>869</v>
      </c>
      <c r="E257" s="11" t="s">
        <v>29</v>
      </c>
    </row>
    <row r="258">
      <c r="A258" s="48">
        <v>0.7069444444444445</v>
      </c>
      <c r="B258" s="62" t="s">
        <v>1433</v>
      </c>
      <c r="C258" s="57" t="s">
        <v>324</v>
      </c>
      <c r="D258" s="62" t="s">
        <v>1240</v>
      </c>
      <c r="E258" s="11" t="s">
        <v>33</v>
      </c>
    </row>
    <row r="259">
      <c r="A259" s="48">
        <v>0.7166666666666667</v>
      </c>
      <c r="B259" s="62" t="s">
        <v>869</v>
      </c>
      <c r="C259" s="57" t="s">
        <v>1434</v>
      </c>
      <c r="D259" s="62" t="s">
        <v>1240</v>
      </c>
      <c r="E259" s="11" t="s">
        <v>29</v>
      </c>
      <c r="H259" s="50"/>
    </row>
    <row r="260">
      <c r="A260" s="48">
        <v>0.7166666666666667</v>
      </c>
      <c r="B260" s="62" t="s">
        <v>1237</v>
      </c>
      <c r="C260" s="57" t="s">
        <v>210</v>
      </c>
      <c r="D260" s="62" t="s">
        <v>1433</v>
      </c>
      <c r="E260" s="11" t="s">
        <v>33</v>
      </c>
    </row>
    <row r="261">
      <c r="A261" s="48">
        <v>0.7270833333333333</v>
      </c>
      <c r="B261" s="62" t="s">
        <v>1432</v>
      </c>
      <c r="C261" s="57" t="s">
        <v>368</v>
      </c>
      <c r="D261" s="62" t="s">
        <v>1240</v>
      </c>
      <c r="E261" s="11" t="s">
        <v>29</v>
      </c>
    </row>
    <row r="262">
      <c r="A262" s="48">
        <v>0.7270833333333333</v>
      </c>
      <c r="B262" s="62" t="s">
        <v>869</v>
      </c>
      <c r="C262" s="57" t="s">
        <v>357</v>
      </c>
      <c r="D262" s="62" t="s">
        <v>1237</v>
      </c>
      <c r="E262" s="11" t="s">
        <v>33</v>
      </c>
    </row>
    <row r="263">
      <c r="A263" s="48">
        <v>0.7375</v>
      </c>
      <c r="B263" s="62" t="s">
        <v>1432</v>
      </c>
      <c r="C263" s="57" t="s">
        <v>227</v>
      </c>
      <c r="D263" s="62" t="s">
        <v>1433</v>
      </c>
      <c r="E263" s="11" t="s">
        <v>29</v>
      </c>
    </row>
    <row r="264">
      <c r="A264" s="48">
        <v>0.7375</v>
      </c>
      <c r="B264" s="62" t="s">
        <v>1240</v>
      </c>
      <c r="C264" s="57" t="s">
        <v>856</v>
      </c>
      <c r="D264" s="62" t="s">
        <v>1237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1435</v>
      </c>
      <c r="C267" s="45" t="s">
        <v>352</v>
      </c>
      <c r="D267" s="62" t="s">
        <v>1370</v>
      </c>
      <c r="E267" s="11" t="s">
        <v>9</v>
      </c>
    </row>
    <row r="268">
      <c r="A268" s="48">
        <v>0.75</v>
      </c>
      <c r="B268" s="62" t="s">
        <v>1436</v>
      </c>
      <c r="C268" s="45" t="s">
        <v>43</v>
      </c>
      <c r="D268" s="62" t="s">
        <v>1437</v>
      </c>
      <c r="E268" s="11" t="s">
        <v>13</v>
      </c>
    </row>
    <row r="269">
      <c r="A269" s="48">
        <v>0.7597222222222222</v>
      </c>
      <c r="B269" s="62" t="s">
        <v>1436</v>
      </c>
      <c r="C269" s="45" t="s">
        <v>185</v>
      </c>
      <c r="D269" s="62" t="s">
        <v>1370</v>
      </c>
      <c r="E269" s="11" t="s">
        <v>9</v>
      </c>
    </row>
    <row r="270">
      <c r="A270" s="48">
        <v>0.7597222222222222</v>
      </c>
      <c r="B270" s="62" t="s">
        <v>1306</v>
      </c>
      <c r="C270" s="45" t="s">
        <v>281</v>
      </c>
      <c r="D270" s="62" t="s">
        <v>1437</v>
      </c>
      <c r="E270" s="11" t="s">
        <v>13</v>
      </c>
    </row>
    <row r="271">
      <c r="A271" s="48">
        <v>0.7701388888888889</v>
      </c>
      <c r="B271" s="62" t="s">
        <v>1306</v>
      </c>
      <c r="C271" s="45" t="s">
        <v>7</v>
      </c>
      <c r="D271" s="62" t="s">
        <v>1436</v>
      </c>
      <c r="E271" s="11" t="s">
        <v>9</v>
      </c>
    </row>
    <row r="272">
      <c r="A272" s="48">
        <v>0.7701388888888889</v>
      </c>
      <c r="B272" s="62" t="s">
        <v>1437</v>
      </c>
      <c r="C272" s="45" t="s">
        <v>342</v>
      </c>
      <c r="D272" s="66" t="s">
        <v>1435</v>
      </c>
      <c r="E272" s="11" t="s">
        <v>13</v>
      </c>
    </row>
    <row r="273">
      <c r="A273" s="48">
        <v>0.7805555555555556</v>
      </c>
      <c r="B273" s="62" t="s">
        <v>1306</v>
      </c>
      <c r="C273" s="45" t="s">
        <v>271</v>
      </c>
      <c r="D273" s="62" t="s">
        <v>1370</v>
      </c>
      <c r="E273" s="11" t="s">
        <v>9</v>
      </c>
    </row>
    <row r="274">
      <c r="A274" s="48">
        <v>0.7805555555555556</v>
      </c>
      <c r="B274" s="62" t="s">
        <v>1435</v>
      </c>
      <c r="C274" s="45" t="s">
        <v>158</v>
      </c>
      <c r="D274" s="62" t="s">
        <v>1436</v>
      </c>
      <c r="E274" s="11" t="s">
        <v>13</v>
      </c>
    </row>
    <row r="275">
      <c r="A275" s="48">
        <v>0.7902777777777777</v>
      </c>
      <c r="B275" s="62" t="s">
        <v>1437</v>
      </c>
      <c r="C275" s="45" t="s">
        <v>298</v>
      </c>
      <c r="D275" s="62" t="s">
        <v>1370</v>
      </c>
      <c r="E275" s="11" t="s">
        <v>9</v>
      </c>
    </row>
    <row r="276">
      <c r="A276" s="48">
        <v>0.7902777777777777</v>
      </c>
      <c r="B276" s="62" t="s">
        <v>1435</v>
      </c>
      <c r="C276" s="45" t="s">
        <v>155</v>
      </c>
      <c r="D276" s="62" t="s">
        <v>1306</v>
      </c>
      <c r="E276" s="11" t="s">
        <v>13</v>
      </c>
    </row>
    <row r="277">
      <c r="A277" s="48">
        <v>0.8006944444444445</v>
      </c>
      <c r="B277" s="62" t="s">
        <v>1370</v>
      </c>
      <c r="C277" s="45" t="s">
        <v>289</v>
      </c>
      <c r="D277" s="62" t="s">
        <v>1435</v>
      </c>
      <c r="E277" s="11" t="s">
        <v>9</v>
      </c>
    </row>
    <row r="278">
      <c r="A278" s="48">
        <v>0.8006944444444445</v>
      </c>
      <c r="B278" s="62" t="s">
        <v>1437</v>
      </c>
      <c r="C278" s="45" t="s">
        <v>155</v>
      </c>
      <c r="D278" s="62" t="s">
        <v>1436</v>
      </c>
      <c r="E278" s="11" t="s">
        <v>13</v>
      </c>
    </row>
    <row r="279">
      <c r="A279" s="48">
        <v>0.8111111111111111</v>
      </c>
      <c r="B279" s="62" t="s">
        <v>1370</v>
      </c>
      <c r="C279" s="45" t="s">
        <v>219</v>
      </c>
      <c r="D279" s="62" t="s">
        <v>1436</v>
      </c>
      <c r="E279" s="11" t="s">
        <v>9</v>
      </c>
    </row>
    <row r="280">
      <c r="A280" s="48">
        <v>0.8111111111111111</v>
      </c>
      <c r="B280" s="62" t="s">
        <v>1437</v>
      </c>
      <c r="C280" s="45" t="s">
        <v>218</v>
      </c>
      <c r="D280" s="62" t="s">
        <v>1306</v>
      </c>
      <c r="E280" s="11" t="s">
        <v>13</v>
      </c>
    </row>
    <row r="281">
      <c r="A281" s="48">
        <v>0.8208333333333333</v>
      </c>
      <c r="B281" s="62" t="s">
        <v>1436</v>
      </c>
      <c r="C281" s="45" t="s">
        <v>279</v>
      </c>
      <c r="D281" s="62" t="s">
        <v>1306</v>
      </c>
      <c r="E281" s="11" t="s">
        <v>9</v>
      </c>
    </row>
    <row r="282">
      <c r="A282" s="48">
        <v>0.8208333333333333</v>
      </c>
      <c r="B282" s="62" t="s">
        <v>1435</v>
      </c>
      <c r="C282" s="45" t="s">
        <v>291</v>
      </c>
      <c r="D282" s="62" t="s">
        <v>1437</v>
      </c>
      <c r="E282" s="11" t="s">
        <v>13</v>
      </c>
    </row>
    <row r="283">
      <c r="A283" s="48">
        <v>0.83125</v>
      </c>
      <c r="B283" s="62" t="s">
        <v>1370</v>
      </c>
      <c r="C283" s="45" t="s">
        <v>194</v>
      </c>
      <c r="D283" s="62" t="s">
        <v>1306</v>
      </c>
      <c r="E283" s="11" t="s">
        <v>9</v>
      </c>
    </row>
    <row r="284">
      <c r="A284" s="48">
        <v>0.83125</v>
      </c>
      <c r="B284" s="62" t="s">
        <v>1436</v>
      </c>
      <c r="C284" s="45" t="s">
        <v>20</v>
      </c>
      <c r="D284" s="62" t="s">
        <v>1435</v>
      </c>
      <c r="E284" s="11" t="s">
        <v>13</v>
      </c>
    </row>
    <row r="285">
      <c r="A285" s="48">
        <v>0.8416666666666667</v>
      </c>
      <c r="B285" s="62" t="s">
        <v>1370</v>
      </c>
      <c r="C285" s="45" t="s">
        <v>222</v>
      </c>
      <c r="D285" s="62" t="s">
        <v>1437</v>
      </c>
      <c r="E285" s="11" t="s">
        <v>9</v>
      </c>
    </row>
    <row r="286">
      <c r="A286" s="48">
        <v>0.8416666666666667</v>
      </c>
      <c r="B286" s="62" t="s">
        <v>1306</v>
      </c>
      <c r="C286" s="45" t="s">
        <v>394</v>
      </c>
      <c r="D286" s="62" t="s">
        <v>1435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1438</v>
      </c>
      <c r="C289" s="57" t="s">
        <v>20</v>
      </c>
      <c r="D289" s="62" t="s">
        <v>960</v>
      </c>
      <c r="E289" s="11" t="s">
        <v>29</v>
      </c>
    </row>
    <row r="290">
      <c r="A290" s="48">
        <v>0.75</v>
      </c>
      <c r="B290" s="62" t="s">
        <v>1439</v>
      </c>
      <c r="C290" s="57" t="s">
        <v>278</v>
      </c>
      <c r="D290" s="62" t="s">
        <v>1440</v>
      </c>
      <c r="E290" s="11" t="s">
        <v>33</v>
      </c>
    </row>
    <row r="291">
      <c r="A291" s="48">
        <v>0.7597222222222222</v>
      </c>
      <c r="B291" s="62" t="s">
        <v>1439</v>
      </c>
      <c r="C291" s="57" t="s">
        <v>264</v>
      </c>
      <c r="D291" s="62" t="s">
        <v>960</v>
      </c>
      <c r="E291" s="11" t="s">
        <v>29</v>
      </c>
    </row>
    <row r="292">
      <c r="A292" s="48">
        <v>0.7597222222222222</v>
      </c>
      <c r="B292" s="62" t="s">
        <v>305</v>
      </c>
      <c r="C292" s="57" t="s">
        <v>38</v>
      </c>
      <c r="D292" s="62" t="s">
        <v>1440</v>
      </c>
      <c r="E292" s="11" t="s">
        <v>33</v>
      </c>
    </row>
    <row r="293">
      <c r="A293" s="48">
        <v>0.7701388888888889</v>
      </c>
      <c r="B293" s="62" t="s">
        <v>305</v>
      </c>
      <c r="C293" s="57" t="s">
        <v>7</v>
      </c>
      <c r="D293" s="62" t="s">
        <v>1439</v>
      </c>
      <c r="E293" s="11" t="s">
        <v>29</v>
      </c>
    </row>
    <row r="294">
      <c r="A294" s="48">
        <v>0.7701388888888889</v>
      </c>
      <c r="B294" s="62" t="s">
        <v>1440</v>
      </c>
      <c r="C294" s="57" t="s">
        <v>433</v>
      </c>
      <c r="D294" s="62" t="s">
        <v>1438</v>
      </c>
      <c r="E294" s="11" t="s">
        <v>33</v>
      </c>
    </row>
    <row r="295">
      <c r="A295" s="48">
        <v>0.7805555555555556</v>
      </c>
      <c r="B295" s="62" t="s">
        <v>305</v>
      </c>
      <c r="C295" s="57" t="s">
        <v>231</v>
      </c>
      <c r="D295" s="62" t="s">
        <v>960</v>
      </c>
      <c r="E295" s="11" t="s">
        <v>29</v>
      </c>
    </row>
    <row r="296">
      <c r="A296" s="48">
        <v>0.7805555555555556</v>
      </c>
      <c r="B296" s="62" t="s">
        <v>1438</v>
      </c>
      <c r="C296" s="57" t="s">
        <v>41</v>
      </c>
      <c r="D296" s="62" t="s">
        <v>1439</v>
      </c>
      <c r="E296" s="11" t="s">
        <v>33</v>
      </c>
    </row>
    <row r="297">
      <c r="A297" s="48">
        <v>0.7902777777777777</v>
      </c>
      <c r="B297" s="62" t="s">
        <v>1440</v>
      </c>
      <c r="C297" s="57" t="s">
        <v>218</v>
      </c>
      <c r="D297" s="62" t="s">
        <v>960</v>
      </c>
      <c r="E297" s="11" t="s">
        <v>29</v>
      </c>
    </row>
    <row r="298">
      <c r="A298" s="48">
        <v>0.7902777777777777</v>
      </c>
      <c r="B298" s="62" t="s">
        <v>1438</v>
      </c>
      <c r="C298" s="57" t="s">
        <v>344</v>
      </c>
      <c r="D298" s="62" t="s">
        <v>305</v>
      </c>
      <c r="E298" s="11" t="s">
        <v>33</v>
      </c>
    </row>
    <row r="299">
      <c r="A299" s="48">
        <v>0.8006944444444445</v>
      </c>
      <c r="B299" s="62" t="s">
        <v>960</v>
      </c>
      <c r="C299" s="57" t="s">
        <v>555</v>
      </c>
      <c r="D299" s="62" t="s">
        <v>1438</v>
      </c>
      <c r="E299" s="11" t="s">
        <v>29</v>
      </c>
    </row>
    <row r="300">
      <c r="A300" s="48">
        <v>0.8006944444444445</v>
      </c>
      <c r="B300" s="62" t="s">
        <v>1440</v>
      </c>
      <c r="C300" s="57" t="s">
        <v>41</v>
      </c>
      <c r="D300" s="62" t="s">
        <v>1439</v>
      </c>
      <c r="E300" s="11" t="s">
        <v>33</v>
      </c>
    </row>
    <row r="301">
      <c r="A301" s="48">
        <v>0.8111111111111111</v>
      </c>
      <c r="B301" s="62" t="s">
        <v>960</v>
      </c>
      <c r="C301" s="57" t="s">
        <v>298</v>
      </c>
      <c r="D301" s="62" t="s">
        <v>1439</v>
      </c>
      <c r="E301" s="11" t="s">
        <v>29</v>
      </c>
    </row>
    <row r="302">
      <c r="A302" s="48">
        <v>0.8111111111111111</v>
      </c>
      <c r="B302" s="62" t="s">
        <v>1440</v>
      </c>
      <c r="C302" s="57" t="s">
        <v>7</v>
      </c>
      <c r="D302" s="62" t="s">
        <v>305</v>
      </c>
      <c r="E302" s="11" t="s">
        <v>33</v>
      </c>
    </row>
    <row r="303">
      <c r="A303" s="48">
        <v>0.8208333333333333</v>
      </c>
      <c r="B303" s="62" t="s">
        <v>1439</v>
      </c>
      <c r="C303" s="57" t="s">
        <v>183</v>
      </c>
      <c r="D303" s="62" t="s">
        <v>305</v>
      </c>
      <c r="E303" s="11" t="s">
        <v>29</v>
      </c>
    </row>
    <row r="304">
      <c r="A304" s="48">
        <v>0.8208333333333333</v>
      </c>
      <c r="B304" s="62" t="s">
        <v>1438</v>
      </c>
      <c r="C304" s="57" t="s">
        <v>302</v>
      </c>
      <c r="D304" s="62" t="s">
        <v>1440</v>
      </c>
      <c r="E304" s="11" t="s">
        <v>33</v>
      </c>
    </row>
    <row r="305">
      <c r="A305" s="48">
        <v>0.83125</v>
      </c>
      <c r="B305" s="62" t="s">
        <v>960</v>
      </c>
      <c r="C305" s="57" t="s">
        <v>182</v>
      </c>
      <c r="D305" s="62" t="s">
        <v>305</v>
      </c>
      <c r="E305" s="11" t="s">
        <v>29</v>
      </c>
    </row>
    <row r="306">
      <c r="A306" s="48">
        <v>0.83125</v>
      </c>
      <c r="B306" s="62" t="s">
        <v>1439</v>
      </c>
      <c r="C306" s="57" t="s">
        <v>375</v>
      </c>
      <c r="D306" s="62" t="s">
        <v>1438</v>
      </c>
      <c r="E306" s="11" t="s">
        <v>33</v>
      </c>
    </row>
    <row r="307">
      <c r="A307" s="48">
        <v>0.8416666666666667</v>
      </c>
      <c r="B307" s="62" t="s">
        <v>960</v>
      </c>
      <c r="C307" s="57" t="s">
        <v>218</v>
      </c>
      <c r="D307" s="62" t="s">
        <v>1440</v>
      </c>
      <c r="E307" s="11" t="s">
        <v>29</v>
      </c>
    </row>
    <row r="308">
      <c r="A308" s="48">
        <v>0.8416666666666667</v>
      </c>
      <c r="B308" s="62" t="s">
        <v>305</v>
      </c>
      <c r="C308" s="57" t="s">
        <v>383</v>
      </c>
      <c r="D308" s="62" t="s">
        <v>1438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1441</v>
      </c>
      <c r="C311" s="57" t="s">
        <v>17</v>
      </c>
      <c r="D311" s="62" t="s">
        <v>1046</v>
      </c>
      <c r="E311" s="11" t="s">
        <v>9</v>
      </c>
    </row>
    <row r="312">
      <c r="A312" s="48">
        <v>0.8541666666666666</v>
      </c>
      <c r="B312" s="62" t="s">
        <v>114</v>
      </c>
      <c r="C312" s="57" t="s">
        <v>20</v>
      </c>
      <c r="D312" s="62" t="s">
        <v>1043</v>
      </c>
      <c r="E312" s="11" t="s">
        <v>13</v>
      </c>
    </row>
    <row r="313">
      <c r="A313" s="48">
        <v>0.8638888888888889</v>
      </c>
      <c r="B313" s="62" t="s">
        <v>114</v>
      </c>
      <c r="C313" s="57" t="s">
        <v>302</v>
      </c>
      <c r="D313" s="62" t="s">
        <v>1046</v>
      </c>
      <c r="E313" s="11" t="s">
        <v>9</v>
      </c>
    </row>
    <row r="314">
      <c r="A314" s="48">
        <v>0.8638888888888889</v>
      </c>
      <c r="B314" s="62" t="s">
        <v>1442</v>
      </c>
      <c r="C314" s="57" t="s">
        <v>18</v>
      </c>
      <c r="D314" s="62" t="s">
        <v>1043</v>
      </c>
      <c r="E314" s="11" t="s">
        <v>13</v>
      </c>
    </row>
    <row r="315">
      <c r="A315" s="48">
        <v>0.8743055555555556</v>
      </c>
      <c r="B315" s="62" t="s">
        <v>1442</v>
      </c>
      <c r="C315" s="57" t="s">
        <v>18</v>
      </c>
      <c r="D315" s="62" t="s">
        <v>114</v>
      </c>
      <c r="E315" s="11" t="s">
        <v>9</v>
      </c>
    </row>
    <row r="316">
      <c r="A316" s="48">
        <v>0.8743055555555556</v>
      </c>
      <c r="B316" s="62" t="s">
        <v>1043</v>
      </c>
      <c r="C316" s="57" t="s">
        <v>193</v>
      </c>
      <c r="D316" s="62" t="s">
        <v>1441</v>
      </c>
      <c r="E316" s="11" t="s">
        <v>13</v>
      </c>
    </row>
    <row r="317">
      <c r="A317" s="48">
        <v>0.8847222222222222</v>
      </c>
      <c r="B317" s="62" t="s">
        <v>1442</v>
      </c>
      <c r="C317" s="57" t="s">
        <v>195</v>
      </c>
      <c r="D317" s="62" t="s">
        <v>1046</v>
      </c>
      <c r="E317" s="11" t="s">
        <v>9</v>
      </c>
    </row>
    <row r="318">
      <c r="A318" s="48">
        <v>0.8847222222222222</v>
      </c>
      <c r="B318" s="62" t="s">
        <v>1441</v>
      </c>
      <c r="C318" s="57" t="s">
        <v>155</v>
      </c>
      <c r="D318" s="62" t="s">
        <v>114</v>
      </c>
      <c r="E318" s="11" t="s">
        <v>13</v>
      </c>
    </row>
    <row r="319">
      <c r="A319" s="48">
        <v>0.8944444444444445</v>
      </c>
      <c r="B319" s="62" t="s">
        <v>1043</v>
      </c>
      <c r="C319" s="57" t="s">
        <v>248</v>
      </c>
      <c r="D319" s="62" t="s">
        <v>1046</v>
      </c>
      <c r="E319" s="11" t="s">
        <v>9</v>
      </c>
    </row>
    <row r="320">
      <c r="A320" s="48">
        <v>0.8944444444444445</v>
      </c>
      <c r="B320" s="62" t="s">
        <v>1441</v>
      </c>
      <c r="C320" s="57" t="s">
        <v>248</v>
      </c>
      <c r="D320" s="62" t="s">
        <v>1442</v>
      </c>
      <c r="E320" s="11" t="s">
        <v>13</v>
      </c>
    </row>
    <row r="321">
      <c r="A321" s="48">
        <v>0.9048611111111111</v>
      </c>
      <c r="B321" s="62" t="s">
        <v>1046</v>
      </c>
      <c r="C321" s="57" t="s">
        <v>464</v>
      </c>
      <c r="D321" s="62" t="s">
        <v>1441</v>
      </c>
      <c r="E321" s="11" t="s">
        <v>9</v>
      </c>
    </row>
    <row r="322">
      <c r="A322" s="48">
        <v>0.9048611111111111</v>
      </c>
      <c r="B322" s="62" t="s">
        <v>1043</v>
      </c>
      <c r="C322" s="57" t="s">
        <v>218</v>
      </c>
      <c r="D322" s="62" t="s">
        <v>114</v>
      </c>
      <c r="E322" s="11" t="s">
        <v>13</v>
      </c>
    </row>
    <row r="323">
      <c r="A323" s="48">
        <v>0.9152777777777777</v>
      </c>
      <c r="B323" s="62" t="s">
        <v>1046</v>
      </c>
      <c r="C323" s="45" t="s">
        <v>24</v>
      </c>
      <c r="D323" s="62" t="s">
        <v>114</v>
      </c>
      <c r="E323" s="11" t="s">
        <v>9</v>
      </c>
    </row>
    <row r="324">
      <c r="A324" s="48">
        <v>0.9152777777777777</v>
      </c>
      <c r="B324" s="62" t="s">
        <v>1043</v>
      </c>
      <c r="C324" s="45" t="s">
        <v>290</v>
      </c>
      <c r="D324" s="62" t="s">
        <v>1442</v>
      </c>
      <c r="E324" s="11" t="s">
        <v>13</v>
      </c>
    </row>
    <row r="325">
      <c r="A325" s="48">
        <v>0.925</v>
      </c>
      <c r="B325" s="62" t="s">
        <v>114</v>
      </c>
      <c r="C325" s="45" t="s">
        <v>18</v>
      </c>
      <c r="D325" s="62" t="s">
        <v>1442</v>
      </c>
      <c r="E325" s="11" t="s">
        <v>9</v>
      </c>
    </row>
    <row r="326">
      <c r="A326" s="48">
        <v>0.925</v>
      </c>
      <c r="B326" s="62" t="s">
        <v>1441</v>
      </c>
      <c r="C326" s="45" t="s">
        <v>18</v>
      </c>
      <c r="D326" s="62" t="s">
        <v>1043</v>
      </c>
      <c r="E326" s="11" t="s">
        <v>13</v>
      </c>
    </row>
    <row r="327">
      <c r="A327" s="48">
        <v>0.9354166666666667</v>
      </c>
      <c r="B327" s="62" t="s">
        <v>1046</v>
      </c>
      <c r="C327" s="45" t="s">
        <v>20</v>
      </c>
      <c r="D327" s="62" t="s">
        <v>1442</v>
      </c>
      <c r="E327" s="11" t="s">
        <v>9</v>
      </c>
    </row>
    <row r="328">
      <c r="A328" s="48">
        <v>0.9354166666666667</v>
      </c>
      <c r="B328" s="62" t="s">
        <v>114</v>
      </c>
      <c r="C328" s="45" t="s">
        <v>18</v>
      </c>
      <c r="D328" s="62" t="s">
        <v>1441</v>
      </c>
      <c r="E328" s="11" t="s">
        <v>13</v>
      </c>
    </row>
    <row r="329">
      <c r="A329" s="48">
        <v>0.9458333333333333</v>
      </c>
      <c r="B329" s="62" t="s">
        <v>1046</v>
      </c>
      <c r="C329" s="45" t="s">
        <v>195</v>
      </c>
      <c r="D329" s="62" t="s">
        <v>1043</v>
      </c>
      <c r="E329" s="11" t="s">
        <v>9</v>
      </c>
    </row>
    <row r="330">
      <c r="A330" s="48">
        <v>0.9458333333333333</v>
      </c>
      <c r="B330" s="62" t="s">
        <v>1442</v>
      </c>
      <c r="C330" s="45" t="s">
        <v>165</v>
      </c>
      <c r="D330" s="62" t="s">
        <v>1441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1443</v>
      </c>
      <c r="C333" s="57" t="s">
        <v>1444</v>
      </c>
      <c r="D333" s="62" t="s">
        <v>1234</v>
      </c>
      <c r="E333" s="11" t="s">
        <v>29</v>
      </c>
    </row>
    <row r="334">
      <c r="A334" s="48">
        <v>0.8541666666666666</v>
      </c>
      <c r="B334" s="62" t="s">
        <v>1362</v>
      </c>
      <c r="C334" s="57" t="s">
        <v>16</v>
      </c>
      <c r="D334" s="62" t="s">
        <v>1110</v>
      </c>
      <c r="E334" s="11" t="s">
        <v>33</v>
      </c>
    </row>
    <row r="335">
      <c r="A335" s="48">
        <v>0.8638888888888889</v>
      </c>
      <c r="B335" s="62" t="s">
        <v>1362</v>
      </c>
      <c r="C335" s="57" t="s">
        <v>168</v>
      </c>
      <c r="D335" s="62" t="s">
        <v>1234</v>
      </c>
      <c r="E335" s="11" t="s">
        <v>29</v>
      </c>
    </row>
    <row r="336">
      <c r="A336" s="48">
        <v>0.8638888888888889</v>
      </c>
      <c r="B336" s="62" t="s">
        <v>568</v>
      </c>
      <c r="C336" s="57" t="s">
        <v>610</v>
      </c>
      <c r="D336" s="62" t="s">
        <v>1110</v>
      </c>
      <c r="E336" s="11" t="s">
        <v>33</v>
      </c>
    </row>
    <row r="337">
      <c r="A337" s="48">
        <v>0.8743055555555556</v>
      </c>
      <c r="B337" s="62" t="s">
        <v>568</v>
      </c>
      <c r="C337" s="57" t="s">
        <v>802</v>
      </c>
      <c r="D337" s="62" t="s">
        <v>1362</v>
      </c>
      <c r="E337" s="11" t="s">
        <v>29</v>
      </c>
    </row>
    <row r="338">
      <c r="A338" s="48">
        <v>0.8743055555555556</v>
      </c>
      <c r="B338" s="62" t="s">
        <v>1110</v>
      </c>
      <c r="C338" s="57" t="s">
        <v>173</v>
      </c>
      <c r="D338" s="62" t="s">
        <v>1443</v>
      </c>
      <c r="E338" s="11" t="s">
        <v>33</v>
      </c>
    </row>
    <row r="339">
      <c r="A339" s="48">
        <v>0.8847222222222222</v>
      </c>
      <c r="B339" s="62" t="s">
        <v>568</v>
      </c>
      <c r="C339" s="57" t="s">
        <v>301</v>
      </c>
      <c r="D339" s="62" t="s">
        <v>1234</v>
      </c>
      <c r="E339" s="11" t="s">
        <v>29</v>
      </c>
    </row>
    <row r="340">
      <c r="A340" s="48">
        <v>0.8847222222222222</v>
      </c>
      <c r="B340" s="62" t="s">
        <v>1443</v>
      </c>
      <c r="C340" s="57" t="s">
        <v>216</v>
      </c>
      <c r="D340" s="62" t="s">
        <v>1362</v>
      </c>
      <c r="E340" s="11" t="s">
        <v>33</v>
      </c>
    </row>
    <row r="341">
      <c r="A341" s="48">
        <v>0.8944444444444445</v>
      </c>
      <c r="B341" s="62" t="s">
        <v>1110</v>
      </c>
      <c r="C341" s="57" t="s">
        <v>18</v>
      </c>
      <c r="D341" s="62" t="s">
        <v>1234</v>
      </c>
      <c r="E341" s="11" t="s">
        <v>29</v>
      </c>
    </row>
    <row r="342">
      <c r="A342" s="48">
        <v>0.8944444444444445</v>
      </c>
      <c r="B342" s="62" t="s">
        <v>1443</v>
      </c>
      <c r="C342" s="57" t="s">
        <v>278</v>
      </c>
      <c r="D342" s="62" t="s">
        <v>568</v>
      </c>
      <c r="E342" s="11" t="s">
        <v>33</v>
      </c>
    </row>
    <row r="343">
      <c r="A343" s="48">
        <v>0.9048611111111111</v>
      </c>
      <c r="B343" s="62" t="s">
        <v>1234</v>
      </c>
      <c r="C343" s="57" t="s">
        <v>7</v>
      </c>
      <c r="D343" s="62" t="s">
        <v>1443</v>
      </c>
      <c r="E343" s="11" t="s">
        <v>29</v>
      </c>
    </row>
    <row r="344">
      <c r="A344" s="48">
        <v>0.9048611111111111</v>
      </c>
      <c r="B344" s="62" t="s">
        <v>1110</v>
      </c>
      <c r="C344" s="57" t="s">
        <v>466</v>
      </c>
      <c r="D344" s="62" t="s">
        <v>1362</v>
      </c>
      <c r="E344" s="11" t="s">
        <v>33</v>
      </c>
    </row>
    <row r="345">
      <c r="A345" s="48">
        <v>0.9152777777777777</v>
      </c>
      <c r="B345" s="62" t="s">
        <v>1234</v>
      </c>
      <c r="C345" s="57" t="s">
        <v>165</v>
      </c>
      <c r="D345" s="62" t="s">
        <v>1362</v>
      </c>
      <c r="E345" s="11" t="s">
        <v>29</v>
      </c>
    </row>
    <row r="346">
      <c r="A346" s="48">
        <v>0.9152777777777777</v>
      </c>
      <c r="B346" s="62" t="s">
        <v>1110</v>
      </c>
      <c r="C346" s="57" t="s">
        <v>1445</v>
      </c>
      <c r="D346" s="62" t="s">
        <v>568</v>
      </c>
      <c r="E346" s="11" t="s">
        <v>33</v>
      </c>
    </row>
    <row r="347">
      <c r="A347" s="48">
        <v>0.925</v>
      </c>
      <c r="B347" s="62" t="s">
        <v>1362</v>
      </c>
      <c r="C347" s="57" t="s">
        <v>751</v>
      </c>
      <c r="D347" s="62" t="s">
        <v>568</v>
      </c>
      <c r="E347" s="11" t="s">
        <v>29</v>
      </c>
    </row>
    <row r="348">
      <c r="A348" s="48">
        <v>0.925</v>
      </c>
      <c r="B348" s="62" t="s">
        <v>1443</v>
      </c>
      <c r="C348" s="57" t="s">
        <v>688</v>
      </c>
      <c r="D348" s="62" t="s">
        <v>1110</v>
      </c>
      <c r="E348" s="11" t="s">
        <v>33</v>
      </c>
    </row>
    <row r="349">
      <c r="A349" s="48">
        <v>0.9354166666666667</v>
      </c>
      <c r="B349" s="62" t="s">
        <v>1234</v>
      </c>
      <c r="C349" s="57" t="s">
        <v>163</v>
      </c>
      <c r="D349" s="62" t="s">
        <v>568</v>
      </c>
      <c r="E349" s="11" t="s">
        <v>29</v>
      </c>
    </row>
    <row r="350">
      <c r="A350" s="48">
        <v>0.9354166666666667</v>
      </c>
      <c r="B350" s="62" t="s">
        <v>1362</v>
      </c>
      <c r="C350" s="57" t="s">
        <v>570</v>
      </c>
      <c r="D350" s="62" t="s">
        <v>1443</v>
      </c>
      <c r="E350" s="11" t="s">
        <v>33</v>
      </c>
    </row>
    <row r="351">
      <c r="A351" s="48">
        <v>0.9458333333333333</v>
      </c>
      <c r="B351" s="62" t="s">
        <v>1234</v>
      </c>
      <c r="C351" s="57" t="s">
        <v>291</v>
      </c>
      <c r="D351" s="62" t="s">
        <v>1110</v>
      </c>
      <c r="E351" s="11" t="s">
        <v>29</v>
      </c>
    </row>
    <row r="352">
      <c r="A352" s="48">
        <v>0.9458333333333333</v>
      </c>
      <c r="B352" s="62" t="s">
        <v>568</v>
      </c>
      <c r="C352" s="57" t="s">
        <v>18</v>
      </c>
      <c r="D352" s="62" t="s">
        <v>1443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1446</v>
      </c>
      <c r="C355" s="45" t="s">
        <v>220</v>
      </c>
      <c r="D355" s="62" t="s">
        <v>1447</v>
      </c>
      <c r="E355" s="11" t="s">
        <v>9</v>
      </c>
    </row>
    <row r="356">
      <c r="A356" s="48">
        <v>0.9583333333333334</v>
      </c>
      <c r="B356" s="62" t="s">
        <v>1448</v>
      </c>
      <c r="C356" s="45" t="s">
        <v>27</v>
      </c>
      <c r="D356" s="62" t="s">
        <v>588</v>
      </c>
      <c r="E356" s="11" t="s">
        <v>13</v>
      </c>
    </row>
    <row r="357">
      <c r="A357" s="48">
        <v>0.9680555555555556</v>
      </c>
      <c r="B357" s="62" t="s">
        <v>1448</v>
      </c>
      <c r="C357" s="45" t="s">
        <v>250</v>
      </c>
      <c r="D357" s="62" t="s">
        <v>1447</v>
      </c>
      <c r="E357" s="11" t="s">
        <v>9</v>
      </c>
    </row>
    <row r="358">
      <c r="A358" s="48">
        <v>0.9680555555555556</v>
      </c>
      <c r="B358" s="62" t="s">
        <v>339</v>
      </c>
      <c r="C358" s="45" t="s">
        <v>195</v>
      </c>
      <c r="D358" s="62" t="s">
        <v>588</v>
      </c>
      <c r="E358" s="11" t="s">
        <v>13</v>
      </c>
    </row>
    <row r="359">
      <c r="A359" s="48">
        <v>0.9784722222222222</v>
      </c>
      <c r="B359" s="62" t="s">
        <v>339</v>
      </c>
      <c r="C359" s="45" t="s">
        <v>697</v>
      </c>
      <c r="D359" s="62" t="s">
        <v>1448</v>
      </c>
      <c r="E359" s="11" t="s">
        <v>9</v>
      </c>
    </row>
    <row r="360">
      <c r="A360" s="48">
        <v>0.9784722222222222</v>
      </c>
      <c r="B360" s="62" t="s">
        <v>588</v>
      </c>
      <c r="C360" s="45" t="s">
        <v>209</v>
      </c>
      <c r="D360" s="62" t="s">
        <v>1446</v>
      </c>
      <c r="E360" s="11" t="s">
        <v>13</v>
      </c>
    </row>
    <row r="361">
      <c r="A361" s="48">
        <v>0.9888888888888889</v>
      </c>
      <c r="B361" s="62" t="s">
        <v>339</v>
      </c>
      <c r="C361" s="45" t="s">
        <v>674</v>
      </c>
      <c r="D361" s="62" t="s">
        <v>1447</v>
      </c>
      <c r="E361" s="11" t="s">
        <v>9</v>
      </c>
    </row>
    <row r="362">
      <c r="A362" s="48">
        <v>0.9888888888888889</v>
      </c>
      <c r="B362" s="62" t="s">
        <v>1446</v>
      </c>
      <c r="C362" s="45" t="s">
        <v>18</v>
      </c>
      <c r="D362" s="62" t="s">
        <v>1448</v>
      </c>
      <c r="E362" s="55" t="s">
        <v>13</v>
      </c>
    </row>
    <row r="363">
      <c r="A363" s="48">
        <v>0.9986111111111111</v>
      </c>
      <c r="B363" s="62" t="s">
        <v>588</v>
      </c>
      <c r="C363" s="45" t="s">
        <v>227</v>
      </c>
      <c r="D363" s="62" t="s">
        <v>1447</v>
      </c>
      <c r="E363" s="11" t="s">
        <v>9</v>
      </c>
    </row>
    <row r="364">
      <c r="A364" s="48">
        <v>0.9986111111111111</v>
      </c>
      <c r="B364" s="62" t="s">
        <v>1446</v>
      </c>
      <c r="C364" s="45" t="s">
        <v>162</v>
      </c>
      <c r="D364" s="62" t="s">
        <v>339</v>
      </c>
      <c r="E364" s="11" t="s">
        <v>13</v>
      </c>
    </row>
    <row r="365">
      <c r="A365" s="48">
        <v>0.009027777777777777</v>
      </c>
      <c r="B365" s="62" t="s">
        <v>1447</v>
      </c>
      <c r="C365" s="45" t="s">
        <v>289</v>
      </c>
      <c r="D365" s="62" t="s">
        <v>1446</v>
      </c>
      <c r="E365" s="11" t="s">
        <v>9</v>
      </c>
    </row>
    <row r="366">
      <c r="A366" s="48">
        <v>0.009027777777777777</v>
      </c>
      <c r="B366" s="62" t="s">
        <v>588</v>
      </c>
      <c r="C366" s="45" t="s">
        <v>7</v>
      </c>
      <c r="D366" s="62" t="s">
        <v>1448</v>
      </c>
      <c r="E366" s="11" t="s">
        <v>13</v>
      </c>
    </row>
    <row r="367">
      <c r="A367" s="48">
        <v>0.019444444444444445</v>
      </c>
      <c r="B367" s="62" t="s">
        <v>1447</v>
      </c>
      <c r="C367" s="45" t="s">
        <v>43</v>
      </c>
      <c r="D367" s="62" t="s">
        <v>1448</v>
      </c>
      <c r="E367" s="11" t="s">
        <v>9</v>
      </c>
    </row>
    <row r="368">
      <c r="A368" s="48">
        <v>0.019444444444444445</v>
      </c>
      <c r="B368" s="62" t="s">
        <v>588</v>
      </c>
      <c r="C368" s="45" t="s">
        <v>163</v>
      </c>
      <c r="D368" s="62" t="s">
        <v>339</v>
      </c>
      <c r="E368" s="11" t="s">
        <v>13</v>
      </c>
    </row>
    <row r="369">
      <c r="A369" s="48">
        <v>0.029166666666666667</v>
      </c>
      <c r="B369" s="62" t="s">
        <v>1448</v>
      </c>
      <c r="C369" s="45" t="s">
        <v>16</v>
      </c>
      <c r="D369" s="62" t="s">
        <v>339</v>
      </c>
      <c r="E369" s="11" t="s">
        <v>9</v>
      </c>
    </row>
    <row r="370">
      <c r="A370" s="48">
        <v>0.029166666666666667</v>
      </c>
      <c r="B370" s="62" t="s">
        <v>1446</v>
      </c>
      <c r="C370" s="45" t="s">
        <v>281</v>
      </c>
      <c r="D370" s="62" t="s">
        <v>588</v>
      </c>
      <c r="E370" s="11" t="s">
        <v>13</v>
      </c>
    </row>
    <row r="371">
      <c r="A371" s="48">
        <v>0.03958333333333333</v>
      </c>
      <c r="B371" s="62" t="s">
        <v>1447</v>
      </c>
      <c r="C371" s="45" t="s">
        <v>18</v>
      </c>
      <c r="D371" s="62" t="s">
        <v>339</v>
      </c>
      <c r="E371" s="11" t="s">
        <v>9</v>
      </c>
    </row>
    <row r="372">
      <c r="A372" s="48">
        <v>0.03958333333333333</v>
      </c>
      <c r="B372" s="62" t="s">
        <v>1448</v>
      </c>
      <c r="C372" s="45" t="s">
        <v>181</v>
      </c>
      <c r="D372" s="62" t="s">
        <v>1446</v>
      </c>
      <c r="E372" s="11" t="s">
        <v>13</v>
      </c>
    </row>
    <row r="373">
      <c r="A373" s="48">
        <v>0.05</v>
      </c>
      <c r="B373" s="62" t="s">
        <v>1447</v>
      </c>
      <c r="C373" s="45" t="s">
        <v>193</v>
      </c>
      <c r="D373" s="62" t="s">
        <v>588</v>
      </c>
      <c r="E373" s="11" t="s">
        <v>9</v>
      </c>
    </row>
    <row r="374">
      <c r="A374" s="48">
        <v>0.05</v>
      </c>
      <c r="B374" s="62" t="s">
        <v>339</v>
      </c>
      <c r="C374" s="45" t="s">
        <v>155</v>
      </c>
      <c r="D374" s="62" t="s">
        <v>1446</v>
      </c>
      <c r="E374" s="11" t="s">
        <v>13</v>
      </c>
    </row>
    <row r="375">
      <c r="A375" s="51"/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62" t="s">
        <v>1191</v>
      </c>
      <c r="C377" s="57" t="s">
        <v>17</v>
      </c>
      <c r="D377" s="62" t="s">
        <v>1449</v>
      </c>
      <c r="E377" s="11" t="s">
        <v>29</v>
      </c>
    </row>
    <row r="378">
      <c r="A378" s="48">
        <v>0.9583333333333334</v>
      </c>
      <c r="B378" s="62" t="s">
        <v>1271</v>
      </c>
      <c r="C378" s="57" t="s">
        <v>419</v>
      </c>
      <c r="D378" s="62" t="s">
        <v>346</v>
      </c>
      <c r="E378" s="11" t="s">
        <v>33</v>
      </c>
    </row>
    <row r="379">
      <c r="A379" s="48">
        <v>0.9680555555555556</v>
      </c>
      <c r="B379" s="62" t="s">
        <v>1271</v>
      </c>
      <c r="C379" s="57" t="s">
        <v>164</v>
      </c>
      <c r="D379" s="62" t="s">
        <v>1449</v>
      </c>
      <c r="E379" s="11" t="s">
        <v>29</v>
      </c>
    </row>
    <row r="380">
      <c r="A380" s="48">
        <v>0.9680555555555556</v>
      </c>
      <c r="B380" s="62" t="s">
        <v>350</v>
      </c>
      <c r="C380" s="57" t="s">
        <v>7</v>
      </c>
      <c r="D380" s="62" t="s">
        <v>346</v>
      </c>
      <c r="E380" s="11" t="s">
        <v>33</v>
      </c>
    </row>
    <row r="381">
      <c r="A381" s="48">
        <v>0.9784722222222222</v>
      </c>
      <c r="B381" s="62" t="s">
        <v>350</v>
      </c>
      <c r="C381" s="57" t="s">
        <v>1450</v>
      </c>
      <c r="D381" s="62" t="s">
        <v>1271</v>
      </c>
      <c r="E381" s="11" t="s">
        <v>29</v>
      </c>
    </row>
    <row r="382">
      <c r="A382" s="48">
        <v>0.9784722222222222</v>
      </c>
      <c r="B382" s="62" t="s">
        <v>346</v>
      </c>
      <c r="C382" s="57" t="s">
        <v>289</v>
      </c>
      <c r="D382" s="62" t="s">
        <v>1191</v>
      </c>
      <c r="E382" s="11" t="s">
        <v>33</v>
      </c>
    </row>
    <row r="383">
      <c r="A383" s="48">
        <v>0.9888888888888889</v>
      </c>
      <c r="B383" s="62" t="s">
        <v>350</v>
      </c>
      <c r="C383" s="57" t="s">
        <v>22</v>
      </c>
      <c r="D383" s="62" t="s">
        <v>1449</v>
      </c>
      <c r="E383" s="11" t="s">
        <v>29</v>
      </c>
    </row>
    <row r="384">
      <c r="A384" s="48">
        <v>0.9888888888888889</v>
      </c>
      <c r="B384" s="62" t="s">
        <v>1191</v>
      </c>
      <c r="C384" s="57" t="s">
        <v>344</v>
      </c>
      <c r="D384" s="62" t="s">
        <v>1271</v>
      </c>
      <c r="E384" s="11" t="s">
        <v>33</v>
      </c>
    </row>
    <row r="385">
      <c r="A385" s="48">
        <v>0.9986111111111111</v>
      </c>
      <c r="B385" s="62" t="s">
        <v>346</v>
      </c>
      <c r="C385" s="57" t="s">
        <v>279</v>
      </c>
      <c r="D385" s="62" t="s">
        <v>1449</v>
      </c>
      <c r="E385" s="11" t="s">
        <v>29</v>
      </c>
    </row>
    <row r="386">
      <c r="A386" s="48">
        <v>0.9986111111111111</v>
      </c>
      <c r="B386" s="62" t="s">
        <v>1191</v>
      </c>
      <c r="C386" s="57" t="s">
        <v>193</v>
      </c>
      <c r="D386" s="62" t="s">
        <v>350</v>
      </c>
      <c r="E386" s="11" t="s">
        <v>33</v>
      </c>
    </row>
    <row r="387">
      <c r="A387" s="48">
        <v>0.009027777777777777</v>
      </c>
      <c r="B387" s="62" t="s">
        <v>1449</v>
      </c>
      <c r="C387" s="57" t="s">
        <v>14</v>
      </c>
      <c r="D387" s="62" t="s">
        <v>1191</v>
      </c>
      <c r="E387" s="11" t="s">
        <v>29</v>
      </c>
    </row>
    <row r="388">
      <c r="A388" s="48">
        <v>0.009027777777777777</v>
      </c>
      <c r="B388" s="62" t="s">
        <v>346</v>
      </c>
      <c r="C388" s="57" t="s">
        <v>203</v>
      </c>
      <c r="D388" s="62" t="s">
        <v>1271</v>
      </c>
      <c r="E388" s="11" t="s">
        <v>33</v>
      </c>
    </row>
    <row r="389">
      <c r="A389" s="48">
        <v>0.019444444444444445</v>
      </c>
      <c r="B389" s="62" t="s">
        <v>1449</v>
      </c>
      <c r="C389" s="57" t="s">
        <v>239</v>
      </c>
      <c r="D389" s="62" t="s">
        <v>1271</v>
      </c>
      <c r="E389" s="11" t="s">
        <v>29</v>
      </c>
    </row>
    <row r="390">
      <c r="A390" s="48">
        <v>0.019444444444444445</v>
      </c>
      <c r="B390" s="62" t="s">
        <v>346</v>
      </c>
      <c r="C390" s="57" t="s">
        <v>354</v>
      </c>
      <c r="D390" s="62" t="s">
        <v>350</v>
      </c>
      <c r="E390" s="11" t="s">
        <v>33</v>
      </c>
    </row>
    <row r="391">
      <c r="A391" s="48">
        <v>0.029166666666666667</v>
      </c>
      <c r="B391" s="62" t="s">
        <v>1271</v>
      </c>
      <c r="C391" s="57" t="s">
        <v>362</v>
      </c>
      <c r="D391" s="62" t="s">
        <v>350</v>
      </c>
      <c r="E391" s="11" t="s">
        <v>29</v>
      </c>
    </row>
    <row r="392">
      <c r="A392" s="48">
        <v>0.029166666666666667</v>
      </c>
      <c r="B392" s="62" t="s">
        <v>1191</v>
      </c>
      <c r="C392" s="57" t="s">
        <v>210</v>
      </c>
      <c r="D392" s="62" t="s">
        <v>346</v>
      </c>
      <c r="E392" s="11" t="s">
        <v>33</v>
      </c>
    </row>
    <row r="393">
      <c r="A393" s="48">
        <v>0.03958333333333333</v>
      </c>
      <c r="B393" s="62" t="s">
        <v>1449</v>
      </c>
      <c r="C393" s="57" t="s">
        <v>477</v>
      </c>
      <c r="D393" s="62" t="s">
        <v>350</v>
      </c>
      <c r="E393" s="11" t="s">
        <v>29</v>
      </c>
    </row>
    <row r="394">
      <c r="A394" s="48">
        <v>0.03958333333333333</v>
      </c>
      <c r="B394" s="62" t="s">
        <v>1271</v>
      </c>
      <c r="C394" s="57" t="s">
        <v>574</v>
      </c>
      <c r="D394" s="62" t="s">
        <v>1191</v>
      </c>
      <c r="E394" s="11" t="s">
        <v>33</v>
      </c>
    </row>
    <row r="395">
      <c r="A395" s="48">
        <v>0.05</v>
      </c>
      <c r="B395" s="62" t="s">
        <v>1449</v>
      </c>
      <c r="C395" s="57" t="s">
        <v>271</v>
      </c>
      <c r="D395" s="62" t="s">
        <v>346</v>
      </c>
      <c r="E395" s="11" t="s">
        <v>29</v>
      </c>
    </row>
    <row r="396">
      <c r="A396" s="48">
        <v>0.05</v>
      </c>
      <c r="B396" s="62" t="s">
        <v>350</v>
      </c>
      <c r="C396" s="57" t="s">
        <v>230</v>
      </c>
      <c r="D396" s="62" t="s">
        <v>1191</v>
      </c>
      <c r="E396" s="11" t="s">
        <v>33</v>
      </c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71"/>
      <c r="B1" s="1" t="s">
        <v>0</v>
      </c>
      <c r="C1" s="2"/>
      <c r="D1" s="3"/>
      <c r="E1" s="53"/>
    </row>
    <row r="2">
      <c r="A2" s="72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48">
        <v>0.0625</v>
      </c>
      <c r="B3" s="61" t="s">
        <v>1126</v>
      </c>
      <c r="C3" s="45" t="s">
        <v>18</v>
      </c>
      <c r="D3" s="62" t="s">
        <v>1451</v>
      </c>
      <c r="E3" s="11" t="s">
        <v>29</v>
      </c>
    </row>
    <row r="4">
      <c r="A4" s="48">
        <v>0.0625</v>
      </c>
      <c r="B4" s="61" t="s">
        <v>10</v>
      </c>
      <c r="C4" s="45" t="s">
        <v>24</v>
      </c>
      <c r="D4" s="61" t="s">
        <v>360</v>
      </c>
      <c r="E4" s="11" t="s">
        <v>33</v>
      </c>
    </row>
    <row r="5">
      <c r="A5" s="48">
        <v>0.07291666666666667</v>
      </c>
      <c r="B5" s="62" t="s">
        <v>10</v>
      </c>
      <c r="C5" s="45" t="s">
        <v>227</v>
      </c>
      <c r="D5" s="61" t="s">
        <v>1451</v>
      </c>
      <c r="E5" s="11" t="s">
        <v>29</v>
      </c>
    </row>
    <row r="6">
      <c r="A6" s="48">
        <v>0.07291666666666667</v>
      </c>
      <c r="B6" s="61" t="s">
        <v>1275</v>
      </c>
      <c r="C6" s="45" t="s">
        <v>248</v>
      </c>
      <c r="D6" s="62" t="s">
        <v>360</v>
      </c>
      <c r="E6" s="11" t="s">
        <v>33</v>
      </c>
    </row>
    <row r="7">
      <c r="A7" s="48">
        <v>0.08333333333333333</v>
      </c>
      <c r="B7" s="62" t="s">
        <v>1275</v>
      </c>
      <c r="C7" s="45" t="s">
        <v>164</v>
      </c>
      <c r="D7" s="61" t="s">
        <v>10</v>
      </c>
      <c r="E7" s="11" t="s">
        <v>29</v>
      </c>
    </row>
    <row r="8">
      <c r="A8" s="48">
        <v>0.08333333333333333</v>
      </c>
      <c r="B8" s="61" t="s">
        <v>360</v>
      </c>
      <c r="C8" s="45" t="s">
        <v>19</v>
      </c>
      <c r="D8" s="61" t="s">
        <v>1126</v>
      </c>
      <c r="E8" s="11" t="s">
        <v>33</v>
      </c>
    </row>
    <row r="9">
      <c r="A9" s="48">
        <v>0.09375</v>
      </c>
      <c r="B9" s="62" t="s">
        <v>1275</v>
      </c>
      <c r="C9" s="45" t="s">
        <v>610</v>
      </c>
      <c r="D9" s="62" t="s">
        <v>1451</v>
      </c>
      <c r="E9" s="11" t="s">
        <v>29</v>
      </c>
    </row>
    <row r="10">
      <c r="A10" s="48">
        <v>0.09375</v>
      </c>
      <c r="B10" s="61" t="s">
        <v>1126</v>
      </c>
      <c r="C10" s="45" t="s">
        <v>155</v>
      </c>
      <c r="D10" s="61" t="s">
        <v>10</v>
      </c>
      <c r="E10" s="11" t="s">
        <v>33</v>
      </c>
    </row>
    <row r="11">
      <c r="A11" s="48">
        <v>0.10416666666666667</v>
      </c>
      <c r="B11" s="62" t="s">
        <v>360</v>
      </c>
      <c r="C11" s="45" t="s">
        <v>203</v>
      </c>
      <c r="D11" s="61" t="s">
        <v>1451</v>
      </c>
      <c r="E11" s="11" t="s">
        <v>29</v>
      </c>
      <c r="G11" s="45"/>
    </row>
    <row r="12">
      <c r="A12" s="48">
        <v>0.10416666666666667</v>
      </c>
      <c r="B12" s="61" t="s">
        <v>1126</v>
      </c>
      <c r="C12" s="45" t="s">
        <v>326</v>
      </c>
      <c r="D12" s="62" t="s">
        <v>1275</v>
      </c>
      <c r="E12" s="11" t="s">
        <v>33</v>
      </c>
    </row>
    <row r="13">
      <c r="A13" s="48">
        <v>0.11458333333333333</v>
      </c>
      <c r="B13" s="62" t="s">
        <v>1451</v>
      </c>
      <c r="C13" s="45" t="s">
        <v>16</v>
      </c>
      <c r="D13" s="61" t="s">
        <v>1126</v>
      </c>
      <c r="E13" s="11" t="s">
        <v>29</v>
      </c>
    </row>
    <row r="14">
      <c r="A14" s="48">
        <v>0.11458333333333333</v>
      </c>
      <c r="B14" s="61" t="s">
        <v>360</v>
      </c>
      <c r="C14" s="45" t="s">
        <v>219</v>
      </c>
      <c r="D14" s="61" t="s">
        <v>10</v>
      </c>
      <c r="E14" s="11" t="s">
        <v>33</v>
      </c>
    </row>
    <row r="15">
      <c r="A15" s="48">
        <v>0.125</v>
      </c>
      <c r="B15" s="61" t="s">
        <v>1451</v>
      </c>
      <c r="C15" s="45" t="s">
        <v>344</v>
      </c>
      <c r="D15" s="62" t="s">
        <v>10</v>
      </c>
      <c r="E15" s="11" t="s">
        <v>29</v>
      </c>
    </row>
    <row r="16">
      <c r="A16" s="48">
        <v>0.125</v>
      </c>
      <c r="B16" s="62" t="s">
        <v>360</v>
      </c>
      <c r="C16" s="45" t="s">
        <v>14</v>
      </c>
      <c r="D16" s="61" t="s">
        <v>1275</v>
      </c>
      <c r="E16" s="11" t="s">
        <v>33</v>
      </c>
    </row>
    <row r="17">
      <c r="A17" s="48">
        <v>0.13541666666666666</v>
      </c>
      <c r="B17" s="61" t="s">
        <v>10</v>
      </c>
      <c r="C17" s="45" t="s">
        <v>327</v>
      </c>
      <c r="D17" s="62" t="s">
        <v>1275</v>
      </c>
      <c r="E17" s="11" t="s">
        <v>29</v>
      </c>
    </row>
    <row r="18">
      <c r="A18" s="48">
        <v>0.13541666666666666</v>
      </c>
      <c r="B18" s="61" t="s">
        <v>1126</v>
      </c>
      <c r="C18" s="45" t="s">
        <v>210</v>
      </c>
      <c r="D18" s="61" t="s">
        <v>360</v>
      </c>
      <c r="E18" s="11" t="s">
        <v>33</v>
      </c>
    </row>
    <row r="19">
      <c r="A19" s="48">
        <v>0.14583333333333334</v>
      </c>
      <c r="B19" s="62" t="s">
        <v>1451</v>
      </c>
      <c r="C19" s="45" t="s">
        <v>166</v>
      </c>
      <c r="D19" s="62" t="s">
        <v>1275</v>
      </c>
      <c r="E19" s="11" t="s">
        <v>29</v>
      </c>
    </row>
    <row r="20">
      <c r="A20" s="48">
        <v>0.14583333333333334</v>
      </c>
      <c r="B20" s="61" t="s">
        <v>10</v>
      </c>
      <c r="C20" s="45" t="s">
        <v>162</v>
      </c>
      <c r="D20" s="61" t="s">
        <v>1126</v>
      </c>
      <c r="E20" s="11" t="s">
        <v>33</v>
      </c>
    </row>
    <row r="21">
      <c r="A21" s="48">
        <v>0.15625</v>
      </c>
      <c r="B21" s="61" t="s">
        <v>1451</v>
      </c>
      <c r="C21" s="45" t="s">
        <v>292</v>
      </c>
      <c r="D21" s="62" t="s">
        <v>360</v>
      </c>
      <c r="E21" s="11" t="s">
        <v>29</v>
      </c>
    </row>
    <row r="22">
      <c r="A22" s="48">
        <v>0.15625</v>
      </c>
      <c r="B22" s="62" t="s">
        <v>1275</v>
      </c>
      <c r="C22" s="45" t="s">
        <v>17</v>
      </c>
      <c r="D22" s="61" t="s">
        <v>1126</v>
      </c>
      <c r="E22" s="11" t="s">
        <v>33</v>
      </c>
    </row>
    <row r="23">
      <c r="A23" s="82"/>
      <c r="B23" s="1" t="s">
        <v>1452</v>
      </c>
      <c r="C23" s="2"/>
      <c r="D23" s="3"/>
      <c r="E23" s="73"/>
    </row>
    <row r="24">
      <c r="A24" s="47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48">
        <v>0.08680555555555555</v>
      </c>
      <c r="B25" s="62" t="s">
        <v>1453</v>
      </c>
      <c r="C25" s="57" t="s">
        <v>155</v>
      </c>
      <c r="D25" s="61" t="s">
        <v>1454</v>
      </c>
      <c r="E25" s="11" t="s">
        <v>9</v>
      </c>
    </row>
    <row r="26">
      <c r="A26" s="48">
        <v>0.08680555555555555</v>
      </c>
      <c r="B26" s="61" t="s">
        <v>347</v>
      </c>
      <c r="C26" s="57" t="s">
        <v>264</v>
      </c>
      <c r="D26" s="56" t="s">
        <v>1455</v>
      </c>
      <c r="E26" s="11" t="s">
        <v>13</v>
      </c>
    </row>
    <row r="27">
      <c r="A27" s="48">
        <v>0.09791666666666667</v>
      </c>
      <c r="B27" s="62" t="s">
        <v>347</v>
      </c>
      <c r="C27" s="57" t="s">
        <v>289</v>
      </c>
      <c r="D27" s="62" t="s">
        <v>1454</v>
      </c>
      <c r="E27" s="11" t="s">
        <v>9</v>
      </c>
    </row>
    <row r="28">
      <c r="A28" s="48">
        <v>0.09791666666666667</v>
      </c>
      <c r="B28" s="61" t="s">
        <v>1456</v>
      </c>
      <c r="C28" s="57" t="s">
        <v>181</v>
      </c>
      <c r="D28" s="56" t="s">
        <v>1455</v>
      </c>
      <c r="E28" s="11" t="s">
        <v>13</v>
      </c>
    </row>
    <row r="29">
      <c r="A29" s="48">
        <v>0.10902777777777778</v>
      </c>
      <c r="B29" s="62" t="s">
        <v>1456</v>
      </c>
      <c r="C29" s="57" t="s">
        <v>23</v>
      </c>
      <c r="D29" s="61" t="s">
        <v>347</v>
      </c>
      <c r="E29" s="11" t="s">
        <v>9</v>
      </c>
    </row>
    <row r="30">
      <c r="A30" s="48">
        <v>0.10902777777777778</v>
      </c>
      <c r="B30" s="56" t="s">
        <v>1455</v>
      </c>
      <c r="C30" s="57" t="s">
        <v>547</v>
      </c>
      <c r="D30" s="62" t="s">
        <v>1453</v>
      </c>
      <c r="E30" s="11" t="s">
        <v>13</v>
      </c>
    </row>
    <row r="31">
      <c r="A31" s="48">
        <v>0.12013888888888889</v>
      </c>
      <c r="B31" s="62" t="s">
        <v>1456</v>
      </c>
      <c r="C31" s="57" t="s">
        <v>208</v>
      </c>
      <c r="D31" s="61" t="s">
        <v>1454</v>
      </c>
      <c r="E31" s="11" t="s">
        <v>9</v>
      </c>
    </row>
    <row r="32">
      <c r="A32" s="48">
        <v>0.12013888888888889</v>
      </c>
      <c r="B32" s="61" t="s">
        <v>1453</v>
      </c>
      <c r="C32" s="57" t="s">
        <v>442</v>
      </c>
      <c r="D32" s="62" t="s">
        <v>347</v>
      </c>
      <c r="E32" s="11" t="s">
        <v>13</v>
      </c>
    </row>
    <row r="33">
      <c r="A33" s="48">
        <v>0.13125</v>
      </c>
      <c r="B33" s="56" t="s">
        <v>1455</v>
      </c>
      <c r="C33" s="57" t="s">
        <v>19</v>
      </c>
      <c r="D33" s="61" t="s">
        <v>1454</v>
      </c>
      <c r="E33" s="11" t="s">
        <v>9</v>
      </c>
    </row>
    <row r="34">
      <c r="A34" s="48">
        <v>0.13125</v>
      </c>
      <c r="B34" s="61" t="s">
        <v>1453</v>
      </c>
      <c r="C34" s="57" t="s">
        <v>790</v>
      </c>
      <c r="D34" s="61" t="s">
        <v>1456</v>
      </c>
      <c r="E34" s="11" t="s">
        <v>13</v>
      </c>
    </row>
    <row r="35">
      <c r="A35" s="48">
        <v>0.1423611111111111</v>
      </c>
      <c r="B35" s="61" t="s">
        <v>1454</v>
      </c>
      <c r="C35" s="57" t="s">
        <v>301</v>
      </c>
      <c r="D35" s="62" t="s">
        <v>1453</v>
      </c>
      <c r="E35" s="11" t="s">
        <v>9</v>
      </c>
    </row>
    <row r="36">
      <c r="A36" s="48">
        <v>0.1423611111111111</v>
      </c>
      <c r="B36" s="56" t="s">
        <v>1455</v>
      </c>
      <c r="C36" s="57" t="s">
        <v>14</v>
      </c>
      <c r="D36" s="61" t="s">
        <v>347</v>
      </c>
      <c r="E36" s="11" t="s">
        <v>13</v>
      </c>
    </row>
    <row r="37">
      <c r="A37" s="48">
        <v>0.15347222222222223</v>
      </c>
      <c r="B37" s="62" t="s">
        <v>1454</v>
      </c>
      <c r="C37" s="45" t="s">
        <v>17</v>
      </c>
      <c r="D37" s="62" t="s">
        <v>347</v>
      </c>
      <c r="E37" s="11" t="s">
        <v>9</v>
      </c>
    </row>
    <row r="38">
      <c r="A38" s="48">
        <v>0.15347222222222223</v>
      </c>
      <c r="B38" s="56" t="s">
        <v>1455</v>
      </c>
      <c r="C38" s="45" t="s">
        <v>245</v>
      </c>
      <c r="D38" s="61" t="s">
        <v>1456</v>
      </c>
      <c r="E38" s="11" t="s">
        <v>13</v>
      </c>
    </row>
    <row r="39">
      <c r="A39" s="48">
        <v>0.16458333333333333</v>
      </c>
      <c r="B39" s="61" t="s">
        <v>347</v>
      </c>
      <c r="C39" s="45" t="s">
        <v>248</v>
      </c>
      <c r="D39" s="62" t="s">
        <v>1456</v>
      </c>
      <c r="E39" s="11" t="s">
        <v>9</v>
      </c>
    </row>
    <row r="40">
      <c r="A40" s="48">
        <v>0.16458333333333333</v>
      </c>
      <c r="B40" s="62" t="s">
        <v>1453</v>
      </c>
      <c r="C40" s="45" t="s">
        <v>737</v>
      </c>
      <c r="D40" s="56" t="s">
        <v>1455</v>
      </c>
      <c r="E40" s="11" t="s">
        <v>13</v>
      </c>
    </row>
    <row r="41">
      <c r="A41" s="48">
        <v>0.17569444444444443</v>
      </c>
      <c r="B41" s="61" t="s">
        <v>1454</v>
      </c>
      <c r="C41" s="45" t="s">
        <v>380</v>
      </c>
      <c r="D41" s="62" t="s">
        <v>1456</v>
      </c>
      <c r="E41" s="11" t="s">
        <v>9</v>
      </c>
    </row>
    <row r="42">
      <c r="A42" s="48">
        <v>0.17569444444444443</v>
      </c>
      <c r="B42" s="62" t="s">
        <v>347</v>
      </c>
      <c r="C42" s="45" t="s">
        <v>209</v>
      </c>
      <c r="D42" s="61" t="s">
        <v>1453</v>
      </c>
      <c r="E42" s="11" t="s">
        <v>13</v>
      </c>
    </row>
    <row r="43">
      <c r="A43" s="48">
        <v>0.18680555555555556</v>
      </c>
      <c r="B43" s="61" t="s">
        <v>1454</v>
      </c>
      <c r="C43" s="45" t="s">
        <v>20</v>
      </c>
      <c r="D43" s="56" t="s">
        <v>1455</v>
      </c>
      <c r="E43" s="11" t="s">
        <v>9</v>
      </c>
    </row>
    <row r="44">
      <c r="A44" s="48">
        <v>0.18680555555555556</v>
      </c>
      <c r="B44" s="61" t="s">
        <v>1456</v>
      </c>
      <c r="C44" s="45" t="s">
        <v>43</v>
      </c>
      <c r="D44" s="61" t="s">
        <v>1453</v>
      </c>
      <c r="E44" s="11" t="s">
        <v>13</v>
      </c>
    </row>
    <row r="45">
      <c r="A45" s="51"/>
      <c r="B45" s="1" t="s">
        <v>1457</v>
      </c>
      <c r="C45" s="2"/>
      <c r="D45" s="3"/>
      <c r="E45" s="18"/>
    </row>
    <row r="46">
      <c r="A46" s="47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48">
        <v>0.16666666666666666</v>
      </c>
      <c r="B47" s="61" t="s">
        <v>1458</v>
      </c>
      <c r="C47" s="45" t="s">
        <v>43</v>
      </c>
      <c r="D47" s="61" t="s">
        <v>1459</v>
      </c>
      <c r="E47" s="11" t="s">
        <v>29</v>
      </c>
    </row>
    <row r="48">
      <c r="A48" s="48">
        <v>0.16666666666666666</v>
      </c>
      <c r="B48" s="61" t="s">
        <v>881</v>
      </c>
      <c r="C48" s="45" t="s">
        <v>712</v>
      </c>
      <c r="D48" s="61" t="s">
        <v>1460</v>
      </c>
      <c r="E48" s="11" t="s">
        <v>33</v>
      </c>
    </row>
    <row r="49">
      <c r="A49" s="48">
        <v>0.17708333333333334</v>
      </c>
      <c r="B49" s="61" t="s">
        <v>881</v>
      </c>
      <c r="C49" s="45" t="s">
        <v>203</v>
      </c>
      <c r="D49" s="61" t="s">
        <v>1459</v>
      </c>
      <c r="E49" s="11" t="s">
        <v>29</v>
      </c>
    </row>
    <row r="50">
      <c r="A50" s="48">
        <v>0.17708333333333334</v>
      </c>
      <c r="B50" s="61" t="s">
        <v>1035</v>
      </c>
      <c r="C50" s="45" t="s">
        <v>250</v>
      </c>
      <c r="D50" s="61" t="s">
        <v>1460</v>
      </c>
      <c r="E50" s="11" t="s">
        <v>33</v>
      </c>
    </row>
    <row r="51">
      <c r="A51" s="48">
        <v>0.1875</v>
      </c>
      <c r="B51" s="61" t="s">
        <v>1035</v>
      </c>
      <c r="C51" s="45" t="s">
        <v>16</v>
      </c>
      <c r="D51" s="61" t="s">
        <v>881</v>
      </c>
      <c r="E51" s="11" t="s">
        <v>29</v>
      </c>
    </row>
    <row r="52">
      <c r="A52" s="48">
        <v>0.1875</v>
      </c>
      <c r="B52" s="61" t="s">
        <v>1460</v>
      </c>
      <c r="C52" s="45" t="s">
        <v>41</v>
      </c>
      <c r="D52" s="61" t="s">
        <v>1458</v>
      </c>
      <c r="E52" s="11" t="s">
        <v>33</v>
      </c>
    </row>
    <row r="53">
      <c r="A53" s="48">
        <v>0.19791666666666666</v>
      </c>
      <c r="B53" s="61" t="s">
        <v>1035</v>
      </c>
      <c r="C53" s="45" t="s">
        <v>158</v>
      </c>
      <c r="D53" s="61" t="s">
        <v>1459</v>
      </c>
      <c r="E53" s="11" t="s">
        <v>29</v>
      </c>
    </row>
    <row r="54">
      <c r="A54" s="48">
        <v>0.19791666666666666</v>
      </c>
      <c r="B54" s="61" t="s">
        <v>1458</v>
      </c>
      <c r="C54" s="45" t="s">
        <v>23</v>
      </c>
      <c r="D54" s="61" t="s">
        <v>881</v>
      </c>
      <c r="E54" s="11" t="s">
        <v>33</v>
      </c>
    </row>
    <row r="55">
      <c r="A55" s="48">
        <v>0.20833333333333334</v>
      </c>
      <c r="B55" s="61" t="s">
        <v>1460</v>
      </c>
      <c r="C55" s="45" t="s">
        <v>209</v>
      </c>
      <c r="D55" s="61" t="s">
        <v>1459</v>
      </c>
      <c r="E55" s="11" t="s">
        <v>29</v>
      </c>
    </row>
    <row r="56">
      <c r="A56" s="48">
        <v>0.20833333333333334</v>
      </c>
      <c r="B56" s="61" t="s">
        <v>1458</v>
      </c>
      <c r="C56" s="45" t="s">
        <v>464</v>
      </c>
      <c r="D56" s="61" t="s">
        <v>1035</v>
      </c>
      <c r="E56" s="11" t="s">
        <v>33</v>
      </c>
    </row>
    <row r="57">
      <c r="A57" s="48">
        <v>0.21875</v>
      </c>
      <c r="B57" s="61" t="s">
        <v>1459</v>
      </c>
      <c r="C57" s="45" t="s">
        <v>675</v>
      </c>
      <c r="D57" s="61" t="s">
        <v>1458</v>
      </c>
      <c r="E57" s="11" t="s">
        <v>29</v>
      </c>
    </row>
    <row r="58">
      <c r="A58" s="48">
        <v>0.21875</v>
      </c>
      <c r="B58" s="61" t="s">
        <v>1460</v>
      </c>
      <c r="C58" s="45" t="s">
        <v>549</v>
      </c>
      <c r="D58" s="61" t="s">
        <v>881</v>
      </c>
      <c r="E58" s="11" t="s">
        <v>33</v>
      </c>
    </row>
    <row r="59">
      <c r="A59" s="48">
        <v>0.22916666666666666</v>
      </c>
      <c r="B59" s="61" t="s">
        <v>1459</v>
      </c>
      <c r="C59" s="45" t="s">
        <v>16</v>
      </c>
      <c r="D59" s="61" t="s">
        <v>881</v>
      </c>
      <c r="E59" s="11" t="s">
        <v>29</v>
      </c>
    </row>
    <row r="60">
      <c r="A60" s="48">
        <v>0.22916666666666666</v>
      </c>
      <c r="B60" s="61" t="s">
        <v>1460</v>
      </c>
      <c r="C60" s="45" t="s">
        <v>41</v>
      </c>
      <c r="D60" s="61" t="s">
        <v>1035</v>
      </c>
      <c r="E60" s="11" t="s">
        <v>33</v>
      </c>
    </row>
    <row r="61">
      <c r="A61" s="48">
        <v>0.23958333333333334</v>
      </c>
      <c r="B61" s="61" t="s">
        <v>881</v>
      </c>
      <c r="C61" s="45" t="s">
        <v>830</v>
      </c>
      <c r="D61" s="61" t="s">
        <v>1035</v>
      </c>
      <c r="E61" s="11" t="s">
        <v>29</v>
      </c>
    </row>
    <row r="62">
      <c r="A62" s="48">
        <v>0.23958333333333334</v>
      </c>
      <c r="B62" s="61" t="s">
        <v>1458</v>
      </c>
      <c r="C62" s="45" t="s">
        <v>302</v>
      </c>
      <c r="D62" s="61" t="s">
        <v>1460</v>
      </c>
      <c r="E62" s="11" t="s">
        <v>33</v>
      </c>
    </row>
    <row r="63">
      <c r="A63" s="48">
        <v>0.25</v>
      </c>
      <c r="B63" s="61" t="s">
        <v>1459</v>
      </c>
      <c r="C63" s="45" t="s">
        <v>20</v>
      </c>
      <c r="D63" s="61" t="s">
        <v>1035</v>
      </c>
      <c r="E63" s="11" t="s">
        <v>29</v>
      </c>
    </row>
    <row r="64">
      <c r="A64" s="48">
        <v>0.25</v>
      </c>
      <c r="B64" s="61" t="s">
        <v>881</v>
      </c>
      <c r="C64" s="45" t="s">
        <v>220</v>
      </c>
      <c r="D64" s="61" t="s">
        <v>1458</v>
      </c>
      <c r="E64" s="11" t="s">
        <v>33</v>
      </c>
    </row>
    <row r="65">
      <c r="A65" s="48">
        <v>0.2604166666666667</v>
      </c>
      <c r="B65" s="61" t="s">
        <v>1459</v>
      </c>
      <c r="C65" s="45" t="s">
        <v>210</v>
      </c>
      <c r="D65" s="61" t="s">
        <v>1460</v>
      </c>
      <c r="E65" s="11" t="s">
        <v>29</v>
      </c>
    </row>
    <row r="66">
      <c r="A66" s="48">
        <v>0.2604166666666667</v>
      </c>
      <c r="B66" s="61" t="s">
        <v>1035</v>
      </c>
      <c r="C66" s="45" t="s">
        <v>225</v>
      </c>
      <c r="D66" s="61" t="s">
        <v>1458</v>
      </c>
      <c r="E66" s="11" t="s">
        <v>33</v>
      </c>
    </row>
    <row r="67">
      <c r="A67" s="51"/>
      <c r="B67" s="1" t="s">
        <v>1461</v>
      </c>
      <c r="C67" s="2"/>
      <c r="D67" s="3"/>
      <c r="E67" s="4"/>
    </row>
    <row r="68">
      <c r="A68" s="47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48">
        <v>0.21180555555555555</v>
      </c>
      <c r="B69" s="61" t="s">
        <v>1462</v>
      </c>
      <c r="C69" s="57" t="s">
        <v>173</v>
      </c>
      <c r="D69" s="61" t="s">
        <v>1463</v>
      </c>
      <c r="E69" s="11" t="s">
        <v>9</v>
      </c>
    </row>
    <row r="70">
      <c r="A70" s="48">
        <v>0.21180555555555555</v>
      </c>
      <c r="B70" s="61" t="s">
        <v>1464</v>
      </c>
      <c r="C70" s="57" t="s">
        <v>19</v>
      </c>
      <c r="D70" s="56" t="s">
        <v>1465</v>
      </c>
      <c r="E70" s="11" t="s">
        <v>13</v>
      </c>
    </row>
    <row r="71">
      <c r="A71" s="48">
        <v>0.22291666666666668</v>
      </c>
      <c r="B71" s="61" t="s">
        <v>1464</v>
      </c>
      <c r="C71" s="57" t="s">
        <v>17</v>
      </c>
      <c r="D71" s="61" t="s">
        <v>1463</v>
      </c>
      <c r="E71" s="11" t="s">
        <v>9</v>
      </c>
    </row>
    <row r="72">
      <c r="A72" s="48">
        <v>0.22291666666666668</v>
      </c>
      <c r="B72" s="61" t="s">
        <v>1466</v>
      </c>
      <c r="C72" s="57" t="s">
        <v>442</v>
      </c>
      <c r="D72" s="56" t="s">
        <v>1465</v>
      </c>
      <c r="E72" s="11" t="s">
        <v>13</v>
      </c>
    </row>
    <row r="73">
      <c r="A73" s="48">
        <v>0.23402777777777778</v>
      </c>
      <c r="B73" s="61" t="s">
        <v>1466</v>
      </c>
      <c r="C73" s="57" t="s">
        <v>301</v>
      </c>
      <c r="D73" s="61" t="s">
        <v>1464</v>
      </c>
      <c r="E73" s="11" t="s">
        <v>9</v>
      </c>
    </row>
    <row r="74">
      <c r="A74" s="48">
        <v>0.23402777777777778</v>
      </c>
      <c r="B74" s="56" t="s">
        <v>1465</v>
      </c>
      <c r="C74" s="57" t="s">
        <v>219</v>
      </c>
      <c r="D74" s="61" t="s">
        <v>1462</v>
      </c>
      <c r="E74" s="11" t="s">
        <v>13</v>
      </c>
    </row>
    <row r="75">
      <c r="A75" s="48">
        <v>0.24513888888888888</v>
      </c>
      <c r="B75" s="61" t="s">
        <v>1466</v>
      </c>
      <c r="C75" s="57" t="s">
        <v>41</v>
      </c>
      <c r="D75" s="61" t="s">
        <v>1463</v>
      </c>
      <c r="E75" s="11" t="s">
        <v>9</v>
      </c>
    </row>
    <row r="76">
      <c r="A76" s="48">
        <v>0.24513888888888888</v>
      </c>
      <c r="B76" s="61" t="s">
        <v>1462</v>
      </c>
      <c r="C76" s="57" t="s">
        <v>16</v>
      </c>
      <c r="D76" s="61" t="s">
        <v>1464</v>
      </c>
      <c r="E76" s="11" t="s">
        <v>13</v>
      </c>
    </row>
    <row r="77">
      <c r="A77" s="48">
        <v>0.25625</v>
      </c>
      <c r="B77" s="56" t="s">
        <v>1465</v>
      </c>
      <c r="C77" s="57" t="s">
        <v>181</v>
      </c>
      <c r="D77" s="61" t="s">
        <v>1463</v>
      </c>
      <c r="E77" s="11" t="s">
        <v>9</v>
      </c>
    </row>
    <row r="78">
      <c r="A78" s="48">
        <v>0.25625</v>
      </c>
      <c r="B78" s="61" t="s">
        <v>1462</v>
      </c>
      <c r="C78" s="57" t="s">
        <v>158</v>
      </c>
      <c r="D78" s="61" t="s">
        <v>1466</v>
      </c>
      <c r="E78" s="11" t="s">
        <v>13</v>
      </c>
    </row>
    <row r="79">
      <c r="A79" s="48">
        <v>0.2673611111111111</v>
      </c>
      <c r="B79" s="61" t="s">
        <v>1463</v>
      </c>
      <c r="C79" s="57" t="s">
        <v>357</v>
      </c>
      <c r="D79" s="61" t="s">
        <v>1462</v>
      </c>
      <c r="E79" s="11" t="s">
        <v>9</v>
      </c>
    </row>
    <row r="80">
      <c r="A80" s="48">
        <v>0.2673611111111111</v>
      </c>
      <c r="B80" s="56" t="s">
        <v>1465</v>
      </c>
      <c r="C80" s="57" t="s">
        <v>181</v>
      </c>
      <c r="D80" s="61" t="s">
        <v>1464</v>
      </c>
      <c r="E80" s="11" t="s">
        <v>13</v>
      </c>
    </row>
    <row r="81">
      <c r="A81" s="48">
        <v>0.27847222222222223</v>
      </c>
      <c r="B81" s="61" t="s">
        <v>1463</v>
      </c>
      <c r="C81" s="45" t="s">
        <v>220</v>
      </c>
      <c r="D81" s="61" t="s">
        <v>1464</v>
      </c>
      <c r="E81" s="11" t="s">
        <v>9</v>
      </c>
    </row>
    <row r="82">
      <c r="A82" s="48">
        <v>0.27847222222222223</v>
      </c>
      <c r="B82" s="56" t="s">
        <v>1465</v>
      </c>
      <c r="C82" s="45" t="s">
        <v>271</v>
      </c>
      <c r="D82" s="61" t="s">
        <v>1466</v>
      </c>
      <c r="E82" s="11" t="s">
        <v>13</v>
      </c>
    </row>
    <row r="83">
      <c r="A83" s="48">
        <v>0.28958333333333336</v>
      </c>
      <c r="B83" s="61" t="s">
        <v>1464</v>
      </c>
      <c r="C83" s="45" t="s">
        <v>193</v>
      </c>
      <c r="D83" s="61" t="s">
        <v>1466</v>
      </c>
      <c r="E83" s="11" t="s">
        <v>9</v>
      </c>
    </row>
    <row r="84">
      <c r="A84" s="48">
        <v>0.28958333333333336</v>
      </c>
      <c r="B84" s="61" t="s">
        <v>1462</v>
      </c>
      <c r="C84" s="45" t="s">
        <v>302</v>
      </c>
      <c r="D84" s="56" t="s">
        <v>1465</v>
      </c>
      <c r="E84" s="11" t="s">
        <v>13</v>
      </c>
    </row>
    <row r="85">
      <c r="A85" s="48">
        <v>0.30069444444444443</v>
      </c>
      <c r="B85" s="61" t="s">
        <v>1463</v>
      </c>
      <c r="C85" s="45" t="s">
        <v>162</v>
      </c>
      <c r="D85" s="61" t="s">
        <v>1466</v>
      </c>
      <c r="E85" s="11" t="s">
        <v>9</v>
      </c>
    </row>
    <row r="86">
      <c r="A86" s="48">
        <v>0.30069444444444443</v>
      </c>
      <c r="B86" s="61" t="s">
        <v>1464</v>
      </c>
      <c r="C86" s="45" t="s">
        <v>219</v>
      </c>
      <c r="D86" s="61" t="s">
        <v>1462</v>
      </c>
      <c r="E86" s="11" t="s">
        <v>13</v>
      </c>
    </row>
    <row r="87">
      <c r="A87" s="48">
        <v>0.31180555555555556</v>
      </c>
      <c r="B87" s="61" t="s">
        <v>1463</v>
      </c>
      <c r="C87" s="45" t="s">
        <v>219</v>
      </c>
      <c r="D87" s="56" t="s">
        <v>1465</v>
      </c>
      <c r="E87" s="11" t="s">
        <v>9</v>
      </c>
    </row>
    <row r="88">
      <c r="A88" s="48">
        <v>0.31180555555555556</v>
      </c>
      <c r="B88" s="61" t="s">
        <v>1466</v>
      </c>
      <c r="C88" s="45" t="s">
        <v>193</v>
      </c>
      <c r="D88" s="61" t="s">
        <v>1462</v>
      </c>
      <c r="E88" s="11" t="s">
        <v>13</v>
      </c>
    </row>
    <row r="89">
      <c r="A89" s="51"/>
      <c r="B89" s="1" t="s">
        <v>56</v>
      </c>
      <c r="C89" s="2"/>
      <c r="D89" s="3"/>
      <c r="E89" s="4"/>
    </row>
    <row r="90">
      <c r="A90" s="47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48">
        <v>0.3333333333333333</v>
      </c>
      <c r="B91" s="61" t="s">
        <v>1467</v>
      </c>
      <c r="C91" s="45" t="s">
        <v>1468</v>
      </c>
      <c r="D91" s="61" t="s">
        <v>1469</v>
      </c>
      <c r="E91" s="11" t="s">
        <v>9</v>
      </c>
    </row>
    <row r="92">
      <c r="A92" s="48">
        <v>0.3333333333333333</v>
      </c>
      <c r="B92" s="61" t="s">
        <v>1470</v>
      </c>
      <c r="C92" s="45" t="s">
        <v>477</v>
      </c>
      <c r="D92" s="61" t="s">
        <v>1471</v>
      </c>
      <c r="E92" s="11" t="s">
        <v>13</v>
      </c>
    </row>
    <row r="93">
      <c r="A93" s="48">
        <v>0.34305555555555556</v>
      </c>
      <c r="B93" s="61" t="s">
        <v>1470</v>
      </c>
      <c r="C93" s="45" t="s">
        <v>162</v>
      </c>
      <c r="D93" s="61" t="s">
        <v>1469</v>
      </c>
      <c r="E93" s="11" t="s">
        <v>9</v>
      </c>
    </row>
    <row r="94">
      <c r="A94" s="48">
        <v>0.34305555555555556</v>
      </c>
      <c r="B94" s="61" t="s">
        <v>1400</v>
      </c>
      <c r="C94" s="45" t="s">
        <v>302</v>
      </c>
      <c r="D94" s="61" t="s">
        <v>1471</v>
      </c>
      <c r="E94" s="11" t="s">
        <v>13</v>
      </c>
    </row>
    <row r="95">
      <c r="A95" s="48">
        <v>0.35347222222222224</v>
      </c>
      <c r="B95" s="61" t="s">
        <v>1400</v>
      </c>
      <c r="C95" s="45" t="s">
        <v>163</v>
      </c>
      <c r="D95" s="61" t="s">
        <v>1470</v>
      </c>
      <c r="E95" s="11" t="s">
        <v>9</v>
      </c>
    </row>
    <row r="96">
      <c r="A96" s="48">
        <v>0.35347222222222224</v>
      </c>
      <c r="B96" s="61" t="s">
        <v>1471</v>
      </c>
      <c r="C96" s="45" t="s">
        <v>271</v>
      </c>
      <c r="D96" s="61" t="s">
        <v>1467</v>
      </c>
      <c r="E96" s="11" t="s">
        <v>13</v>
      </c>
    </row>
    <row r="97">
      <c r="A97" s="48">
        <v>0.3638888888888889</v>
      </c>
      <c r="B97" s="61" t="s">
        <v>1400</v>
      </c>
      <c r="C97" s="45" t="s">
        <v>194</v>
      </c>
      <c r="D97" s="61" t="s">
        <v>1469</v>
      </c>
      <c r="E97" s="11" t="s">
        <v>9</v>
      </c>
    </row>
    <row r="98">
      <c r="A98" s="48">
        <v>0.3638888888888889</v>
      </c>
      <c r="B98" s="61" t="s">
        <v>1467</v>
      </c>
      <c r="C98" s="45" t="s">
        <v>216</v>
      </c>
      <c r="D98" s="61" t="s">
        <v>1470</v>
      </c>
      <c r="E98" s="11" t="s">
        <v>13</v>
      </c>
    </row>
    <row r="99">
      <c r="A99" s="48">
        <v>0.3736111111111111</v>
      </c>
      <c r="B99" s="61" t="s">
        <v>1471</v>
      </c>
      <c r="C99" s="45" t="s">
        <v>289</v>
      </c>
      <c r="D99" s="61" t="s">
        <v>1469</v>
      </c>
      <c r="E99" s="11" t="s">
        <v>9</v>
      </c>
    </row>
    <row r="100">
      <c r="A100" s="48">
        <v>0.3736111111111111</v>
      </c>
      <c r="B100" s="61" t="s">
        <v>1467</v>
      </c>
      <c r="C100" s="45" t="s">
        <v>1472</v>
      </c>
      <c r="D100" s="61" t="s">
        <v>1400</v>
      </c>
      <c r="E100" s="11" t="s">
        <v>13</v>
      </c>
    </row>
    <row r="101">
      <c r="A101" s="48">
        <v>0.3840277777777778</v>
      </c>
      <c r="B101" s="61" t="s">
        <v>1469</v>
      </c>
      <c r="C101" s="45" t="s">
        <v>290</v>
      </c>
      <c r="D101" s="61" t="s">
        <v>1467</v>
      </c>
      <c r="E101" s="11" t="s">
        <v>9</v>
      </c>
    </row>
    <row r="102">
      <c r="A102" s="48">
        <v>0.3840277777777778</v>
      </c>
      <c r="B102" s="61" t="s">
        <v>1471</v>
      </c>
      <c r="C102" s="45" t="s">
        <v>216</v>
      </c>
      <c r="D102" s="61" t="s">
        <v>1470</v>
      </c>
      <c r="E102" s="11" t="s">
        <v>13</v>
      </c>
    </row>
    <row r="103">
      <c r="A103" s="48">
        <v>0.39444444444444443</v>
      </c>
      <c r="B103" s="61" t="s">
        <v>1469</v>
      </c>
      <c r="C103" s="45" t="s">
        <v>440</v>
      </c>
      <c r="D103" s="61" t="s">
        <v>1470</v>
      </c>
      <c r="E103" s="11" t="s">
        <v>9</v>
      </c>
    </row>
    <row r="104">
      <c r="A104" s="48">
        <v>0.39444444444444443</v>
      </c>
      <c r="B104" s="61" t="s">
        <v>1471</v>
      </c>
      <c r="C104" s="45" t="s">
        <v>177</v>
      </c>
      <c r="D104" s="61" t="s">
        <v>1400</v>
      </c>
      <c r="E104" s="11" t="s">
        <v>13</v>
      </c>
    </row>
    <row r="105">
      <c r="A105" s="48">
        <v>0.4041666666666667</v>
      </c>
      <c r="B105" s="61" t="s">
        <v>1470</v>
      </c>
      <c r="C105" s="45" t="s">
        <v>18</v>
      </c>
      <c r="D105" s="61" t="s">
        <v>1400</v>
      </c>
      <c r="E105" s="11" t="s">
        <v>9</v>
      </c>
    </row>
    <row r="106">
      <c r="A106" s="48">
        <v>0.4041666666666667</v>
      </c>
      <c r="B106" s="61" t="s">
        <v>1467</v>
      </c>
      <c r="C106" s="45" t="s">
        <v>164</v>
      </c>
      <c r="D106" s="61" t="s">
        <v>1471</v>
      </c>
      <c r="E106" s="11" t="s">
        <v>13</v>
      </c>
    </row>
    <row r="107">
      <c r="A107" s="48">
        <v>0.41458333333333336</v>
      </c>
      <c r="B107" s="61" t="s">
        <v>1469</v>
      </c>
      <c r="C107" s="45" t="s">
        <v>193</v>
      </c>
      <c r="D107" s="61" t="s">
        <v>1400</v>
      </c>
      <c r="E107" s="11" t="s">
        <v>9</v>
      </c>
    </row>
    <row r="108">
      <c r="A108" s="48">
        <v>0.41458333333333336</v>
      </c>
      <c r="B108" s="61" t="s">
        <v>1470</v>
      </c>
      <c r="C108" s="45" t="s">
        <v>210</v>
      </c>
      <c r="D108" s="61" t="s">
        <v>1467</v>
      </c>
      <c r="E108" s="11" t="s">
        <v>13</v>
      </c>
    </row>
    <row r="109">
      <c r="A109" s="48">
        <v>0.425</v>
      </c>
      <c r="B109" s="61" t="s">
        <v>1469</v>
      </c>
      <c r="C109" s="45" t="s">
        <v>180</v>
      </c>
      <c r="D109" s="61" t="s">
        <v>1471</v>
      </c>
      <c r="E109" s="11" t="s">
        <v>9</v>
      </c>
    </row>
    <row r="110">
      <c r="A110" s="48">
        <v>0.425</v>
      </c>
      <c r="B110" s="61" t="s">
        <v>1400</v>
      </c>
      <c r="C110" s="45" t="s">
        <v>237</v>
      </c>
      <c r="D110" s="61" t="s">
        <v>1467</v>
      </c>
      <c r="E110" s="11" t="s">
        <v>13</v>
      </c>
    </row>
    <row r="111">
      <c r="A111" s="51"/>
      <c r="B111" s="1" t="s">
        <v>56</v>
      </c>
      <c r="C111" s="2"/>
      <c r="D111" s="3"/>
      <c r="E111" s="4"/>
    </row>
    <row r="112">
      <c r="A112" s="47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48">
        <v>0.3333333333333333</v>
      </c>
      <c r="B113" s="61" t="s">
        <v>510</v>
      </c>
      <c r="C113" s="57" t="s">
        <v>41</v>
      </c>
      <c r="D113" s="61" t="s">
        <v>754</v>
      </c>
      <c r="E113" s="11" t="s">
        <v>29</v>
      </c>
    </row>
    <row r="114">
      <c r="A114" s="48">
        <v>0.3333333333333333</v>
      </c>
      <c r="B114" s="61" t="s">
        <v>1473</v>
      </c>
      <c r="C114" s="57" t="s">
        <v>158</v>
      </c>
      <c r="D114" s="61" t="s">
        <v>391</v>
      </c>
      <c r="E114" s="11" t="s">
        <v>33</v>
      </c>
    </row>
    <row r="115">
      <c r="A115" s="48">
        <v>0.34305555555555556</v>
      </c>
      <c r="B115" s="61" t="s">
        <v>1473</v>
      </c>
      <c r="C115" s="57" t="s">
        <v>18</v>
      </c>
      <c r="D115" s="61" t="s">
        <v>754</v>
      </c>
      <c r="E115" s="11" t="s">
        <v>29</v>
      </c>
    </row>
    <row r="116">
      <c r="A116" s="48">
        <v>0.34305555555555556</v>
      </c>
      <c r="B116" s="61" t="s">
        <v>228</v>
      </c>
      <c r="C116" s="57" t="s">
        <v>193</v>
      </c>
      <c r="D116" s="61" t="s">
        <v>391</v>
      </c>
      <c r="E116" s="11" t="s">
        <v>33</v>
      </c>
    </row>
    <row r="117">
      <c r="A117" s="48">
        <v>0.35347222222222224</v>
      </c>
      <c r="B117" s="61" t="s">
        <v>228</v>
      </c>
      <c r="C117" s="57" t="s">
        <v>16</v>
      </c>
      <c r="D117" s="61" t="s">
        <v>1473</v>
      </c>
      <c r="E117" s="11" t="s">
        <v>29</v>
      </c>
    </row>
    <row r="118">
      <c r="A118" s="48">
        <v>0.35347222222222224</v>
      </c>
      <c r="B118" s="61" t="s">
        <v>391</v>
      </c>
      <c r="C118" s="57" t="s">
        <v>14</v>
      </c>
      <c r="D118" s="61" t="s">
        <v>510</v>
      </c>
      <c r="E118" s="11" t="s">
        <v>33</v>
      </c>
    </row>
    <row r="119">
      <c r="A119" s="48">
        <v>0.3638888888888889</v>
      </c>
      <c r="B119" s="61" t="s">
        <v>228</v>
      </c>
      <c r="C119" s="57" t="s">
        <v>18</v>
      </c>
      <c r="D119" s="61" t="s">
        <v>754</v>
      </c>
      <c r="E119" s="11" t="s">
        <v>29</v>
      </c>
    </row>
    <row r="120">
      <c r="A120" s="48">
        <v>0.3638888888888889</v>
      </c>
      <c r="B120" s="61" t="s">
        <v>510</v>
      </c>
      <c r="C120" s="57" t="s">
        <v>16</v>
      </c>
      <c r="D120" s="61" t="s">
        <v>1473</v>
      </c>
      <c r="E120" s="11" t="s">
        <v>33</v>
      </c>
    </row>
    <row r="121">
      <c r="A121" s="48">
        <v>0.3736111111111111</v>
      </c>
      <c r="B121" s="61" t="s">
        <v>391</v>
      </c>
      <c r="C121" s="57" t="s">
        <v>610</v>
      </c>
      <c r="D121" s="61" t="s">
        <v>754</v>
      </c>
      <c r="E121" s="11" t="s">
        <v>29</v>
      </c>
    </row>
    <row r="122">
      <c r="A122" s="48">
        <v>0.3736111111111111</v>
      </c>
      <c r="B122" s="61" t="s">
        <v>510</v>
      </c>
      <c r="C122" s="57" t="s">
        <v>490</v>
      </c>
      <c r="D122" s="61" t="s">
        <v>228</v>
      </c>
      <c r="E122" s="11" t="s">
        <v>33</v>
      </c>
    </row>
    <row r="123">
      <c r="A123" s="48">
        <v>0.3840277777777778</v>
      </c>
      <c r="B123" s="61" t="s">
        <v>754</v>
      </c>
      <c r="C123" s="57" t="s">
        <v>278</v>
      </c>
      <c r="D123" s="61" t="s">
        <v>510</v>
      </c>
      <c r="E123" s="11" t="s">
        <v>29</v>
      </c>
    </row>
    <row r="124">
      <c r="A124" s="48">
        <v>0.3840277777777778</v>
      </c>
      <c r="B124" s="61" t="s">
        <v>391</v>
      </c>
      <c r="C124" s="57" t="s">
        <v>41</v>
      </c>
      <c r="D124" s="61" t="s">
        <v>1473</v>
      </c>
      <c r="E124" s="11" t="s">
        <v>33</v>
      </c>
    </row>
    <row r="125">
      <c r="A125" s="48">
        <v>0.39444444444444443</v>
      </c>
      <c r="B125" s="61" t="s">
        <v>754</v>
      </c>
      <c r="C125" s="45" t="s">
        <v>159</v>
      </c>
      <c r="D125" s="61" t="s">
        <v>1473</v>
      </c>
      <c r="E125" s="11" t="s">
        <v>29</v>
      </c>
    </row>
    <row r="126">
      <c r="A126" s="48">
        <v>0.39444444444444443</v>
      </c>
      <c r="B126" s="61" t="s">
        <v>391</v>
      </c>
      <c r="C126" s="45" t="s">
        <v>23</v>
      </c>
      <c r="D126" s="61" t="s">
        <v>228</v>
      </c>
      <c r="E126" s="11" t="s">
        <v>33</v>
      </c>
    </row>
    <row r="127">
      <c r="A127" s="48">
        <v>0.4041666666666667</v>
      </c>
      <c r="B127" s="61" t="s">
        <v>1473</v>
      </c>
      <c r="C127" s="45" t="s">
        <v>43</v>
      </c>
      <c r="D127" s="61" t="s">
        <v>228</v>
      </c>
      <c r="E127" s="11" t="s">
        <v>29</v>
      </c>
    </row>
    <row r="128">
      <c r="A128" s="48">
        <v>0.4041666666666667</v>
      </c>
      <c r="B128" s="61" t="s">
        <v>510</v>
      </c>
      <c r="C128" s="45" t="s">
        <v>257</v>
      </c>
      <c r="D128" s="61" t="s">
        <v>391</v>
      </c>
      <c r="E128" s="11" t="s">
        <v>33</v>
      </c>
    </row>
    <row r="129">
      <c r="A129" s="48">
        <v>0.41458333333333336</v>
      </c>
      <c r="B129" s="61" t="s">
        <v>754</v>
      </c>
      <c r="C129" s="45" t="s">
        <v>41</v>
      </c>
      <c r="D129" s="61" t="s">
        <v>228</v>
      </c>
      <c r="E129" s="11" t="s">
        <v>29</v>
      </c>
    </row>
    <row r="130">
      <c r="A130" s="48">
        <v>0.41458333333333336</v>
      </c>
      <c r="B130" s="61" t="s">
        <v>1473</v>
      </c>
      <c r="C130" s="45" t="s">
        <v>18</v>
      </c>
      <c r="D130" s="61" t="s">
        <v>510</v>
      </c>
      <c r="E130" s="11" t="s">
        <v>33</v>
      </c>
    </row>
    <row r="131">
      <c r="A131" s="48">
        <v>0.425</v>
      </c>
      <c r="B131" s="61" t="s">
        <v>754</v>
      </c>
      <c r="C131" s="45" t="s">
        <v>227</v>
      </c>
      <c r="D131" s="61" t="s">
        <v>391</v>
      </c>
      <c r="E131" s="11" t="s">
        <v>29</v>
      </c>
    </row>
    <row r="132">
      <c r="A132" s="48">
        <v>0.425</v>
      </c>
      <c r="B132" s="61" t="s">
        <v>228</v>
      </c>
      <c r="C132" s="45" t="s">
        <v>218</v>
      </c>
      <c r="D132" s="61" t="s">
        <v>510</v>
      </c>
      <c r="E132" s="11" t="s">
        <v>33</v>
      </c>
    </row>
    <row r="133">
      <c r="A133" s="51"/>
      <c r="B133" s="1" t="s">
        <v>67</v>
      </c>
      <c r="C133" s="2"/>
      <c r="D133" s="3"/>
      <c r="E133" s="4"/>
    </row>
    <row r="134">
      <c r="A134" s="47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48">
        <v>0.4375</v>
      </c>
      <c r="B135" s="61" t="s">
        <v>1474</v>
      </c>
      <c r="C135" s="57" t="s">
        <v>177</v>
      </c>
      <c r="D135" s="61" t="s">
        <v>1475</v>
      </c>
      <c r="E135" s="11" t="s">
        <v>9</v>
      </c>
    </row>
    <row r="136">
      <c r="A136" s="48">
        <v>0.4375</v>
      </c>
      <c r="B136" s="61" t="s">
        <v>1476</v>
      </c>
      <c r="C136" s="57" t="s">
        <v>1477</v>
      </c>
      <c r="D136" s="61" t="s">
        <v>1221</v>
      </c>
      <c r="E136" s="11" t="s">
        <v>13</v>
      </c>
    </row>
    <row r="137">
      <c r="A137" s="48">
        <v>0.44722222222222224</v>
      </c>
      <c r="B137" s="61" t="s">
        <v>1476</v>
      </c>
      <c r="C137" s="57" t="s">
        <v>41</v>
      </c>
      <c r="D137" s="61" t="s">
        <v>1475</v>
      </c>
      <c r="E137" s="11" t="s">
        <v>9</v>
      </c>
    </row>
    <row r="138">
      <c r="A138" s="48">
        <v>0.44722222222222224</v>
      </c>
      <c r="B138" s="61" t="s">
        <v>1412</v>
      </c>
      <c r="C138" s="57" t="s">
        <v>182</v>
      </c>
      <c r="D138" s="61" t="s">
        <v>1221</v>
      </c>
      <c r="E138" s="11" t="s">
        <v>13</v>
      </c>
    </row>
    <row r="139">
      <c r="A139" s="48">
        <v>0.4576388888888889</v>
      </c>
      <c r="B139" s="61" t="s">
        <v>1412</v>
      </c>
      <c r="C139" s="57" t="s">
        <v>18</v>
      </c>
      <c r="D139" s="61" t="s">
        <v>1476</v>
      </c>
      <c r="E139" s="11" t="s">
        <v>9</v>
      </c>
    </row>
    <row r="140">
      <c r="A140" s="48">
        <v>0.4576388888888889</v>
      </c>
      <c r="B140" s="61" t="s">
        <v>1221</v>
      </c>
      <c r="C140" s="57" t="s">
        <v>184</v>
      </c>
      <c r="D140" s="61" t="s">
        <v>1474</v>
      </c>
      <c r="E140" s="11" t="s">
        <v>13</v>
      </c>
    </row>
    <row r="141">
      <c r="A141" s="48">
        <v>0.46805555555555556</v>
      </c>
      <c r="B141" s="61" t="s">
        <v>1412</v>
      </c>
      <c r="C141" s="57" t="s">
        <v>18</v>
      </c>
      <c r="D141" s="61" t="s">
        <v>1475</v>
      </c>
      <c r="E141" s="11" t="s">
        <v>9</v>
      </c>
    </row>
    <row r="142">
      <c r="A142" s="48">
        <v>0.46805555555555556</v>
      </c>
      <c r="B142" s="61" t="s">
        <v>1474</v>
      </c>
      <c r="C142" s="57" t="s">
        <v>718</v>
      </c>
      <c r="D142" s="61" t="s">
        <v>1476</v>
      </c>
      <c r="E142" s="11" t="s">
        <v>13</v>
      </c>
    </row>
    <row r="143">
      <c r="A143" s="48">
        <v>0.4777777777777778</v>
      </c>
      <c r="B143" s="61" t="s">
        <v>1221</v>
      </c>
      <c r="C143" s="57" t="s">
        <v>394</v>
      </c>
      <c r="D143" s="61" t="s">
        <v>1475</v>
      </c>
      <c r="E143" s="11" t="s">
        <v>9</v>
      </c>
    </row>
    <row r="144">
      <c r="A144" s="48">
        <v>0.4777777777777778</v>
      </c>
      <c r="B144" s="61" t="s">
        <v>1474</v>
      </c>
      <c r="C144" s="57" t="s">
        <v>181</v>
      </c>
      <c r="D144" s="61" t="s">
        <v>1412</v>
      </c>
      <c r="E144" s="11" t="s">
        <v>13</v>
      </c>
    </row>
    <row r="145">
      <c r="A145" s="48">
        <v>0.48819444444444443</v>
      </c>
      <c r="B145" s="61" t="s">
        <v>1475</v>
      </c>
      <c r="C145" s="57" t="s">
        <v>351</v>
      </c>
      <c r="D145" s="61" t="s">
        <v>1474</v>
      </c>
      <c r="E145" s="11" t="s">
        <v>9</v>
      </c>
    </row>
    <row r="146">
      <c r="A146" s="48">
        <v>0.48819444444444443</v>
      </c>
      <c r="B146" s="61" t="s">
        <v>1221</v>
      </c>
      <c r="C146" s="57" t="s">
        <v>37</v>
      </c>
      <c r="D146" s="61" t="s">
        <v>1476</v>
      </c>
      <c r="E146" s="11" t="s">
        <v>13</v>
      </c>
    </row>
    <row r="147">
      <c r="A147" s="48">
        <v>0.4986111111111111</v>
      </c>
      <c r="B147" s="61" t="s">
        <v>1475</v>
      </c>
      <c r="C147" s="45" t="s">
        <v>208</v>
      </c>
      <c r="D147" s="61" t="s">
        <v>1476</v>
      </c>
      <c r="E147" s="11" t="s">
        <v>9</v>
      </c>
    </row>
    <row r="148">
      <c r="A148" s="48">
        <v>0.4986111111111111</v>
      </c>
      <c r="B148" s="61" t="s">
        <v>1221</v>
      </c>
      <c r="C148" s="45" t="s">
        <v>1478</v>
      </c>
      <c r="D148" s="61" t="s">
        <v>1412</v>
      </c>
      <c r="E148" s="11" t="s">
        <v>13</v>
      </c>
    </row>
    <row r="149">
      <c r="A149" s="48">
        <v>0.5083333333333333</v>
      </c>
      <c r="B149" s="61" t="s">
        <v>1476</v>
      </c>
      <c r="C149" s="45" t="s">
        <v>440</v>
      </c>
      <c r="D149" s="61" t="s">
        <v>1412</v>
      </c>
      <c r="E149" s="11" t="s">
        <v>9</v>
      </c>
    </row>
    <row r="150">
      <c r="A150" s="48">
        <v>0.5083333333333333</v>
      </c>
      <c r="B150" s="61" t="s">
        <v>1474</v>
      </c>
      <c r="C150" s="45" t="s">
        <v>301</v>
      </c>
      <c r="D150" s="61" t="s">
        <v>1221</v>
      </c>
      <c r="E150" s="11" t="s">
        <v>13</v>
      </c>
    </row>
    <row r="151">
      <c r="A151" s="48">
        <v>0.51875</v>
      </c>
      <c r="B151" s="61" t="s">
        <v>1475</v>
      </c>
      <c r="C151" s="45" t="s">
        <v>196</v>
      </c>
      <c r="D151" s="61" t="s">
        <v>1412</v>
      </c>
      <c r="E151" s="11" t="s">
        <v>9</v>
      </c>
    </row>
    <row r="152">
      <c r="A152" s="48">
        <v>0.51875</v>
      </c>
      <c r="B152" s="61" t="s">
        <v>1476</v>
      </c>
      <c r="C152" s="45" t="s">
        <v>380</v>
      </c>
      <c r="D152" s="61" t="s">
        <v>1474</v>
      </c>
      <c r="E152" s="11" t="s">
        <v>13</v>
      </c>
    </row>
    <row r="153">
      <c r="A153" s="48">
        <v>0.5291666666666667</v>
      </c>
      <c r="B153" s="61" t="s">
        <v>1475</v>
      </c>
      <c r="C153" s="45" t="s">
        <v>354</v>
      </c>
      <c r="D153" s="61" t="s">
        <v>1221</v>
      </c>
      <c r="E153" s="11" t="s">
        <v>9</v>
      </c>
    </row>
    <row r="154">
      <c r="A154" s="48">
        <v>0.5291666666666667</v>
      </c>
      <c r="B154" s="61" t="s">
        <v>1412</v>
      </c>
      <c r="C154" s="45" t="s">
        <v>557</v>
      </c>
      <c r="D154" s="61" t="s">
        <v>1474</v>
      </c>
      <c r="E154" s="11" t="s">
        <v>13</v>
      </c>
    </row>
    <row r="155">
      <c r="A155" s="51"/>
      <c r="B155" s="1" t="s">
        <v>67</v>
      </c>
      <c r="C155" s="2"/>
      <c r="D155" s="3"/>
      <c r="E155" s="4"/>
    </row>
    <row r="156">
      <c r="A156" s="47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48">
        <v>0.4375</v>
      </c>
      <c r="B157" s="61" t="s">
        <v>1479</v>
      </c>
      <c r="C157" s="57" t="s">
        <v>279</v>
      </c>
      <c r="D157" s="61" t="s">
        <v>1225</v>
      </c>
      <c r="E157" s="11" t="s">
        <v>29</v>
      </c>
    </row>
    <row r="158">
      <c r="A158" s="48">
        <v>0.4375</v>
      </c>
      <c r="B158" s="61" t="s">
        <v>1415</v>
      </c>
      <c r="C158" s="57" t="s">
        <v>165</v>
      </c>
      <c r="D158" s="61" t="s">
        <v>1353</v>
      </c>
      <c r="E158" s="11" t="s">
        <v>33</v>
      </c>
    </row>
    <row r="159">
      <c r="A159" s="48">
        <v>0.44722222222222224</v>
      </c>
      <c r="B159" s="61" t="s">
        <v>1415</v>
      </c>
      <c r="C159" s="57" t="s">
        <v>162</v>
      </c>
      <c r="D159" s="61" t="s">
        <v>1225</v>
      </c>
      <c r="E159" s="11" t="s">
        <v>29</v>
      </c>
    </row>
    <row r="160">
      <c r="A160" s="48">
        <v>0.44722222222222224</v>
      </c>
      <c r="B160" s="61" t="s">
        <v>1295</v>
      </c>
      <c r="C160" s="57" t="s">
        <v>302</v>
      </c>
      <c r="D160" s="61" t="s">
        <v>1353</v>
      </c>
      <c r="E160" s="11" t="s">
        <v>33</v>
      </c>
    </row>
    <row r="161">
      <c r="A161" s="48">
        <v>0.4576388888888889</v>
      </c>
      <c r="B161" s="61" t="s">
        <v>1295</v>
      </c>
      <c r="C161" s="57" t="s">
        <v>162</v>
      </c>
      <c r="D161" s="61" t="s">
        <v>1415</v>
      </c>
      <c r="E161" s="11" t="s">
        <v>29</v>
      </c>
    </row>
    <row r="162">
      <c r="A162" s="48">
        <v>0.4576388888888889</v>
      </c>
      <c r="B162" s="61" t="s">
        <v>1353</v>
      </c>
      <c r="C162" s="57" t="s">
        <v>911</v>
      </c>
      <c r="D162" s="61" t="s">
        <v>1479</v>
      </c>
      <c r="E162" s="11" t="s">
        <v>33</v>
      </c>
    </row>
    <row r="163">
      <c r="A163" s="48">
        <v>0.46805555555555556</v>
      </c>
      <c r="B163" s="61" t="s">
        <v>1295</v>
      </c>
      <c r="C163" s="57" t="s">
        <v>11</v>
      </c>
      <c r="D163" s="61" t="s">
        <v>1225</v>
      </c>
      <c r="E163" s="11" t="s">
        <v>29</v>
      </c>
    </row>
    <row r="164">
      <c r="A164" s="48">
        <v>0.46805555555555556</v>
      </c>
      <c r="B164" s="61" t="s">
        <v>1479</v>
      </c>
      <c r="C164" s="57" t="s">
        <v>210</v>
      </c>
      <c r="D164" s="61" t="s">
        <v>1415</v>
      </c>
      <c r="E164" s="11" t="s">
        <v>33</v>
      </c>
    </row>
    <row r="165">
      <c r="A165" s="48">
        <v>0.4777777777777778</v>
      </c>
      <c r="B165" s="61" t="s">
        <v>1353</v>
      </c>
      <c r="C165" s="57" t="s">
        <v>38</v>
      </c>
      <c r="D165" s="61" t="s">
        <v>1225</v>
      </c>
      <c r="E165" s="11" t="s">
        <v>29</v>
      </c>
    </row>
    <row r="166">
      <c r="A166" s="48">
        <v>0.4777777777777778</v>
      </c>
      <c r="B166" s="61" t="s">
        <v>1479</v>
      </c>
      <c r="C166" s="57" t="s">
        <v>173</v>
      </c>
      <c r="D166" s="61" t="s">
        <v>1295</v>
      </c>
      <c r="E166" s="11" t="s">
        <v>33</v>
      </c>
    </row>
    <row r="167">
      <c r="A167" s="48">
        <v>0.48819444444444443</v>
      </c>
      <c r="B167" s="61" t="s">
        <v>1225</v>
      </c>
      <c r="C167" s="57" t="s">
        <v>209</v>
      </c>
      <c r="D167" s="61" t="s">
        <v>1479</v>
      </c>
      <c r="E167" s="11" t="s">
        <v>29</v>
      </c>
    </row>
    <row r="168">
      <c r="A168" s="48">
        <v>0.48819444444444443</v>
      </c>
      <c r="B168" s="61" t="s">
        <v>1353</v>
      </c>
      <c r="C168" s="57" t="s">
        <v>185</v>
      </c>
      <c r="D168" s="61" t="s">
        <v>1415</v>
      </c>
      <c r="E168" s="11" t="s">
        <v>33</v>
      </c>
    </row>
    <row r="169">
      <c r="A169" s="48">
        <v>0.4986111111111111</v>
      </c>
      <c r="B169" s="61" t="s">
        <v>1225</v>
      </c>
      <c r="C169" s="45" t="s">
        <v>375</v>
      </c>
      <c r="D169" s="61" t="s">
        <v>1415</v>
      </c>
      <c r="E169" s="11" t="s">
        <v>29</v>
      </c>
    </row>
    <row r="170">
      <c r="A170" s="48">
        <v>0.4986111111111111</v>
      </c>
      <c r="B170" s="61" t="s">
        <v>1353</v>
      </c>
      <c r="C170" s="45" t="s">
        <v>193</v>
      </c>
      <c r="D170" s="61" t="s">
        <v>1295</v>
      </c>
      <c r="E170" s="11" t="s">
        <v>33</v>
      </c>
    </row>
    <row r="171">
      <c r="A171" s="48">
        <v>0.5083333333333333</v>
      </c>
      <c r="B171" s="61" t="s">
        <v>1415</v>
      </c>
      <c r="C171" s="45" t="s">
        <v>14</v>
      </c>
      <c r="D171" s="61" t="s">
        <v>1295</v>
      </c>
      <c r="E171" s="11" t="s">
        <v>29</v>
      </c>
    </row>
    <row r="172">
      <c r="A172" s="48">
        <v>0.5083333333333333</v>
      </c>
      <c r="B172" s="61" t="s">
        <v>1479</v>
      </c>
      <c r="C172" s="45" t="s">
        <v>185</v>
      </c>
      <c r="D172" s="61" t="s">
        <v>1353</v>
      </c>
      <c r="E172" s="11" t="s">
        <v>33</v>
      </c>
    </row>
    <row r="173">
      <c r="A173" s="48">
        <v>0.51875</v>
      </c>
      <c r="B173" s="61" t="s">
        <v>1225</v>
      </c>
      <c r="C173" s="45" t="s">
        <v>380</v>
      </c>
      <c r="D173" s="61" t="s">
        <v>1295</v>
      </c>
      <c r="E173" s="11" t="s">
        <v>29</v>
      </c>
    </row>
    <row r="174">
      <c r="A174" s="48">
        <v>0.51875</v>
      </c>
      <c r="B174" s="61" t="s">
        <v>1415</v>
      </c>
      <c r="C174" s="45" t="s">
        <v>292</v>
      </c>
      <c r="D174" s="61" t="s">
        <v>1479</v>
      </c>
      <c r="E174" s="11" t="s">
        <v>33</v>
      </c>
    </row>
    <row r="175">
      <c r="A175" s="48">
        <v>0.5291666666666667</v>
      </c>
      <c r="B175" s="61" t="s">
        <v>1225</v>
      </c>
      <c r="C175" s="45" t="s">
        <v>344</v>
      </c>
      <c r="D175" s="61" t="s">
        <v>1353</v>
      </c>
      <c r="E175" s="11" t="s">
        <v>29</v>
      </c>
    </row>
    <row r="176">
      <c r="A176" s="48">
        <v>0.5291666666666667</v>
      </c>
      <c r="B176" s="61" t="s">
        <v>1295</v>
      </c>
      <c r="C176" s="45" t="s">
        <v>173</v>
      </c>
      <c r="D176" s="61" t="s">
        <v>1479</v>
      </c>
      <c r="E176" s="11" t="s">
        <v>33</v>
      </c>
    </row>
    <row r="177">
      <c r="A177" s="51"/>
      <c r="B177" s="1" t="s">
        <v>78</v>
      </c>
      <c r="C177" s="2"/>
      <c r="D177" s="3"/>
      <c r="E177" s="4"/>
    </row>
    <row r="178">
      <c r="A178" s="47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48">
        <v>0.5416666666666666</v>
      </c>
      <c r="B179" s="61" t="s">
        <v>1480</v>
      </c>
      <c r="C179" s="45" t="s">
        <v>194</v>
      </c>
      <c r="D179" s="61" t="s">
        <v>527</v>
      </c>
      <c r="E179" s="11" t="s">
        <v>9</v>
      </c>
    </row>
    <row r="180">
      <c r="A180" s="48">
        <v>0.5416666666666666</v>
      </c>
      <c r="B180" s="61" t="s">
        <v>1481</v>
      </c>
      <c r="C180" s="45" t="s">
        <v>289</v>
      </c>
      <c r="D180" s="61" t="s">
        <v>1482</v>
      </c>
      <c r="E180" s="11" t="s">
        <v>13</v>
      </c>
    </row>
    <row r="181">
      <c r="A181" s="48">
        <v>0.5513888888888889</v>
      </c>
      <c r="B181" s="61" t="s">
        <v>1481</v>
      </c>
      <c r="C181" s="45" t="s">
        <v>195</v>
      </c>
      <c r="D181" s="61" t="s">
        <v>527</v>
      </c>
      <c r="E181" s="11" t="s">
        <v>9</v>
      </c>
    </row>
    <row r="182">
      <c r="A182" s="48">
        <v>0.5513888888888889</v>
      </c>
      <c r="B182" s="61" t="s">
        <v>411</v>
      </c>
      <c r="C182" s="45" t="s">
        <v>171</v>
      </c>
      <c r="D182" s="61" t="s">
        <v>1482</v>
      </c>
      <c r="E182" s="11" t="s">
        <v>13</v>
      </c>
    </row>
    <row r="183">
      <c r="A183" s="48">
        <v>0.5618055555555556</v>
      </c>
      <c r="B183" s="61" t="s">
        <v>411</v>
      </c>
      <c r="C183" s="45" t="s">
        <v>27</v>
      </c>
      <c r="D183" s="61" t="s">
        <v>1481</v>
      </c>
      <c r="E183" s="11" t="s">
        <v>9</v>
      </c>
    </row>
    <row r="184">
      <c r="A184" s="48">
        <v>0.5618055555555556</v>
      </c>
      <c r="B184" s="61" t="s">
        <v>1482</v>
      </c>
      <c r="C184" s="45" t="s">
        <v>162</v>
      </c>
      <c r="D184" s="61" t="s">
        <v>1480</v>
      </c>
      <c r="E184" s="11" t="s">
        <v>13</v>
      </c>
    </row>
    <row r="185">
      <c r="A185" s="48">
        <v>0.5722222222222222</v>
      </c>
      <c r="B185" s="61" t="s">
        <v>411</v>
      </c>
      <c r="C185" s="45" t="s">
        <v>250</v>
      </c>
      <c r="D185" s="61" t="s">
        <v>527</v>
      </c>
      <c r="E185" s="11" t="s">
        <v>9</v>
      </c>
    </row>
    <row r="186">
      <c r="A186" s="48">
        <v>0.5722222222222222</v>
      </c>
      <c r="B186" s="61" t="s">
        <v>1480</v>
      </c>
      <c r="C186" s="45" t="s">
        <v>38</v>
      </c>
      <c r="D186" s="61" t="s">
        <v>1481</v>
      </c>
      <c r="E186" s="11" t="s">
        <v>13</v>
      </c>
    </row>
    <row r="187">
      <c r="A187" s="48">
        <v>0.5819444444444445</v>
      </c>
      <c r="B187" s="61" t="s">
        <v>1482</v>
      </c>
      <c r="C187" s="45" t="s">
        <v>177</v>
      </c>
      <c r="D187" s="61" t="s">
        <v>527</v>
      </c>
      <c r="E187" s="11" t="s">
        <v>9</v>
      </c>
    </row>
    <row r="188">
      <c r="A188" s="48">
        <v>0.5819444444444445</v>
      </c>
      <c r="B188" s="61" t="s">
        <v>1480</v>
      </c>
      <c r="C188" s="45" t="s">
        <v>335</v>
      </c>
      <c r="D188" s="61" t="s">
        <v>411</v>
      </c>
      <c r="E188" s="11" t="s">
        <v>13</v>
      </c>
    </row>
    <row r="189">
      <c r="A189" s="48">
        <v>0.5923611111111111</v>
      </c>
      <c r="B189" s="61" t="s">
        <v>527</v>
      </c>
      <c r="C189" s="45" t="s">
        <v>16</v>
      </c>
      <c r="D189" s="61" t="s">
        <v>1480</v>
      </c>
      <c r="E189" s="11" t="s">
        <v>9</v>
      </c>
    </row>
    <row r="190">
      <c r="A190" s="48">
        <v>0.5923611111111111</v>
      </c>
      <c r="B190" s="61" t="s">
        <v>1482</v>
      </c>
      <c r="C190" s="45" t="s">
        <v>185</v>
      </c>
      <c r="D190" s="61" t="s">
        <v>1481</v>
      </c>
      <c r="E190" s="11" t="s">
        <v>13</v>
      </c>
    </row>
    <row r="191">
      <c r="A191" s="48">
        <v>0.6027777777777777</v>
      </c>
      <c r="B191" s="61" t="s">
        <v>527</v>
      </c>
      <c r="C191" s="45" t="s">
        <v>327</v>
      </c>
      <c r="D191" s="61" t="s">
        <v>1481</v>
      </c>
      <c r="E191" s="11" t="s">
        <v>9</v>
      </c>
    </row>
    <row r="192">
      <c r="A192" s="48">
        <v>0.6027777777777777</v>
      </c>
      <c r="B192" s="61" t="s">
        <v>1482</v>
      </c>
      <c r="C192" s="45" t="s">
        <v>194</v>
      </c>
      <c r="D192" s="61" t="s">
        <v>411</v>
      </c>
      <c r="E192" s="11" t="s">
        <v>13</v>
      </c>
    </row>
    <row r="193">
      <c r="A193" s="48">
        <v>0.6125</v>
      </c>
      <c r="B193" s="61" t="s">
        <v>1481</v>
      </c>
      <c r="C193" s="45" t="s">
        <v>744</v>
      </c>
      <c r="D193" s="61" t="s">
        <v>411</v>
      </c>
      <c r="E193" s="11" t="s">
        <v>9</v>
      </c>
    </row>
    <row r="194">
      <c r="A194" s="48">
        <v>0.6125</v>
      </c>
      <c r="B194" s="61" t="s">
        <v>1480</v>
      </c>
      <c r="C194" s="45" t="s">
        <v>344</v>
      </c>
      <c r="D194" s="61" t="s">
        <v>1482</v>
      </c>
      <c r="E194" s="11" t="s">
        <v>13</v>
      </c>
    </row>
    <row r="195">
      <c r="A195" s="48">
        <v>0.6229166666666667</v>
      </c>
      <c r="B195" s="61" t="s">
        <v>527</v>
      </c>
      <c r="C195" s="45" t="s">
        <v>426</v>
      </c>
      <c r="D195" s="61" t="s">
        <v>411</v>
      </c>
      <c r="E195" s="11" t="s">
        <v>9</v>
      </c>
    </row>
    <row r="196">
      <c r="A196" s="48">
        <v>0.6229166666666667</v>
      </c>
      <c r="B196" s="61" t="s">
        <v>1481</v>
      </c>
      <c r="C196" s="45" t="s">
        <v>1483</v>
      </c>
      <c r="D196" s="61" t="s">
        <v>1480</v>
      </c>
      <c r="E196" s="11" t="s">
        <v>13</v>
      </c>
    </row>
    <row r="197">
      <c r="A197" s="48">
        <v>0.6333333333333333</v>
      </c>
      <c r="B197" s="61" t="s">
        <v>527</v>
      </c>
      <c r="C197" s="45" t="s">
        <v>17</v>
      </c>
      <c r="D197" s="61" t="s">
        <v>1482</v>
      </c>
      <c r="E197" s="11" t="s">
        <v>9</v>
      </c>
    </row>
    <row r="198">
      <c r="A198" s="48">
        <v>0.6333333333333333</v>
      </c>
      <c r="B198" s="61" t="s">
        <v>411</v>
      </c>
      <c r="C198" s="45" t="s">
        <v>570</v>
      </c>
      <c r="D198" s="61" t="s">
        <v>1480</v>
      </c>
      <c r="E198" s="11" t="s">
        <v>13</v>
      </c>
    </row>
    <row r="199">
      <c r="A199" s="51"/>
      <c r="B199" s="1" t="s">
        <v>78</v>
      </c>
      <c r="C199" s="2"/>
      <c r="D199" s="3"/>
      <c r="E199" s="4"/>
    </row>
    <row r="200">
      <c r="A200" s="47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48">
        <v>0.6458333333333334</v>
      </c>
      <c r="B201" s="61" t="s">
        <v>1359</v>
      </c>
      <c r="C201" s="57" t="s">
        <v>220</v>
      </c>
      <c r="D201" s="61" t="s">
        <v>1484</v>
      </c>
      <c r="E201" s="11" t="s">
        <v>29</v>
      </c>
    </row>
    <row r="202">
      <c r="A202" s="48">
        <v>0.6458333333333334</v>
      </c>
      <c r="B202" s="61" t="s">
        <v>1485</v>
      </c>
      <c r="C202" s="57" t="s">
        <v>301</v>
      </c>
      <c r="D202" s="61" t="s">
        <v>1486</v>
      </c>
      <c r="E202" s="11" t="s">
        <v>33</v>
      </c>
    </row>
    <row r="203">
      <c r="A203" s="48">
        <v>0.6555555555555556</v>
      </c>
      <c r="B203" s="61" t="s">
        <v>1485</v>
      </c>
      <c r="C203" s="57" t="s">
        <v>281</v>
      </c>
      <c r="D203" s="61" t="s">
        <v>1484</v>
      </c>
      <c r="E203" s="11" t="s">
        <v>29</v>
      </c>
    </row>
    <row r="204">
      <c r="A204" s="48">
        <v>0.6555555555555556</v>
      </c>
      <c r="B204" s="61" t="s">
        <v>66</v>
      </c>
      <c r="C204" s="57" t="s">
        <v>17</v>
      </c>
      <c r="D204" s="61" t="s">
        <v>1486</v>
      </c>
      <c r="E204" s="11" t="s">
        <v>33</v>
      </c>
    </row>
    <row r="205">
      <c r="A205" s="48">
        <v>0.6659722222222222</v>
      </c>
      <c r="B205" s="61" t="s">
        <v>66</v>
      </c>
      <c r="C205" s="57" t="s">
        <v>248</v>
      </c>
      <c r="D205" s="61" t="s">
        <v>1485</v>
      </c>
      <c r="E205" s="11" t="s">
        <v>29</v>
      </c>
    </row>
    <row r="206">
      <c r="A206" s="48">
        <v>0.6659722222222222</v>
      </c>
      <c r="B206" s="61" t="s">
        <v>1486</v>
      </c>
      <c r="C206" s="57" t="s">
        <v>433</v>
      </c>
      <c r="D206" s="61" t="s">
        <v>1359</v>
      </c>
      <c r="E206" s="11" t="s">
        <v>33</v>
      </c>
    </row>
    <row r="207">
      <c r="A207" s="48">
        <v>0.6763888888888889</v>
      </c>
      <c r="B207" s="61" t="s">
        <v>66</v>
      </c>
      <c r="C207" s="57" t="s">
        <v>177</v>
      </c>
      <c r="D207" s="61" t="s">
        <v>1484</v>
      </c>
      <c r="E207" s="11" t="s">
        <v>29</v>
      </c>
    </row>
    <row r="208">
      <c r="A208" s="48">
        <v>0.6763888888888889</v>
      </c>
      <c r="B208" s="61" t="s">
        <v>1359</v>
      </c>
      <c r="C208" s="57" t="s">
        <v>155</v>
      </c>
      <c r="D208" s="61" t="s">
        <v>1485</v>
      </c>
      <c r="E208" s="11" t="s">
        <v>33</v>
      </c>
    </row>
    <row r="209">
      <c r="A209" s="48">
        <v>0.6861111111111111</v>
      </c>
      <c r="B209" s="61" t="s">
        <v>1486</v>
      </c>
      <c r="C209" s="57" t="s">
        <v>233</v>
      </c>
      <c r="D209" s="61" t="s">
        <v>1484</v>
      </c>
      <c r="E209" s="11" t="s">
        <v>29</v>
      </c>
    </row>
    <row r="210">
      <c r="A210" s="48">
        <v>0.6861111111111111</v>
      </c>
      <c r="B210" s="61" t="s">
        <v>1359</v>
      </c>
      <c r="C210" s="57" t="s">
        <v>19</v>
      </c>
      <c r="D210" s="61" t="s">
        <v>66</v>
      </c>
      <c r="E210" s="11" t="s">
        <v>33</v>
      </c>
    </row>
    <row r="211">
      <c r="A211" s="48">
        <v>0.6965277777777777</v>
      </c>
      <c r="B211" s="61" t="s">
        <v>1484</v>
      </c>
      <c r="C211" s="57" t="s">
        <v>24</v>
      </c>
      <c r="D211" s="61" t="s">
        <v>1359</v>
      </c>
      <c r="E211" s="11" t="s">
        <v>29</v>
      </c>
    </row>
    <row r="212">
      <c r="A212" s="48">
        <v>0.6965277777777777</v>
      </c>
      <c r="B212" s="61" t="s">
        <v>1486</v>
      </c>
      <c r="C212" s="57" t="s">
        <v>222</v>
      </c>
      <c r="D212" s="61" t="s">
        <v>1485</v>
      </c>
      <c r="E212" s="11" t="s">
        <v>33</v>
      </c>
    </row>
    <row r="213">
      <c r="A213" s="48">
        <v>0.7069444444444445</v>
      </c>
      <c r="B213" s="61" t="s">
        <v>1484</v>
      </c>
      <c r="C213" s="45" t="s">
        <v>351</v>
      </c>
      <c r="D213" s="61" t="s">
        <v>1485</v>
      </c>
      <c r="E213" s="11" t="s">
        <v>29</v>
      </c>
    </row>
    <row r="214">
      <c r="A214" s="48">
        <v>0.7069444444444445</v>
      </c>
      <c r="B214" s="61" t="s">
        <v>1486</v>
      </c>
      <c r="C214" s="45" t="s">
        <v>162</v>
      </c>
      <c r="D214" s="61" t="s">
        <v>66</v>
      </c>
      <c r="E214" s="11" t="s">
        <v>33</v>
      </c>
    </row>
    <row r="215">
      <c r="A215" s="48">
        <v>0.7166666666666667</v>
      </c>
      <c r="B215" s="61" t="s">
        <v>1485</v>
      </c>
      <c r="C215" s="45" t="s">
        <v>251</v>
      </c>
      <c r="D215" s="61" t="s">
        <v>66</v>
      </c>
      <c r="E215" s="11" t="s">
        <v>29</v>
      </c>
    </row>
    <row r="216">
      <c r="A216" s="48">
        <v>0.7166666666666667</v>
      </c>
      <c r="B216" s="61" t="s">
        <v>1359</v>
      </c>
      <c r="C216" s="45" t="s">
        <v>155</v>
      </c>
      <c r="D216" s="61" t="s">
        <v>1486</v>
      </c>
      <c r="E216" s="11" t="s">
        <v>33</v>
      </c>
    </row>
    <row r="217">
      <c r="A217" s="48">
        <v>0.7270833333333333</v>
      </c>
      <c r="B217" s="61" t="s">
        <v>1484</v>
      </c>
      <c r="C217" s="45" t="s">
        <v>256</v>
      </c>
      <c r="D217" s="61" t="s">
        <v>66</v>
      </c>
      <c r="E217" s="11" t="s">
        <v>29</v>
      </c>
    </row>
    <row r="218">
      <c r="A218" s="48">
        <v>0.7270833333333333</v>
      </c>
      <c r="B218" s="61" t="s">
        <v>1485</v>
      </c>
      <c r="C218" s="45" t="s">
        <v>18</v>
      </c>
      <c r="D218" s="61" t="s">
        <v>1359</v>
      </c>
      <c r="E218" s="11" t="s">
        <v>33</v>
      </c>
    </row>
    <row r="219">
      <c r="A219" s="48">
        <v>0.7375</v>
      </c>
      <c r="B219" s="61" t="s">
        <v>1484</v>
      </c>
      <c r="C219" s="45" t="s">
        <v>34</v>
      </c>
      <c r="D219" s="61" t="s">
        <v>1486</v>
      </c>
      <c r="E219" s="11" t="s">
        <v>29</v>
      </c>
    </row>
    <row r="220">
      <c r="A220" s="48">
        <v>0.7375</v>
      </c>
      <c r="B220" s="61" t="s">
        <v>66</v>
      </c>
      <c r="C220" s="45" t="s">
        <v>19</v>
      </c>
      <c r="D220" s="61" t="s">
        <v>1359</v>
      </c>
      <c r="E220" s="11" t="s">
        <v>33</v>
      </c>
    </row>
    <row r="221">
      <c r="A221" s="51"/>
      <c r="B221" s="52" t="s">
        <v>89</v>
      </c>
      <c r="C221" s="2"/>
      <c r="D221" s="3"/>
      <c r="E221" s="53"/>
    </row>
    <row r="222">
      <c r="A222" s="47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48">
        <v>0.6458333333333334</v>
      </c>
      <c r="B223" s="62" t="s">
        <v>1487</v>
      </c>
      <c r="C223" s="57" t="s">
        <v>977</v>
      </c>
      <c r="D223" s="62" t="s">
        <v>1488</v>
      </c>
      <c r="E223" s="11" t="s">
        <v>9</v>
      </c>
    </row>
    <row r="224">
      <c r="A224" s="48">
        <v>0.6458333333333334</v>
      </c>
      <c r="B224" s="62" t="s">
        <v>1489</v>
      </c>
      <c r="C224" s="57" t="s">
        <v>16</v>
      </c>
      <c r="D224" s="62" t="s">
        <v>1032</v>
      </c>
      <c r="E224" s="11" t="s">
        <v>13</v>
      </c>
    </row>
    <row r="225">
      <c r="A225" s="48">
        <v>0.6555555555555556</v>
      </c>
      <c r="B225" s="62" t="s">
        <v>1489</v>
      </c>
      <c r="C225" s="57" t="s">
        <v>155</v>
      </c>
      <c r="D225" s="62" t="s">
        <v>1488</v>
      </c>
      <c r="E225" s="11" t="s">
        <v>9</v>
      </c>
    </row>
    <row r="226">
      <c r="A226" s="48">
        <v>0.6555555555555556</v>
      </c>
      <c r="B226" s="62" t="s">
        <v>950</v>
      </c>
      <c r="C226" s="57" t="s">
        <v>196</v>
      </c>
      <c r="D226" s="62" t="s">
        <v>1032</v>
      </c>
      <c r="E226" s="11" t="s">
        <v>13</v>
      </c>
    </row>
    <row r="227">
      <c r="A227" s="48">
        <v>0.6659722222222222</v>
      </c>
      <c r="B227" s="62" t="s">
        <v>950</v>
      </c>
      <c r="C227" s="57" t="s">
        <v>18</v>
      </c>
      <c r="D227" s="62" t="s">
        <v>1489</v>
      </c>
      <c r="E227" s="11" t="s">
        <v>9</v>
      </c>
    </row>
    <row r="228">
      <c r="A228" s="48">
        <v>0.6659722222222222</v>
      </c>
      <c r="B228" s="62" t="s">
        <v>1032</v>
      </c>
      <c r="C228" s="57" t="s">
        <v>14</v>
      </c>
      <c r="D228" s="62" t="s">
        <v>1487</v>
      </c>
      <c r="E228" s="11" t="s">
        <v>13</v>
      </c>
    </row>
    <row r="229">
      <c r="A229" s="48">
        <v>0.6763888888888889</v>
      </c>
      <c r="B229" s="62" t="s">
        <v>950</v>
      </c>
      <c r="C229" s="57" t="s">
        <v>344</v>
      </c>
      <c r="D229" s="62" t="s">
        <v>1488</v>
      </c>
      <c r="E229" s="11" t="s">
        <v>9</v>
      </c>
    </row>
    <row r="230">
      <c r="A230" s="48">
        <v>0.6763888888888889</v>
      </c>
      <c r="B230" s="62" t="s">
        <v>1487</v>
      </c>
      <c r="C230" s="57" t="s">
        <v>158</v>
      </c>
      <c r="D230" s="62" t="s">
        <v>1489</v>
      </c>
      <c r="E230" s="11" t="s">
        <v>13</v>
      </c>
    </row>
    <row r="231">
      <c r="A231" s="48">
        <v>0.6861111111111111</v>
      </c>
      <c r="B231" s="62" t="s">
        <v>1032</v>
      </c>
      <c r="C231" s="57" t="s">
        <v>162</v>
      </c>
      <c r="D231" s="62" t="s">
        <v>1488</v>
      </c>
      <c r="E231" s="11" t="s">
        <v>9</v>
      </c>
    </row>
    <row r="232">
      <c r="A232" s="48">
        <v>0.6861111111111111</v>
      </c>
      <c r="B232" s="62" t="s">
        <v>1487</v>
      </c>
      <c r="C232" s="57" t="s">
        <v>186</v>
      </c>
      <c r="D232" s="62" t="s">
        <v>950</v>
      </c>
      <c r="E232" s="11" t="s">
        <v>13</v>
      </c>
    </row>
    <row r="233">
      <c r="A233" s="48">
        <v>0.6965277777777777</v>
      </c>
      <c r="B233" s="62" t="s">
        <v>1488</v>
      </c>
      <c r="C233" s="57" t="s">
        <v>280</v>
      </c>
      <c r="D233" s="62" t="s">
        <v>1487</v>
      </c>
      <c r="E233" s="11" t="s">
        <v>9</v>
      </c>
    </row>
    <row r="234">
      <c r="A234" s="48">
        <v>0.6965277777777777</v>
      </c>
      <c r="B234" s="62" t="s">
        <v>1032</v>
      </c>
      <c r="C234" s="57" t="s">
        <v>18</v>
      </c>
      <c r="D234" s="62" t="s">
        <v>1489</v>
      </c>
      <c r="E234" s="11" t="s">
        <v>13</v>
      </c>
    </row>
    <row r="235">
      <c r="A235" s="48">
        <v>0.7069444444444445</v>
      </c>
      <c r="B235" s="62" t="s">
        <v>1488</v>
      </c>
      <c r="C235" s="45" t="s">
        <v>18</v>
      </c>
      <c r="D235" s="62" t="s">
        <v>1489</v>
      </c>
      <c r="E235" s="11" t="s">
        <v>9</v>
      </c>
    </row>
    <row r="236">
      <c r="A236" s="48">
        <v>0.7069444444444445</v>
      </c>
      <c r="B236" s="62" t="s">
        <v>1032</v>
      </c>
      <c r="C236" s="45" t="s">
        <v>549</v>
      </c>
      <c r="D236" s="62" t="s">
        <v>950</v>
      </c>
      <c r="E236" s="11" t="s">
        <v>13</v>
      </c>
    </row>
    <row r="237">
      <c r="A237" s="48">
        <v>0.7166666666666667</v>
      </c>
      <c r="B237" s="62" t="s">
        <v>1489</v>
      </c>
      <c r="C237" s="64" t="s">
        <v>357</v>
      </c>
      <c r="D237" s="62" t="s">
        <v>950</v>
      </c>
      <c r="E237" s="11" t="s">
        <v>9</v>
      </c>
    </row>
    <row r="238">
      <c r="A238" s="48">
        <v>0.7166666666666667</v>
      </c>
      <c r="B238" s="62" t="s">
        <v>1487</v>
      </c>
      <c r="C238" s="45" t="s">
        <v>173</v>
      </c>
      <c r="D238" s="62" t="s">
        <v>1032</v>
      </c>
      <c r="E238" s="11" t="s">
        <v>13</v>
      </c>
    </row>
    <row r="239">
      <c r="A239" s="48">
        <v>0.7270833333333333</v>
      </c>
      <c r="B239" s="62" t="s">
        <v>1488</v>
      </c>
      <c r="C239" s="64" t="s">
        <v>344</v>
      </c>
      <c r="D239" s="62" t="s">
        <v>950</v>
      </c>
      <c r="E239" s="11" t="s">
        <v>9</v>
      </c>
    </row>
    <row r="240">
      <c r="A240" s="48">
        <v>0.7270833333333333</v>
      </c>
      <c r="B240" s="62" t="s">
        <v>1489</v>
      </c>
      <c r="C240" s="64" t="s">
        <v>376</v>
      </c>
      <c r="D240" s="62" t="s">
        <v>1487</v>
      </c>
      <c r="E240" s="11" t="s">
        <v>13</v>
      </c>
    </row>
    <row r="241">
      <c r="A241" s="48">
        <v>0.7375</v>
      </c>
      <c r="B241" s="62" t="s">
        <v>1488</v>
      </c>
      <c r="C241" s="45" t="s">
        <v>281</v>
      </c>
      <c r="D241" s="62" t="s">
        <v>1032</v>
      </c>
      <c r="E241" s="11" t="s">
        <v>9</v>
      </c>
    </row>
    <row r="242">
      <c r="A242" s="48">
        <v>0.7375</v>
      </c>
      <c r="B242" s="62" t="s">
        <v>950</v>
      </c>
      <c r="C242" s="45" t="s">
        <v>1335</v>
      </c>
      <c r="D242" s="62" t="s">
        <v>1487</v>
      </c>
      <c r="E242" s="11" t="s">
        <v>13</v>
      </c>
    </row>
    <row r="243">
      <c r="A243" s="51"/>
      <c r="B243" s="52" t="s">
        <v>89</v>
      </c>
      <c r="C243" s="2"/>
      <c r="D243" s="3"/>
      <c r="E243" s="53"/>
    </row>
    <row r="244">
      <c r="A244" s="47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48">
        <v>0.6458333333333334</v>
      </c>
      <c r="B245" s="62" t="s">
        <v>1490</v>
      </c>
      <c r="C245" s="45" t="s">
        <v>194</v>
      </c>
      <c r="D245" s="62" t="s">
        <v>1303</v>
      </c>
      <c r="E245" s="11" t="s">
        <v>29</v>
      </c>
    </row>
    <row r="246">
      <c r="A246" s="48">
        <v>0.6458333333333334</v>
      </c>
      <c r="B246" s="62" t="s">
        <v>1491</v>
      </c>
      <c r="C246" s="45" t="s">
        <v>289</v>
      </c>
      <c r="D246" s="62" t="s">
        <v>1492</v>
      </c>
      <c r="E246" s="11" t="s">
        <v>33</v>
      </c>
    </row>
    <row r="247">
      <c r="A247" s="48">
        <v>0.6555555555555556</v>
      </c>
      <c r="B247" s="62" t="s">
        <v>1491</v>
      </c>
      <c r="C247" s="45" t="s">
        <v>354</v>
      </c>
      <c r="D247" s="62" t="s">
        <v>1303</v>
      </c>
      <c r="E247" s="11" t="s">
        <v>29</v>
      </c>
    </row>
    <row r="248">
      <c r="A248" s="48">
        <v>0.6555555555555556</v>
      </c>
      <c r="B248" s="62" t="s">
        <v>1493</v>
      </c>
      <c r="C248" s="45" t="s">
        <v>41</v>
      </c>
      <c r="D248" s="62" t="s">
        <v>1492</v>
      </c>
      <c r="E248" s="11" t="s">
        <v>33</v>
      </c>
    </row>
    <row r="249">
      <c r="A249" s="48">
        <v>0.6659722222222222</v>
      </c>
      <c r="B249" s="62" t="s">
        <v>1493</v>
      </c>
      <c r="C249" s="45" t="s">
        <v>14</v>
      </c>
      <c r="D249" s="62" t="s">
        <v>1491</v>
      </c>
      <c r="E249" s="11" t="s">
        <v>29</v>
      </c>
    </row>
    <row r="250">
      <c r="A250" s="48">
        <v>0.6659722222222222</v>
      </c>
      <c r="B250" s="62" t="s">
        <v>1492</v>
      </c>
      <c r="C250" s="45" t="s">
        <v>1494</v>
      </c>
      <c r="D250" s="62" t="s">
        <v>1490</v>
      </c>
      <c r="E250" s="11" t="s">
        <v>33</v>
      </c>
    </row>
    <row r="251">
      <c r="A251" s="48">
        <v>0.6763888888888889</v>
      </c>
      <c r="B251" s="62" t="s">
        <v>1493</v>
      </c>
      <c r="C251" s="45" t="s">
        <v>38</v>
      </c>
      <c r="D251" s="62" t="s">
        <v>1303</v>
      </c>
      <c r="E251" s="11" t="s">
        <v>29</v>
      </c>
    </row>
    <row r="252">
      <c r="A252" s="48">
        <v>0.6763888888888889</v>
      </c>
      <c r="B252" s="62" t="s">
        <v>1490</v>
      </c>
      <c r="C252" s="45" t="s">
        <v>19</v>
      </c>
      <c r="D252" s="62" t="s">
        <v>1491</v>
      </c>
      <c r="E252" s="11" t="s">
        <v>33</v>
      </c>
    </row>
    <row r="253">
      <c r="A253" s="48">
        <v>0.6861111111111111</v>
      </c>
      <c r="B253" s="62" t="s">
        <v>1492</v>
      </c>
      <c r="C253" s="45" t="s">
        <v>181</v>
      </c>
      <c r="D253" s="62" t="s">
        <v>1303</v>
      </c>
      <c r="E253" s="11" t="s">
        <v>29</v>
      </c>
    </row>
    <row r="254">
      <c r="A254" s="48">
        <v>0.6861111111111111</v>
      </c>
      <c r="B254" s="62" t="s">
        <v>1490</v>
      </c>
      <c r="C254" s="45" t="s">
        <v>237</v>
      </c>
      <c r="D254" s="62" t="s">
        <v>1493</v>
      </c>
      <c r="E254" s="11" t="s">
        <v>33</v>
      </c>
    </row>
    <row r="255">
      <c r="A255" s="48">
        <v>0.6965277777777777</v>
      </c>
      <c r="B255" s="62" t="s">
        <v>1303</v>
      </c>
      <c r="C255" s="45" t="s">
        <v>517</v>
      </c>
      <c r="D255" s="62" t="s">
        <v>1490</v>
      </c>
      <c r="E255" s="11" t="s">
        <v>29</v>
      </c>
    </row>
    <row r="256">
      <c r="A256" s="48">
        <v>0.6965277777777777</v>
      </c>
      <c r="B256" s="62" t="s">
        <v>1492</v>
      </c>
      <c r="C256" s="45" t="s">
        <v>301</v>
      </c>
      <c r="D256" s="62" t="s">
        <v>1491</v>
      </c>
      <c r="E256" s="11" t="s">
        <v>33</v>
      </c>
    </row>
    <row r="257">
      <c r="A257" s="48">
        <v>0.7069444444444445</v>
      </c>
      <c r="B257" s="62" t="s">
        <v>1303</v>
      </c>
      <c r="C257" s="45" t="s">
        <v>193</v>
      </c>
      <c r="D257" s="62" t="s">
        <v>1491</v>
      </c>
      <c r="E257" s="11" t="s">
        <v>29</v>
      </c>
    </row>
    <row r="258">
      <c r="A258" s="48">
        <v>0.7069444444444445</v>
      </c>
      <c r="B258" s="62" t="s">
        <v>1492</v>
      </c>
      <c r="C258" s="45" t="s">
        <v>42</v>
      </c>
      <c r="D258" s="62" t="s">
        <v>1493</v>
      </c>
      <c r="E258" s="11" t="s">
        <v>33</v>
      </c>
    </row>
    <row r="259">
      <c r="A259" s="48">
        <v>0.7166666666666667</v>
      </c>
      <c r="B259" s="62" t="s">
        <v>1491</v>
      </c>
      <c r="C259" s="45" t="s">
        <v>302</v>
      </c>
      <c r="D259" s="62" t="s">
        <v>1493</v>
      </c>
      <c r="E259" s="11" t="s">
        <v>29</v>
      </c>
    </row>
    <row r="260">
      <c r="A260" s="48">
        <v>0.7166666666666667</v>
      </c>
      <c r="B260" s="62" t="s">
        <v>1490</v>
      </c>
      <c r="C260" s="45" t="s">
        <v>17</v>
      </c>
      <c r="D260" s="62" t="s">
        <v>1492</v>
      </c>
      <c r="E260" s="11" t="s">
        <v>33</v>
      </c>
    </row>
    <row r="261">
      <c r="A261" s="48">
        <v>0.7270833333333333</v>
      </c>
      <c r="B261" s="62" t="s">
        <v>1303</v>
      </c>
      <c r="C261" s="45" t="s">
        <v>20</v>
      </c>
      <c r="D261" s="62" t="s">
        <v>1493</v>
      </c>
      <c r="E261" s="11" t="s">
        <v>29</v>
      </c>
    </row>
    <row r="262">
      <c r="A262" s="48">
        <v>0.7270833333333333</v>
      </c>
      <c r="B262" s="62" t="s">
        <v>1491</v>
      </c>
      <c r="C262" s="45" t="s">
        <v>1495</v>
      </c>
      <c r="D262" s="62" t="s">
        <v>1490</v>
      </c>
      <c r="E262" s="11" t="s">
        <v>33</v>
      </c>
    </row>
    <row r="263">
      <c r="A263" s="48">
        <v>0.7375</v>
      </c>
      <c r="B263" s="62" t="s">
        <v>1303</v>
      </c>
      <c r="C263" s="45" t="s">
        <v>23</v>
      </c>
      <c r="D263" s="62" t="s">
        <v>1492</v>
      </c>
      <c r="E263" s="11" t="s">
        <v>29</v>
      </c>
    </row>
    <row r="264">
      <c r="A264" s="48">
        <v>0.7375</v>
      </c>
      <c r="B264" s="62" t="s">
        <v>1493</v>
      </c>
      <c r="C264" s="45" t="s">
        <v>177</v>
      </c>
      <c r="D264" s="62" t="s">
        <v>1490</v>
      </c>
      <c r="E264" s="11" t="s">
        <v>33</v>
      </c>
    </row>
    <row r="265">
      <c r="A265" s="51"/>
      <c r="B265" s="52" t="s">
        <v>100</v>
      </c>
      <c r="C265" s="2"/>
      <c r="D265" s="3"/>
      <c r="E265" s="53"/>
    </row>
    <row r="266">
      <c r="A266" s="47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48">
        <v>0.75</v>
      </c>
      <c r="B267" s="62" t="s">
        <v>1496</v>
      </c>
      <c r="C267" s="45" t="s">
        <v>209</v>
      </c>
      <c r="D267" s="62" t="s">
        <v>1497</v>
      </c>
      <c r="E267" s="11" t="s">
        <v>9</v>
      </c>
    </row>
    <row r="268">
      <c r="A268" s="48">
        <v>0.75</v>
      </c>
      <c r="B268" s="62" t="s">
        <v>1435</v>
      </c>
      <c r="C268" s="45" t="s">
        <v>166</v>
      </c>
      <c r="D268" s="62" t="s">
        <v>1370</v>
      </c>
      <c r="E268" s="11" t="s">
        <v>13</v>
      </c>
    </row>
    <row r="269">
      <c r="A269" s="48">
        <v>0.7597222222222222</v>
      </c>
      <c r="B269" s="62" t="s">
        <v>1435</v>
      </c>
      <c r="C269" s="45" t="s">
        <v>155</v>
      </c>
      <c r="D269" s="62" t="s">
        <v>1497</v>
      </c>
      <c r="E269" s="11" t="s">
        <v>9</v>
      </c>
    </row>
    <row r="270">
      <c r="A270" s="48">
        <v>0.7597222222222222</v>
      </c>
      <c r="B270" s="62" t="s">
        <v>438</v>
      </c>
      <c r="C270" s="45" t="s">
        <v>327</v>
      </c>
      <c r="D270" s="62" t="s">
        <v>1370</v>
      </c>
      <c r="E270" s="11" t="s">
        <v>13</v>
      </c>
    </row>
    <row r="271">
      <c r="A271" s="48">
        <v>0.7701388888888889</v>
      </c>
      <c r="B271" s="62" t="s">
        <v>438</v>
      </c>
      <c r="C271" s="45" t="s">
        <v>1015</v>
      </c>
      <c r="D271" s="62" t="s">
        <v>1435</v>
      </c>
      <c r="E271" s="11" t="s">
        <v>9</v>
      </c>
    </row>
    <row r="272">
      <c r="A272" s="48">
        <v>0.7701388888888889</v>
      </c>
      <c r="B272" s="62" t="s">
        <v>1370</v>
      </c>
      <c r="C272" s="45" t="s">
        <v>185</v>
      </c>
      <c r="D272" s="62" t="s">
        <v>1496</v>
      </c>
      <c r="E272" s="11" t="s">
        <v>13</v>
      </c>
    </row>
    <row r="273">
      <c r="A273" s="48">
        <v>0.7805555555555556</v>
      </c>
      <c r="B273" s="62" t="s">
        <v>438</v>
      </c>
      <c r="C273" s="45" t="s">
        <v>162</v>
      </c>
      <c r="D273" s="62" t="s">
        <v>1497</v>
      </c>
      <c r="E273" s="11" t="s">
        <v>9</v>
      </c>
    </row>
    <row r="274">
      <c r="A274" s="48">
        <v>0.7805555555555556</v>
      </c>
      <c r="B274" s="62" t="s">
        <v>1496</v>
      </c>
      <c r="C274" s="45" t="s">
        <v>290</v>
      </c>
      <c r="D274" s="62" t="s">
        <v>1435</v>
      </c>
      <c r="E274" s="11" t="s">
        <v>13</v>
      </c>
    </row>
    <row r="275">
      <c r="A275" s="48">
        <v>0.7902777777777777</v>
      </c>
      <c r="B275" s="62" t="s">
        <v>1370</v>
      </c>
      <c r="C275" s="45" t="s">
        <v>36</v>
      </c>
      <c r="D275" s="62" t="s">
        <v>1497</v>
      </c>
      <c r="E275" s="11" t="s">
        <v>9</v>
      </c>
    </row>
    <row r="276">
      <c r="A276" s="48">
        <v>0.7902777777777777</v>
      </c>
      <c r="B276" s="62" t="s">
        <v>1496</v>
      </c>
      <c r="C276" s="45" t="s">
        <v>16</v>
      </c>
      <c r="D276" s="62" t="s">
        <v>438</v>
      </c>
      <c r="E276" s="11" t="s">
        <v>13</v>
      </c>
    </row>
    <row r="277">
      <c r="A277" s="48">
        <v>0.8006944444444445</v>
      </c>
      <c r="B277" s="62" t="s">
        <v>1497</v>
      </c>
      <c r="C277" s="45" t="s">
        <v>24</v>
      </c>
      <c r="D277" s="62" t="s">
        <v>1496</v>
      </c>
      <c r="E277" s="11" t="s">
        <v>9</v>
      </c>
    </row>
    <row r="278">
      <c r="A278" s="48">
        <v>0.8006944444444445</v>
      </c>
      <c r="B278" s="62" t="s">
        <v>1370</v>
      </c>
      <c r="C278" s="45" t="s">
        <v>281</v>
      </c>
      <c r="D278" s="62" t="s">
        <v>1435</v>
      </c>
      <c r="E278" s="11" t="s">
        <v>13</v>
      </c>
    </row>
    <row r="279">
      <c r="A279" s="48">
        <v>0.8111111111111111</v>
      </c>
      <c r="B279" s="62" t="s">
        <v>1497</v>
      </c>
      <c r="C279" s="45" t="s">
        <v>181</v>
      </c>
      <c r="D279" s="62" t="s">
        <v>1435</v>
      </c>
      <c r="E279" s="11" t="s">
        <v>9</v>
      </c>
    </row>
    <row r="280">
      <c r="A280" s="48">
        <v>0.8111111111111111</v>
      </c>
      <c r="B280" s="62" t="s">
        <v>1370</v>
      </c>
      <c r="C280" s="64" t="s">
        <v>203</v>
      </c>
      <c r="D280" s="62" t="s">
        <v>438</v>
      </c>
      <c r="E280" s="11" t="s">
        <v>13</v>
      </c>
    </row>
    <row r="281">
      <c r="A281" s="48">
        <v>0.8208333333333333</v>
      </c>
      <c r="B281" s="62" t="s">
        <v>1435</v>
      </c>
      <c r="C281" s="45" t="s">
        <v>256</v>
      </c>
      <c r="D281" s="62" t="s">
        <v>438</v>
      </c>
      <c r="E281" s="11" t="s">
        <v>9</v>
      </c>
    </row>
    <row r="282">
      <c r="A282" s="48">
        <v>0.8208333333333333</v>
      </c>
      <c r="B282" s="62" t="s">
        <v>1496</v>
      </c>
      <c r="C282" s="64" t="s">
        <v>251</v>
      </c>
      <c r="D282" s="62" t="s">
        <v>1370</v>
      </c>
      <c r="E282" s="11" t="s">
        <v>13</v>
      </c>
    </row>
    <row r="283">
      <c r="A283" s="48">
        <v>0.83125</v>
      </c>
      <c r="B283" s="62" t="s">
        <v>1497</v>
      </c>
      <c r="C283" s="45" t="s">
        <v>220</v>
      </c>
      <c r="D283" s="62" t="s">
        <v>438</v>
      </c>
      <c r="E283" s="11" t="s">
        <v>9</v>
      </c>
    </row>
    <row r="284">
      <c r="A284" s="48">
        <v>0.83125</v>
      </c>
      <c r="B284" s="62" t="s">
        <v>1435</v>
      </c>
      <c r="C284" s="45" t="s">
        <v>380</v>
      </c>
      <c r="D284" s="62" t="s">
        <v>1496</v>
      </c>
      <c r="E284" s="11" t="s">
        <v>13</v>
      </c>
    </row>
    <row r="285">
      <c r="A285" s="48">
        <v>0.8416666666666667</v>
      </c>
      <c r="B285" s="62" t="s">
        <v>1497</v>
      </c>
      <c r="C285" s="45" t="s">
        <v>404</v>
      </c>
      <c r="D285" s="62" t="s">
        <v>1370</v>
      </c>
      <c r="E285" s="11" t="s">
        <v>9</v>
      </c>
    </row>
    <row r="286">
      <c r="A286" s="48">
        <v>0.8416666666666667</v>
      </c>
      <c r="B286" s="62" t="s">
        <v>438</v>
      </c>
      <c r="C286" s="45" t="s">
        <v>187</v>
      </c>
      <c r="D286" s="62" t="s">
        <v>1496</v>
      </c>
      <c r="E286" s="11" t="s">
        <v>13</v>
      </c>
    </row>
    <row r="287">
      <c r="A287" s="51"/>
      <c r="B287" s="52" t="s">
        <v>100</v>
      </c>
      <c r="C287" s="2"/>
      <c r="D287" s="3"/>
      <c r="E287" s="53"/>
    </row>
    <row r="288">
      <c r="A288" s="47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48">
        <v>0.75</v>
      </c>
      <c r="B289" s="62" t="s">
        <v>1498</v>
      </c>
      <c r="C289" s="45" t="s">
        <v>7</v>
      </c>
      <c r="D289" s="62" t="s">
        <v>444</v>
      </c>
      <c r="E289" s="11" t="s">
        <v>29</v>
      </c>
    </row>
    <row r="290">
      <c r="A290" s="48">
        <v>0.75</v>
      </c>
      <c r="B290" s="62" t="s">
        <v>1499</v>
      </c>
      <c r="C290" s="45" t="s">
        <v>280</v>
      </c>
      <c r="D290" s="62" t="s">
        <v>1500</v>
      </c>
      <c r="E290" s="11" t="s">
        <v>33</v>
      </c>
    </row>
    <row r="291">
      <c r="A291" s="48">
        <v>0.7597222222222222</v>
      </c>
      <c r="B291" s="62" t="s">
        <v>1499</v>
      </c>
      <c r="C291" s="45" t="s">
        <v>158</v>
      </c>
      <c r="D291" s="62" t="s">
        <v>444</v>
      </c>
      <c r="E291" s="11" t="s">
        <v>29</v>
      </c>
    </row>
    <row r="292">
      <c r="A292" s="48">
        <v>0.7597222222222222</v>
      </c>
      <c r="B292" s="62" t="s">
        <v>310</v>
      </c>
      <c r="C292" s="45" t="s">
        <v>220</v>
      </c>
      <c r="D292" s="62" t="s">
        <v>1500</v>
      </c>
      <c r="E292" s="11" t="s">
        <v>33</v>
      </c>
    </row>
    <row r="293">
      <c r="A293" s="48">
        <v>0.7701388888888889</v>
      </c>
      <c r="B293" s="62" t="s">
        <v>310</v>
      </c>
      <c r="C293" s="45" t="s">
        <v>20</v>
      </c>
      <c r="D293" s="62" t="s">
        <v>1499</v>
      </c>
      <c r="E293" s="11" t="s">
        <v>29</v>
      </c>
    </row>
    <row r="294">
      <c r="A294" s="48">
        <v>0.7701388888888889</v>
      </c>
      <c r="B294" s="62" t="s">
        <v>1500</v>
      </c>
      <c r="C294" s="45" t="s">
        <v>908</v>
      </c>
      <c r="D294" s="62" t="s">
        <v>1498</v>
      </c>
      <c r="E294" s="11" t="s">
        <v>33</v>
      </c>
    </row>
    <row r="295">
      <c r="A295" s="48">
        <v>0.7805555555555556</v>
      </c>
      <c r="B295" s="62" t="s">
        <v>310</v>
      </c>
      <c r="C295" s="45" t="s">
        <v>44</v>
      </c>
      <c r="D295" s="62" t="s">
        <v>444</v>
      </c>
      <c r="E295" s="11" t="s">
        <v>29</v>
      </c>
    </row>
    <row r="296">
      <c r="A296" s="48">
        <v>0.7805555555555556</v>
      </c>
      <c r="B296" s="62" t="s">
        <v>1498</v>
      </c>
      <c r="C296" s="45" t="s">
        <v>155</v>
      </c>
      <c r="D296" s="62" t="s">
        <v>1499</v>
      </c>
      <c r="E296" s="11" t="s">
        <v>33</v>
      </c>
    </row>
    <row r="297">
      <c r="A297" s="48">
        <v>0.7902777777777777</v>
      </c>
      <c r="B297" s="62" t="s">
        <v>1500</v>
      </c>
      <c r="C297" s="45" t="s">
        <v>181</v>
      </c>
      <c r="D297" s="62" t="s">
        <v>444</v>
      </c>
      <c r="E297" s="11" t="s">
        <v>29</v>
      </c>
    </row>
    <row r="298">
      <c r="A298" s="48">
        <v>0.7902777777777777</v>
      </c>
      <c r="B298" s="62" t="s">
        <v>1498</v>
      </c>
      <c r="C298" s="45" t="s">
        <v>257</v>
      </c>
      <c r="D298" s="62" t="s">
        <v>310</v>
      </c>
      <c r="E298" s="11" t="s">
        <v>33</v>
      </c>
    </row>
    <row r="299">
      <c r="A299" s="48">
        <v>0.8006944444444445</v>
      </c>
      <c r="B299" s="62" t="s">
        <v>444</v>
      </c>
      <c r="C299" s="45" t="s">
        <v>302</v>
      </c>
      <c r="D299" s="62" t="s">
        <v>1498</v>
      </c>
      <c r="E299" s="11" t="s">
        <v>29</v>
      </c>
      <c r="F299" s="50"/>
    </row>
    <row r="300">
      <c r="A300" s="48">
        <v>0.8006944444444445</v>
      </c>
      <c r="B300" s="62" t="s">
        <v>1500</v>
      </c>
      <c r="C300" s="45" t="s">
        <v>220</v>
      </c>
      <c r="D300" s="62" t="s">
        <v>1499</v>
      </c>
      <c r="E300" s="11" t="s">
        <v>33</v>
      </c>
    </row>
    <row r="301">
      <c r="A301" s="48">
        <v>0.8111111111111111</v>
      </c>
      <c r="B301" s="62" t="s">
        <v>444</v>
      </c>
      <c r="C301" s="45" t="s">
        <v>17</v>
      </c>
      <c r="D301" s="62" t="s">
        <v>1499</v>
      </c>
      <c r="E301" s="11" t="s">
        <v>29</v>
      </c>
    </row>
    <row r="302">
      <c r="A302" s="48">
        <v>0.8111111111111111</v>
      </c>
      <c r="B302" s="62" t="s">
        <v>1500</v>
      </c>
      <c r="C302" s="45" t="s">
        <v>20</v>
      </c>
      <c r="D302" s="62" t="s">
        <v>310</v>
      </c>
      <c r="E302" s="11" t="s">
        <v>33</v>
      </c>
    </row>
    <row r="303">
      <c r="A303" s="48">
        <v>0.8208333333333333</v>
      </c>
      <c r="B303" s="62" t="s">
        <v>1499</v>
      </c>
      <c r="C303" s="45" t="s">
        <v>185</v>
      </c>
      <c r="D303" s="62" t="s">
        <v>310</v>
      </c>
      <c r="E303" s="11" t="s">
        <v>29</v>
      </c>
    </row>
    <row r="304">
      <c r="A304" s="48">
        <v>0.8208333333333333</v>
      </c>
      <c r="B304" s="62" t="s">
        <v>1498</v>
      </c>
      <c r="C304" s="45" t="s">
        <v>573</v>
      </c>
      <c r="D304" s="62" t="s">
        <v>1500</v>
      </c>
      <c r="E304" s="11" t="s">
        <v>33</v>
      </c>
    </row>
    <row r="305">
      <c r="A305" s="48">
        <v>0.83125</v>
      </c>
      <c r="B305" s="62" t="s">
        <v>444</v>
      </c>
      <c r="C305" s="45" t="s">
        <v>7</v>
      </c>
      <c r="D305" s="62" t="s">
        <v>310</v>
      </c>
      <c r="E305" s="11" t="s">
        <v>29</v>
      </c>
    </row>
    <row r="306">
      <c r="A306" s="48">
        <v>0.83125</v>
      </c>
      <c r="B306" s="62" t="s">
        <v>1499</v>
      </c>
      <c r="C306" s="45" t="s">
        <v>696</v>
      </c>
      <c r="D306" s="62" t="s">
        <v>1498</v>
      </c>
      <c r="E306" s="11" t="s">
        <v>33</v>
      </c>
    </row>
    <row r="307">
      <c r="A307" s="48">
        <v>0.8416666666666667</v>
      </c>
      <c r="B307" s="62" t="s">
        <v>444</v>
      </c>
      <c r="C307" s="45" t="s">
        <v>14</v>
      </c>
      <c r="D307" s="62" t="s">
        <v>1500</v>
      </c>
      <c r="E307" s="11" t="s">
        <v>29</v>
      </c>
    </row>
    <row r="308">
      <c r="A308" s="48">
        <v>0.8416666666666667</v>
      </c>
      <c r="B308" s="62" t="s">
        <v>310</v>
      </c>
      <c r="C308" s="83" t="s">
        <v>1501</v>
      </c>
      <c r="D308" s="62" t="s">
        <v>1498</v>
      </c>
      <c r="E308" s="11" t="s">
        <v>33</v>
      </c>
    </row>
    <row r="309">
      <c r="A309" s="51"/>
      <c r="B309" s="52" t="s">
        <v>111</v>
      </c>
      <c r="C309" s="2"/>
      <c r="D309" s="3"/>
      <c r="E309" s="53"/>
    </row>
    <row r="310">
      <c r="A310" s="47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48">
        <v>0.8541666666666666</v>
      </c>
      <c r="B311" s="62" t="s">
        <v>1502</v>
      </c>
      <c r="C311" s="84" t="s">
        <v>351</v>
      </c>
      <c r="D311" s="62" t="s">
        <v>1393</v>
      </c>
      <c r="E311" s="11" t="s">
        <v>9</v>
      </c>
    </row>
    <row r="312">
      <c r="A312" s="48">
        <v>0.8541666666666666</v>
      </c>
      <c r="B312" s="62" t="s">
        <v>1503</v>
      </c>
      <c r="C312" s="57" t="s">
        <v>181</v>
      </c>
      <c r="D312" s="62" t="s">
        <v>1504</v>
      </c>
      <c r="E312" s="11" t="s">
        <v>13</v>
      </c>
    </row>
    <row r="313">
      <c r="A313" s="48">
        <v>0.8638888888888889</v>
      </c>
      <c r="B313" s="62" t="s">
        <v>1503</v>
      </c>
      <c r="C313" s="84" t="s">
        <v>16</v>
      </c>
      <c r="D313" s="62" t="s">
        <v>1393</v>
      </c>
      <c r="E313" s="11" t="s">
        <v>9</v>
      </c>
    </row>
    <row r="314">
      <c r="A314" s="48">
        <v>0.8638888888888889</v>
      </c>
      <c r="B314" s="62" t="s">
        <v>1505</v>
      </c>
      <c r="C314" s="57" t="s">
        <v>380</v>
      </c>
      <c r="D314" s="62" t="s">
        <v>1504</v>
      </c>
      <c r="E314" s="11" t="s">
        <v>13</v>
      </c>
    </row>
    <row r="315">
      <c r="A315" s="48">
        <v>0.8743055555555556</v>
      </c>
      <c r="B315" s="62" t="s">
        <v>1505</v>
      </c>
      <c r="C315" s="57" t="s">
        <v>14</v>
      </c>
      <c r="D315" s="62" t="s">
        <v>1503</v>
      </c>
      <c r="E315" s="11" t="s">
        <v>9</v>
      </c>
    </row>
    <row r="316">
      <c r="A316" s="48">
        <v>0.8743055555555556</v>
      </c>
      <c r="B316" s="62" t="s">
        <v>1504</v>
      </c>
      <c r="C316" s="57" t="s">
        <v>394</v>
      </c>
      <c r="D316" s="62" t="s">
        <v>1502</v>
      </c>
      <c r="E316" s="11" t="s">
        <v>13</v>
      </c>
    </row>
    <row r="317">
      <c r="A317" s="48">
        <v>0.8847222222222222</v>
      </c>
      <c r="B317" s="62" t="s">
        <v>1505</v>
      </c>
      <c r="C317" s="57" t="s">
        <v>256</v>
      </c>
      <c r="D317" s="62" t="s">
        <v>1393</v>
      </c>
      <c r="E317" s="11" t="s">
        <v>9</v>
      </c>
    </row>
    <row r="318">
      <c r="A318" s="48">
        <v>0.8847222222222222</v>
      </c>
      <c r="B318" s="62" t="s">
        <v>1502</v>
      </c>
      <c r="C318" s="57" t="s">
        <v>18</v>
      </c>
      <c r="D318" s="62" t="s">
        <v>1503</v>
      </c>
      <c r="E318" s="11" t="s">
        <v>13</v>
      </c>
    </row>
    <row r="319">
      <c r="A319" s="48">
        <v>0.8944444444444445</v>
      </c>
      <c r="B319" s="62" t="s">
        <v>1504</v>
      </c>
      <c r="C319" s="57" t="s">
        <v>193</v>
      </c>
      <c r="D319" s="62" t="s">
        <v>1393</v>
      </c>
      <c r="E319" s="11" t="s">
        <v>9</v>
      </c>
    </row>
    <row r="320">
      <c r="A320" s="48">
        <v>0.8944444444444445</v>
      </c>
      <c r="B320" s="62" t="s">
        <v>1502</v>
      </c>
      <c r="C320" s="57" t="s">
        <v>298</v>
      </c>
      <c r="D320" s="62" t="s">
        <v>1505</v>
      </c>
      <c r="E320" s="11" t="s">
        <v>13</v>
      </c>
    </row>
    <row r="321">
      <c r="A321" s="48">
        <v>0.9048611111111111</v>
      </c>
      <c r="B321" s="62" t="s">
        <v>1393</v>
      </c>
      <c r="C321" s="57" t="s">
        <v>198</v>
      </c>
      <c r="D321" s="62" t="s">
        <v>1502</v>
      </c>
      <c r="E321" s="11" t="s">
        <v>9</v>
      </c>
    </row>
    <row r="322">
      <c r="A322" s="48">
        <v>0.9048611111111111</v>
      </c>
      <c r="B322" s="62" t="s">
        <v>1504</v>
      </c>
      <c r="C322" s="57" t="s">
        <v>195</v>
      </c>
      <c r="D322" s="62" t="s">
        <v>1503</v>
      </c>
      <c r="E322" s="11" t="s">
        <v>13</v>
      </c>
    </row>
    <row r="323">
      <c r="A323" s="48">
        <v>0.9152777777777777</v>
      </c>
      <c r="B323" s="62" t="s">
        <v>1393</v>
      </c>
      <c r="C323" s="45" t="s">
        <v>324</v>
      </c>
      <c r="D323" s="62" t="s">
        <v>1503</v>
      </c>
      <c r="E323" s="11" t="s">
        <v>9</v>
      </c>
    </row>
    <row r="324">
      <c r="A324" s="48">
        <v>0.9152777777777777</v>
      </c>
      <c r="B324" s="62" t="s">
        <v>1504</v>
      </c>
      <c r="C324" s="45" t="s">
        <v>185</v>
      </c>
      <c r="D324" s="62" t="s">
        <v>1505</v>
      </c>
      <c r="E324" s="11" t="s">
        <v>13</v>
      </c>
    </row>
    <row r="325">
      <c r="A325" s="48">
        <v>0.925</v>
      </c>
      <c r="B325" s="62" t="s">
        <v>1503</v>
      </c>
      <c r="C325" s="45" t="s">
        <v>376</v>
      </c>
      <c r="D325" s="62" t="s">
        <v>1505</v>
      </c>
      <c r="E325" s="11" t="s">
        <v>9</v>
      </c>
    </row>
    <row r="326">
      <c r="A326" s="48">
        <v>0.925</v>
      </c>
      <c r="B326" s="62" t="s">
        <v>1502</v>
      </c>
      <c r="C326" s="45" t="s">
        <v>163</v>
      </c>
      <c r="D326" s="62" t="s">
        <v>1504</v>
      </c>
      <c r="E326" s="11" t="s">
        <v>13</v>
      </c>
    </row>
    <row r="327">
      <c r="A327" s="48">
        <v>0.9354166666666667</v>
      </c>
      <c r="B327" s="62" t="s">
        <v>1393</v>
      </c>
      <c r="C327" s="45" t="s">
        <v>298</v>
      </c>
      <c r="D327" s="62" t="s">
        <v>1505</v>
      </c>
      <c r="E327" s="11" t="s">
        <v>9</v>
      </c>
    </row>
    <row r="328">
      <c r="A328" s="48">
        <v>0.9354166666666667</v>
      </c>
      <c r="B328" s="62" t="s">
        <v>1503</v>
      </c>
      <c r="C328" s="45" t="s">
        <v>1506</v>
      </c>
      <c r="D328" s="62" t="s">
        <v>1502</v>
      </c>
      <c r="E328" s="11" t="s">
        <v>13</v>
      </c>
    </row>
    <row r="329">
      <c r="A329" s="48">
        <v>0.9458333333333333</v>
      </c>
      <c r="B329" s="62" t="s">
        <v>1393</v>
      </c>
      <c r="C329" s="45" t="s">
        <v>233</v>
      </c>
      <c r="D329" s="62" t="s">
        <v>1504</v>
      </c>
      <c r="E329" s="11" t="s">
        <v>9</v>
      </c>
    </row>
    <row r="330">
      <c r="A330" s="48">
        <v>0.9458333333333333</v>
      </c>
      <c r="B330" s="62" t="s">
        <v>1505</v>
      </c>
      <c r="C330" s="45" t="s">
        <v>21</v>
      </c>
      <c r="D330" s="62" t="s">
        <v>1502</v>
      </c>
      <c r="E330" s="11" t="s">
        <v>13</v>
      </c>
    </row>
    <row r="331">
      <c r="A331" s="51"/>
      <c r="B331" s="52" t="s">
        <v>111</v>
      </c>
      <c r="C331" s="2"/>
      <c r="D331" s="3"/>
      <c r="E331" s="53"/>
    </row>
    <row r="332">
      <c r="A332" s="47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48">
        <v>0.8541666666666666</v>
      </c>
      <c r="B333" s="62" t="s">
        <v>578</v>
      </c>
      <c r="C333" s="45" t="s">
        <v>998</v>
      </c>
      <c r="D333" s="62" t="s">
        <v>1507</v>
      </c>
      <c r="E333" s="11" t="s">
        <v>29</v>
      </c>
    </row>
    <row r="334">
      <c r="A334" s="48">
        <v>0.8541666666666666</v>
      </c>
      <c r="B334" s="62" t="s">
        <v>1263</v>
      </c>
      <c r="C334" s="45" t="s">
        <v>257</v>
      </c>
      <c r="D334" s="62" t="s">
        <v>1508</v>
      </c>
      <c r="E334" s="11" t="s">
        <v>33</v>
      </c>
    </row>
    <row r="335">
      <c r="A335" s="48">
        <v>0.8638888888888889</v>
      </c>
      <c r="B335" s="62" t="s">
        <v>1263</v>
      </c>
      <c r="C335" s="45" t="s">
        <v>327</v>
      </c>
      <c r="D335" s="62" t="s">
        <v>1507</v>
      </c>
      <c r="E335" s="11" t="s">
        <v>29</v>
      </c>
    </row>
    <row r="336">
      <c r="A336" s="48">
        <v>0.8638888888888889</v>
      </c>
      <c r="B336" s="62" t="s">
        <v>1509</v>
      </c>
      <c r="C336" s="45" t="s">
        <v>175</v>
      </c>
      <c r="D336" s="62" t="s">
        <v>1508</v>
      </c>
      <c r="E336" s="11" t="s">
        <v>33</v>
      </c>
    </row>
    <row r="337">
      <c r="A337" s="48">
        <v>0.8743055555555556</v>
      </c>
      <c r="B337" s="62" t="s">
        <v>1509</v>
      </c>
      <c r="C337" s="45" t="s">
        <v>196</v>
      </c>
      <c r="D337" s="62" t="s">
        <v>1263</v>
      </c>
      <c r="E337" s="11" t="s">
        <v>29</v>
      </c>
    </row>
    <row r="338">
      <c r="A338" s="48">
        <v>0.8743055555555556</v>
      </c>
      <c r="B338" s="62" t="s">
        <v>1508</v>
      </c>
      <c r="C338" s="45" t="s">
        <v>160</v>
      </c>
      <c r="D338" s="62" t="s">
        <v>578</v>
      </c>
      <c r="E338" s="11" t="s">
        <v>33</v>
      </c>
    </row>
    <row r="339">
      <c r="A339" s="48">
        <v>0.8847222222222222</v>
      </c>
      <c r="B339" s="62" t="s">
        <v>1509</v>
      </c>
      <c r="C339" s="45" t="s">
        <v>43</v>
      </c>
      <c r="D339" s="62" t="s">
        <v>1507</v>
      </c>
      <c r="E339" s="11" t="s">
        <v>29</v>
      </c>
    </row>
    <row r="340">
      <c r="A340" s="48">
        <v>0.8847222222222222</v>
      </c>
      <c r="B340" s="62" t="s">
        <v>578</v>
      </c>
      <c r="C340" s="45" t="s">
        <v>168</v>
      </c>
      <c r="D340" s="62" t="s">
        <v>1263</v>
      </c>
      <c r="E340" s="11" t="s">
        <v>33</v>
      </c>
    </row>
    <row r="341">
      <c r="A341" s="48">
        <v>0.8944444444444445</v>
      </c>
      <c r="B341" s="62" t="s">
        <v>1508</v>
      </c>
      <c r="C341" s="45" t="s">
        <v>280</v>
      </c>
      <c r="D341" s="62" t="s">
        <v>1507</v>
      </c>
      <c r="E341" s="11" t="s">
        <v>29</v>
      </c>
    </row>
    <row r="342">
      <c r="A342" s="48">
        <v>0.8944444444444445</v>
      </c>
      <c r="B342" s="62" t="s">
        <v>578</v>
      </c>
      <c r="C342" s="45" t="s">
        <v>298</v>
      </c>
      <c r="D342" s="62" t="s">
        <v>1509</v>
      </c>
      <c r="E342" s="11" t="s">
        <v>33</v>
      </c>
    </row>
    <row r="343">
      <c r="A343" s="48">
        <v>0.9048611111111111</v>
      </c>
      <c r="B343" s="62" t="s">
        <v>1507</v>
      </c>
      <c r="C343" s="64" t="s">
        <v>173</v>
      </c>
      <c r="D343" s="62" t="s">
        <v>578</v>
      </c>
      <c r="E343" s="11" t="s">
        <v>29</v>
      </c>
    </row>
    <row r="344">
      <c r="A344" s="48">
        <v>0.9048611111111111</v>
      </c>
      <c r="B344" s="62" t="s">
        <v>1508</v>
      </c>
      <c r="C344" s="45" t="s">
        <v>281</v>
      </c>
      <c r="D344" s="62" t="s">
        <v>1263</v>
      </c>
      <c r="E344" s="11" t="s">
        <v>33</v>
      </c>
    </row>
    <row r="345">
      <c r="A345" s="48">
        <v>0.9152777777777777</v>
      </c>
      <c r="B345" s="62" t="s">
        <v>1507</v>
      </c>
      <c r="C345" s="45" t="s">
        <v>257</v>
      </c>
      <c r="D345" s="62" t="s">
        <v>1263</v>
      </c>
      <c r="E345" s="11" t="s">
        <v>29</v>
      </c>
    </row>
    <row r="346">
      <c r="A346" s="48">
        <v>0.9152777777777777</v>
      </c>
      <c r="B346" s="62" t="s">
        <v>1508</v>
      </c>
      <c r="C346" s="45" t="s">
        <v>162</v>
      </c>
      <c r="D346" s="62" t="s">
        <v>1509</v>
      </c>
      <c r="E346" s="11" t="s">
        <v>33</v>
      </c>
    </row>
    <row r="347">
      <c r="A347" s="48">
        <v>0.925</v>
      </c>
      <c r="B347" s="62" t="s">
        <v>1263</v>
      </c>
      <c r="C347" s="45" t="s">
        <v>1510</v>
      </c>
      <c r="D347" s="62" t="s">
        <v>1509</v>
      </c>
      <c r="E347" s="11" t="s">
        <v>29</v>
      </c>
    </row>
    <row r="348">
      <c r="A348" s="48">
        <v>0.925</v>
      </c>
      <c r="B348" s="62" t="s">
        <v>578</v>
      </c>
      <c r="C348" s="45" t="s">
        <v>534</v>
      </c>
      <c r="D348" s="62" t="s">
        <v>1508</v>
      </c>
      <c r="E348" s="11" t="s">
        <v>33</v>
      </c>
    </row>
    <row r="349">
      <c r="A349" s="48">
        <v>0.9354166666666667</v>
      </c>
      <c r="B349" s="62" t="s">
        <v>1507</v>
      </c>
      <c r="C349" s="45" t="s">
        <v>209</v>
      </c>
      <c r="D349" s="62" t="s">
        <v>1509</v>
      </c>
      <c r="E349" s="11" t="s">
        <v>29</v>
      </c>
    </row>
    <row r="350">
      <c r="A350" s="48">
        <v>0.9354166666666667</v>
      </c>
      <c r="B350" s="62" t="s">
        <v>1263</v>
      </c>
      <c r="C350" s="45" t="s">
        <v>1334</v>
      </c>
      <c r="D350" s="62" t="s">
        <v>578</v>
      </c>
      <c r="E350" s="11" t="s">
        <v>33</v>
      </c>
    </row>
    <row r="351">
      <c r="A351" s="48">
        <v>0.9458333333333333</v>
      </c>
      <c r="B351" s="62" t="s">
        <v>1507</v>
      </c>
      <c r="C351" s="45" t="s">
        <v>161</v>
      </c>
      <c r="D351" s="62" t="s">
        <v>1508</v>
      </c>
      <c r="E351" s="11" t="s">
        <v>29</v>
      </c>
    </row>
    <row r="352">
      <c r="A352" s="48">
        <v>0.9458333333333333</v>
      </c>
      <c r="B352" s="62" t="s">
        <v>1509</v>
      </c>
      <c r="C352" s="45" t="s">
        <v>584</v>
      </c>
      <c r="D352" s="62" t="s">
        <v>578</v>
      </c>
      <c r="E352" s="11" t="s">
        <v>33</v>
      </c>
    </row>
    <row r="353">
      <c r="A353" s="51"/>
      <c r="B353" s="52" t="s">
        <v>122</v>
      </c>
      <c r="C353" s="2"/>
      <c r="D353" s="3"/>
      <c r="E353" s="53"/>
    </row>
    <row r="354">
      <c r="A354" s="47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48">
        <v>0.9583333333333334</v>
      </c>
      <c r="B355" s="62" t="s">
        <v>1511</v>
      </c>
      <c r="C355" s="45" t="s">
        <v>158</v>
      </c>
      <c r="D355" s="62" t="s">
        <v>468</v>
      </c>
      <c r="E355" s="11" t="s">
        <v>9</v>
      </c>
    </row>
    <row r="356">
      <c r="A356" s="48">
        <v>0.9583333333333334</v>
      </c>
      <c r="B356" s="62" t="s">
        <v>1448</v>
      </c>
      <c r="C356" s="45" t="s">
        <v>209</v>
      </c>
      <c r="D356" s="62" t="s">
        <v>810</v>
      </c>
      <c r="E356" s="11" t="s">
        <v>13</v>
      </c>
    </row>
    <row r="357">
      <c r="A357" s="48">
        <v>0.9680555555555556</v>
      </c>
      <c r="B357" s="62" t="s">
        <v>1448</v>
      </c>
      <c r="C357" s="45" t="s">
        <v>281</v>
      </c>
      <c r="D357" s="62" t="s">
        <v>468</v>
      </c>
      <c r="E357" s="11" t="s">
        <v>9</v>
      </c>
    </row>
    <row r="358">
      <c r="A358" s="48">
        <v>0.9680555555555556</v>
      </c>
      <c r="B358" s="62" t="s">
        <v>123</v>
      </c>
      <c r="C358" s="45" t="s">
        <v>534</v>
      </c>
      <c r="D358" s="62" t="s">
        <v>810</v>
      </c>
      <c r="E358" s="11" t="s">
        <v>13</v>
      </c>
    </row>
    <row r="359">
      <c r="A359" s="48">
        <v>0.9784722222222222</v>
      </c>
      <c r="B359" s="62" t="s">
        <v>123</v>
      </c>
      <c r="C359" s="45" t="s">
        <v>158</v>
      </c>
      <c r="D359" s="62" t="s">
        <v>1448</v>
      </c>
      <c r="E359" s="11" t="s">
        <v>9</v>
      </c>
    </row>
    <row r="360">
      <c r="A360" s="48">
        <v>0.9784722222222222</v>
      </c>
      <c r="B360" s="62" t="s">
        <v>810</v>
      </c>
      <c r="C360" s="45" t="s">
        <v>193</v>
      </c>
      <c r="D360" s="62" t="s">
        <v>1511</v>
      </c>
      <c r="E360" s="11" t="s">
        <v>13</v>
      </c>
    </row>
    <row r="361">
      <c r="A361" s="48">
        <v>0.9888888888888889</v>
      </c>
      <c r="B361" s="62" t="s">
        <v>123</v>
      </c>
      <c r="C361" s="45" t="s">
        <v>610</v>
      </c>
      <c r="D361" s="62" t="s">
        <v>468</v>
      </c>
      <c r="E361" s="11" t="s">
        <v>9</v>
      </c>
    </row>
    <row r="362">
      <c r="A362" s="48">
        <v>0.9888888888888889</v>
      </c>
      <c r="B362" s="62" t="s">
        <v>1511</v>
      </c>
      <c r="C362" s="45" t="s">
        <v>18</v>
      </c>
      <c r="D362" s="62" t="s">
        <v>1448</v>
      </c>
      <c r="E362" s="11" t="s">
        <v>13</v>
      </c>
    </row>
    <row r="363">
      <c r="A363" s="48">
        <v>0.9986111111111111</v>
      </c>
      <c r="B363" s="62" t="s">
        <v>810</v>
      </c>
      <c r="C363" s="45" t="s">
        <v>464</v>
      </c>
      <c r="D363" s="62" t="s">
        <v>468</v>
      </c>
      <c r="E363" s="11" t="s">
        <v>9</v>
      </c>
    </row>
    <row r="364">
      <c r="A364" s="48">
        <v>0.9986111111111111</v>
      </c>
      <c r="B364" s="62" t="s">
        <v>1511</v>
      </c>
      <c r="C364" s="45" t="s">
        <v>18</v>
      </c>
      <c r="D364" s="62" t="s">
        <v>123</v>
      </c>
      <c r="E364" s="11" t="s">
        <v>13</v>
      </c>
    </row>
    <row r="365">
      <c r="A365" s="48">
        <v>0.009027777777777777</v>
      </c>
      <c r="B365" s="62" t="s">
        <v>468</v>
      </c>
      <c r="C365" s="45" t="s">
        <v>227</v>
      </c>
      <c r="D365" s="62" t="s">
        <v>1511</v>
      </c>
      <c r="E365" s="11" t="s">
        <v>9</v>
      </c>
    </row>
    <row r="366">
      <c r="A366" s="48">
        <v>0.009027777777777777</v>
      </c>
      <c r="B366" s="62" t="s">
        <v>810</v>
      </c>
      <c r="C366" s="45" t="s">
        <v>507</v>
      </c>
      <c r="D366" s="62" t="s">
        <v>1448</v>
      </c>
      <c r="E366" s="11" t="s">
        <v>13</v>
      </c>
    </row>
    <row r="367">
      <c r="A367" s="48">
        <v>0.019444444444444445</v>
      </c>
      <c r="B367" s="62" t="s">
        <v>468</v>
      </c>
      <c r="C367" s="45" t="s">
        <v>16</v>
      </c>
      <c r="D367" s="62" t="s">
        <v>1448</v>
      </c>
      <c r="E367" s="11" t="s">
        <v>9</v>
      </c>
    </row>
    <row r="368">
      <c r="A368" s="48">
        <v>0.019444444444444445</v>
      </c>
      <c r="B368" s="62" t="s">
        <v>810</v>
      </c>
      <c r="C368" s="45" t="s">
        <v>220</v>
      </c>
      <c r="D368" s="62" t="s">
        <v>123</v>
      </c>
      <c r="E368" s="11" t="s">
        <v>13</v>
      </c>
    </row>
    <row r="369">
      <c r="A369" s="48">
        <v>0.029166666666666667</v>
      </c>
      <c r="B369" s="62" t="s">
        <v>1448</v>
      </c>
      <c r="C369" s="45" t="s">
        <v>17</v>
      </c>
      <c r="D369" s="62" t="s">
        <v>123</v>
      </c>
      <c r="E369" s="11" t="s">
        <v>9</v>
      </c>
    </row>
    <row r="370">
      <c r="A370" s="48">
        <v>0.029166666666666667</v>
      </c>
      <c r="B370" s="62" t="s">
        <v>1511</v>
      </c>
      <c r="C370" s="45" t="s">
        <v>278</v>
      </c>
      <c r="D370" s="62" t="s">
        <v>810</v>
      </c>
      <c r="E370" s="11" t="s">
        <v>13</v>
      </c>
    </row>
    <row r="371">
      <c r="A371" s="48">
        <v>0.03958333333333333</v>
      </c>
      <c r="B371" s="62" t="s">
        <v>468</v>
      </c>
      <c r="C371" s="45" t="s">
        <v>155</v>
      </c>
      <c r="D371" s="62" t="s">
        <v>123</v>
      </c>
      <c r="E371" s="11" t="s">
        <v>9</v>
      </c>
    </row>
    <row r="372">
      <c r="A372" s="48">
        <v>0.03958333333333333</v>
      </c>
      <c r="B372" s="62" t="s">
        <v>1448</v>
      </c>
      <c r="C372" s="45" t="s">
        <v>19</v>
      </c>
      <c r="D372" s="62" t="s">
        <v>1511</v>
      </c>
      <c r="E372" s="11" t="s">
        <v>13</v>
      </c>
    </row>
    <row r="373">
      <c r="A373" s="48">
        <v>0.05</v>
      </c>
      <c r="B373" s="62" t="s">
        <v>468</v>
      </c>
      <c r="C373" s="45" t="s">
        <v>210</v>
      </c>
      <c r="D373" s="62" t="s">
        <v>810</v>
      </c>
      <c r="E373" s="11" t="s">
        <v>9</v>
      </c>
    </row>
    <row r="374">
      <c r="A374" s="48">
        <v>0.05</v>
      </c>
      <c r="B374" s="62" t="s">
        <v>123</v>
      </c>
      <c r="C374" s="45" t="s">
        <v>20</v>
      </c>
      <c r="D374" s="62" t="s">
        <v>1511</v>
      </c>
      <c r="E374" s="11" t="s">
        <v>13</v>
      </c>
    </row>
    <row r="375">
      <c r="A375" s="51"/>
      <c r="B375" s="52" t="s">
        <v>122</v>
      </c>
      <c r="C375" s="2"/>
      <c r="D375" s="3"/>
      <c r="E375" s="53"/>
    </row>
    <row r="376">
      <c r="A376" s="47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48">
        <v>0.9583333333333334</v>
      </c>
      <c r="B377" s="56" t="s">
        <v>132</v>
      </c>
      <c r="C377" s="45" t="s">
        <v>177</v>
      </c>
      <c r="D377" s="62" t="s">
        <v>1449</v>
      </c>
      <c r="E377" s="11" t="s">
        <v>29</v>
      </c>
    </row>
    <row r="378">
      <c r="A378" s="48">
        <v>0.9583333333333334</v>
      </c>
      <c r="B378" s="62" t="s">
        <v>472</v>
      </c>
      <c r="C378" s="45" t="s">
        <v>24</v>
      </c>
      <c r="D378" s="62" t="s">
        <v>1385</v>
      </c>
      <c r="E378" s="11" t="s">
        <v>33</v>
      </c>
    </row>
    <row r="379">
      <c r="A379" s="48">
        <v>0.9680555555555556</v>
      </c>
      <c r="B379" s="62" t="s">
        <v>472</v>
      </c>
      <c r="C379" s="45" t="s">
        <v>43</v>
      </c>
      <c r="D379" s="62" t="s">
        <v>1449</v>
      </c>
      <c r="E379" s="11" t="s">
        <v>29</v>
      </c>
    </row>
    <row r="380">
      <c r="A380" s="48">
        <v>0.9680555555555556</v>
      </c>
      <c r="B380" s="62" t="s">
        <v>1270</v>
      </c>
      <c r="C380" s="45" t="s">
        <v>19</v>
      </c>
      <c r="D380" s="62" t="s">
        <v>1385</v>
      </c>
      <c r="E380" s="11" t="s">
        <v>33</v>
      </c>
    </row>
    <row r="381">
      <c r="A381" s="48">
        <v>0.9784722222222222</v>
      </c>
      <c r="B381" s="62" t="s">
        <v>1270</v>
      </c>
      <c r="C381" s="45" t="s">
        <v>609</v>
      </c>
      <c r="D381" s="62" t="s">
        <v>472</v>
      </c>
      <c r="E381" s="11" t="s">
        <v>29</v>
      </c>
    </row>
    <row r="382">
      <c r="A382" s="48">
        <v>0.9784722222222222</v>
      </c>
      <c r="B382" s="62" t="s">
        <v>1385</v>
      </c>
      <c r="C382" s="45" t="s">
        <v>290</v>
      </c>
      <c r="D382" s="56" t="s">
        <v>132</v>
      </c>
      <c r="E382" s="11" t="s">
        <v>33</v>
      </c>
    </row>
    <row r="383">
      <c r="A383" s="48">
        <v>0.9888888888888889</v>
      </c>
      <c r="B383" s="62" t="s">
        <v>1270</v>
      </c>
      <c r="C383" s="45" t="s">
        <v>177</v>
      </c>
      <c r="D383" s="62" t="s">
        <v>1449</v>
      </c>
      <c r="E383" s="11" t="s">
        <v>29</v>
      </c>
    </row>
    <row r="384">
      <c r="A384" s="48">
        <v>0.9888888888888889</v>
      </c>
      <c r="B384" s="56" t="s">
        <v>132</v>
      </c>
      <c r="C384" s="45" t="s">
        <v>177</v>
      </c>
      <c r="D384" s="62" t="s">
        <v>472</v>
      </c>
      <c r="E384" s="11" t="s">
        <v>33</v>
      </c>
    </row>
    <row r="385">
      <c r="A385" s="48">
        <v>0.9986111111111111</v>
      </c>
      <c r="B385" s="62" t="s">
        <v>1385</v>
      </c>
      <c r="C385" s="45" t="s">
        <v>336</v>
      </c>
      <c r="D385" s="62" t="s">
        <v>1449</v>
      </c>
      <c r="E385" s="11" t="s">
        <v>29</v>
      </c>
    </row>
    <row r="386">
      <c r="A386" s="48">
        <v>0.9986111111111111</v>
      </c>
      <c r="B386" s="56" t="s">
        <v>132</v>
      </c>
      <c r="C386" s="45" t="s">
        <v>14</v>
      </c>
      <c r="D386" s="62" t="s">
        <v>1270</v>
      </c>
      <c r="E386" s="11" t="s">
        <v>33</v>
      </c>
    </row>
    <row r="387">
      <c r="A387" s="48">
        <v>0.009027777777777777</v>
      </c>
      <c r="B387" s="62" t="s">
        <v>1449</v>
      </c>
      <c r="C387" s="45" t="s">
        <v>257</v>
      </c>
      <c r="D387" s="56" t="s">
        <v>132</v>
      </c>
      <c r="E387" s="11" t="s">
        <v>29</v>
      </c>
    </row>
    <row r="388">
      <c r="A388" s="48">
        <v>0.009027777777777777</v>
      </c>
      <c r="B388" s="62" t="s">
        <v>1385</v>
      </c>
      <c r="C388" s="45" t="s">
        <v>219</v>
      </c>
      <c r="D388" s="62" t="s">
        <v>472</v>
      </c>
      <c r="E388" s="11" t="s">
        <v>33</v>
      </c>
    </row>
    <row r="389">
      <c r="A389" s="48">
        <v>0.019444444444444445</v>
      </c>
      <c r="B389" s="62" t="s">
        <v>1449</v>
      </c>
      <c r="C389" s="45" t="s">
        <v>20</v>
      </c>
      <c r="D389" s="62" t="s">
        <v>472</v>
      </c>
      <c r="E389" s="11" t="s">
        <v>29</v>
      </c>
    </row>
    <row r="390">
      <c r="A390" s="48">
        <v>0.019444444444444445</v>
      </c>
      <c r="B390" s="62" t="s">
        <v>1385</v>
      </c>
      <c r="C390" s="45" t="s">
        <v>18</v>
      </c>
      <c r="D390" s="62" t="s">
        <v>1270</v>
      </c>
      <c r="E390" s="11" t="s">
        <v>33</v>
      </c>
    </row>
    <row r="391">
      <c r="A391" s="48">
        <v>0.029166666666666667</v>
      </c>
      <c r="B391" s="62" t="s">
        <v>472</v>
      </c>
      <c r="C391" s="45" t="s">
        <v>1512</v>
      </c>
      <c r="D391" s="62" t="s">
        <v>1270</v>
      </c>
      <c r="E391" s="11" t="s">
        <v>29</v>
      </c>
    </row>
    <row r="392">
      <c r="A392" s="48">
        <v>0.029166666666666667</v>
      </c>
      <c r="B392" s="56" t="s">
        <v>132</v>
      </c>
      <c r="C392" s="45" t="s">
        <v>20</v>
      </c>
      <c r="D392" s="62" t="s">
        <v>1385</v>
      </c>
      <c r="E392" s="11" t="s">
        <v>33</v>
      </c>
    </row>
    <row r="393">
      <c r="A393" s="48">
        <v>0.03958333333333333</v>
      </c>
      <c r="B393" s="62" t="s">
        <v>1449</v>
      </c>
      <c r="C393" s="45" t="s">
        <v>497</v>
      </c>
      <c r="D393" s="62" t="s">
        <v>1270</v>
      </c>
      <c r="E393" s="11" t="s">
        <v>29</v>
      </c>
    </row>
    <row r="394">
      <c r="A394" s="48">
        <v>0.03958333333333333</v>
      </c>
      <c r="B394" s="62" t="s">
        <v>472</v>
      </c>
      <c r="C394" s="45" t="s">
        <v>209</v>
      </c>
      <c r="D394" s="56" t="s">
        <v>132</v>
      </c>
      <c r="E394" s="11" t="s">
        <v>33</v>
      </c>
    </row>
    <row r="395">
      <c r="A395" s="48">
        <v>0.05</v>
      </c>
      <c r="B395" s="62" t="s">
        <v>1449</v>
      </c>
      <c r="C395" s="45" t="s">
        <v>16</v>
      </c>
      <c r="D395" s="62" t="s">
        <v>1385</v>
      </c>
      <c r="E395" s="11" t="s">
        <v>29</v>
      </c>
    </row>
    <row r="396">
      <c r="A396" s="85">
        <v>0.05</v>
      </c>
      <c r="B396" s="62" t="s">
        <v>1270</v>
      </c>
      <c r="C396" s="45" t="s">
        <v>248</v>
      </c>
      <c r="D396" s="56" t="s">
        <v>132</v>
      </c>
      <c r="E396" s="11" t="s">
        <v>33</v>
      </c>
    </row>
    <row r="397">
      <c r="A397" s="86"/>
      <c r="B397" s="42"/>
      <c r="C397" s="42"/>
      <c r="D397" s="42"/>
      <c r="E397" s="42"/>
    </row>
    <row r="398">
      <c r="A398" s="87"/>
      <c r="B398" s="42"/>
      <c r="C398" s="42"/>
      <c r="D398" s="42"/>
      <c r="E398" s="42"/>
    </row>
    <row r="399">
      <c r="A399" s="88"/>
      <c r="B399" s="42"/>
      <c r="C399" s="42"/>
      <c r="D399" s="42"/>
      <c r="E399" s="42"/>
    </row>
    <row r="400">
      <c r="A400" s="88"/>
      <c r="B400" s="42"/>
      <c r="C400" s="42"/>
      <c r="D400" s="42"/>
      <c r="E400" s="42"/>
    </row>
    <row r="401">
      <c r="A401" s="88"/>
      <c r="B401" s="42"/>
      <c r="C401" s="42"/>
      <c r="D401" s="42"/>
      <c r="E401" s="42"/>
    </row>
    <row r="402">
      <c r="A402" s="88"/>
      <c r="B402" s="42"/>
      <c r="C402" s="42"/>
      <c r="D402" s="42"/>
      <c r="E402" s="42"/>
    </row>
    <row r="403">
      <c r="A403" s="88"/>
      <c r="B403" s="42"/>
      <c r="C403" s="42"/>
      <c r="D403" s="42"/>
      <c r="E403" s="42"/>
    </row>
    <row r="404">
      <c r="A404" s="88"/>
      <c r="B404" s="42"/>
      <c r="C404" s="42"/>
      <c r="D404" s="42"/>
      <c r="E404" s="42"/>
    </row>
    <row r="405">
      <c r="A405" s="88"/>
      <c r="B405" s="42"/>
      <c r="C405" s="42"/>
      <c r="D405" s="42"/>
      <c r="E405" s="42"/>
    </row>
    <row r="406">
      <c r="A406" s="88"/>
      <c r="B406" s="42"/>
      <c r="C406" s="42"/>
      <c r="D406" s="42"/>
      <c r="E406" s="42"/>
    </row>
    <row r="407">
      <c r="A407" s="88"/>
      <c r="B407" s="42"/>
      <c r="C407" s="42"/>
      <c r="D407" s="42"/>
      <c r="E407" s="42"/>
    </row>
    <row r="408">
      <c r="A408" s="88"/>
      <c r="B408" s="42"/>
      <c r="C408" s="42"/>
      <c r="D408" s="42"/>
      <c r="E408" s="42"/>
    </row>
    <row r="409">
      <c r="A409" s="88"/>
      <c r="B409" s="42"/>
      <c r="C409" s="42"/>
      <c r="D409" s="42"/>
      <c r="E409" s="42"/>
    </row>
    <row r="410">
      <c r="A410" s="88"/>
      <c r="B410" s="42"/>
      <c r="C410" s="42"/>
      <c r="D410" s="42"/>
      <c r="E410" s="42"/>
    </row>
    <row r="411">
      <c r="A411" s="88"/>
      <c r="B411" s="42"/>
      <c r="C411" s="42"/>
      <c r="D411" s="42"/>
      <c r="E411" s="42"/>
    </row>
    <row r="412">
      <c r="A412" s="88"/>
      <c r="B412" s="42"/>
      <c r="C412" s="42"/>
      <c r="D412" s="42"/>
      <c r="E412" s="42"/>
    </row>
    <row r="413">
      <c r="A413" s="88"/>
      <c r="B413" s="42"/>
      <c r="C413" s="42"/>
      <c r="D413" s="42"/>
      <c r="E413" s="42"/>
    </row>
    <row r="414">
      <c r="A414" s="88"/>
      <c r="B414" s="42"/>
      <c r="C414" s="42"/>
      <c r="D414" s="42"/>
      <c r="E414" s="42"/>
    </row>
    <row r="415">
      <c r="A415" s="88"/>
      <c r="B415" s="42"/>
      <c r="C415" s="42"/>
      <c r="D415" s="42"/>
      <c r="E415" s="42"/>
    </row>
    <row r="416">
      <c r="A416" s="88"/>
      <c r="B416" s="42"/>
      <c r="C416" s="42"/>
      <c r="D416" s="42"/>
      <c r="E416" s="42"/>
    </row>
    <row r="417">
      <c r="A417" s="88"/>
      <c r="B417" s="42"/>
      <c r="C417" s="42"/>
      <c r="D417" s="42"/>
      <c r="E417" s="42"/>
    </row>
    <row r="418">
      <c r="A418" s="88"/>
      <c r="B418" s="42"/>
      <c r="C418" s="42"/>
      <c r="D418" s="42"/>
      <c r="E418" s="42"/>
    </row>
    <row r="419">
      <c r="A419" s="86"/>
      <c r="B419" s="42"/>
      <c r="C419" s="42"/>
      <c r="D419" s="42"/>
      <c r="E419" s="42"/>
    </row>
    <row r="420">
      <c r="A420" s="87"/>
      <c r="B420" s="42"/>
      <c r="C420" s="42"/>
      <c r="D420" s="42"/>
      <c r="E420" s="42"/>
    </row>
    <row r="421">
      <c r="A421" s="88"/>
      <c r="B421" s="42"/>
      <c r="C421" s="42"/>
      <c r="D421" s="42"/>
      <c r="E421" s="42"/>
    </row>
    <row r="422">
      <c r="A422" s="88"/>
      <c r="B422" s="42"/>
      <c r="C422" s="42"/>
      <c r="D422" s="42"/>
      <c r="E422" s="42"/>
    </row>
    <row r="423">
      <c r="A423" s="88"/>
      <c r="B423" s="42"/>
      <c r="C423" s="42"/>
      <c r="D423" s="42"/>
      <c r="E423" s="42"/>
    </row>
    <row r="424">
      <c r="A424" s="88"/>
      <c r="B424" s="42"/>
      <c r="C424" s="42"/>
      <c r="D424" s="42"/>
      <c r="E424" s="42"/>
    </row>
    <row r="425">
      <c r="A425" s="88"/>
      <c r="B425" s="42"/>
      <c r="C425" s="42"/>
      <c r="D425" s="42"/>
      <c r="E425" s="42"/>
    </row>
    <row r="426">
      <c r="A426" s="88"/>
      <c r="B426" s="42"/>
      <c r="C426" s="42"/>
      <c r="D426" s="42"/>
      <c r="E426" s="42"/>
    </row>
    <row r="427">
      <c r="A427" s="88"/>
      <c r="B427" s="42"/>
      <c r="C427" s="42"/>
      <c r="D427" s="42"/>
      <c r="E427" s="42"/>
    </row>
    <row r="428">
      <c r="A428" s="88"/>
      <c r="B428" s="42"/>
      <c r="C428" s="42"/>
      <c r="D428" s="42"/>
      <c r="E428" s="42"/>
    </row>
    <row r="429">
      <c r="A429" s="88"/>
      <c r="B429" s="42"/>
      <c r="C429" s="42"/>
      <c r="D429" s="42"/>
      <c r="E429" s="42"/>
    </row>
    <row r="430">
      <c r="A430" s="88"/>
      <c r="B430" s="42"/>
      <c r="C430" s="42"/>
      <c r="D430" s="42"/>
      <c r="E430" s="42"/>
    </row>
    <row r="431">
      <c r="A431" s="88"/>
      <c r="B431" s="42"/>
      <c r="C431" s="42"/>
      <c r="D431" s="42"/>
      <c r="E431" s="42"/>
    </row>
    <row r="432">
      <c r="A432" s="88"/>
      <c r="B432" s="42"/>
      <c r="C432" s="42"/>
      <c r="D432" s="42"/>
      <c r="E432" s="42"/>
    </row>
    <row r="433">
      <c r="A433" s="88"/>
      <c r="B433" s="42"/>
      <c r="C433" s="42"/>
      <c r="D433" s="42"/>
      <c r="E433" s="42"/>
    </row>
    <row r="434">
      <c r="A434" s="88"/>
      <c r="B434" s="42"/>
      <c r="C434" s="42"/>
      <c r="D434" s="42"/>
      <c r="E434" s="42"/>
    </row>
    <row r="435">
      <c r="A435" s="88"/>
      <c r="B435" s="42"/>
      <c r="C435" s="42"/>
      <c r="D435" s="42"/>
      <c r="E435" s="42"/>
    </row>
    <row r="436">
      <c r="A436" s="88"/>
      <c r="B436" s="42"/>
      <c r="C436" s="42"/>
      <c r="D436" s="42"/>
      <c r="E436" s="42"/>
    </row>
    <row r="437">
      <c r="A437" s="88"/>
      <c r="B437" s="42"/>
      <c r="C437" s="42"/>
      <c r="D437" s="42"/>
      <c r="E437" s="42"/>
    </row>
    <row r="438">
      <c r="A438" s="88"/>
      <c r="B438" s="42"/>
      <c r="C438" s="42"/>
      <c r="D438" s="42"/>
      <c r="E438" s="42"/>
    </row>
    <row r="439">
      <c r="A439" s="88"/>
      <c r="B439" s="42"/>
      <c r="C439" s="42"/>
      <c r="D439" s="42"/>
      <c r="E439" s="42"/>
    </row>
    <row r="440">
      <c r="A440" s="88"/>
      <c r="B440" s="42"/>
      <c r="C440" s="42"/>
      <c r="D440" s="42"/>
      <c r="E440" s="42"/>
    </row>
    <row r="441">
      <c r="A441" s="86"/>
      <c r="B441" s="42"/>
      <c r="C441" s="42"/>
      <c r="D441" s="42"/>
      <c r="E441" s="42"/>
    </row>
    <row r="442">
      <c r="A442" s="87"/>
      <c r="B442" s="42"/>
      <c r="C442" s="42"/>
      <c r="D442" s="42"/>
      <c r="E442" s="42"/>
    </row>
    <row r="443">
      <c r="A443" s="88"/>
      <c r="B443" s="42"/>
      <c r="C443" s="42"/>
      <c r="D443" s="42"/>
      <c r="E443" s="42"/>
    </row>
    <row r="444">
      <c r="A444" s="88"/>
      <c r="B444" s="42"/>
      <c r="C444" s="42"/>
      <c r="D444" s="42"/>
      <c r="E444" s="42"/>
    </row>
    <row r="445">
      <c r="A445" s="88"/>
      <c r="B445" s="42"/>
      <c r="C445" s="42"/>
      <c r="D445" s="42"/>
      <c r="E445" s="42"/>
    </row>
    <row r="446">
      <c r="A446" s="88"/>
      <c r="B446" s="42"/>
      <c r="C446" s="42"/>
      <c r="D446" s="42"/>
      <c r="E446" s="42"/>
    </row>
    <row r="447">
      <c r="A447" s="88"/>
      <c r="B447" s="42"/>
      <c r="C447" s="42"/>
      <c r="D447" s="42"/>
      <c r="E447" s="42"/>
    </row>
    <row r="448">
      <c r="A448" s="88"/>
      <c r="B448" s="42"/>
      <c r="C448" s="42"/>
      <c r="D448" s="42"/>
      <c r="E448" s="42"/>
    </row>
    <row r="449">
      <c r="A449" s="88"/>
      <c r="B449" s="42"/>
      <c r="C449" s="42"/>
      <c r="D449" s="42"/>
      <c r="E449" s="42"/>
    </row>
    <row r="450">
      <c r="A450" s="88"/>
      <c r="B450" s="42"/>
      <c r="C450" s="42"/>
      <c r="D450" s="42"/>
      <c r="E450" s="42"/>
    </row>
    <row r="451">
      <c r="A451" s="88"/>
      <c r="B451" s="42"/>
      <c r="C451" s="42"/>
      <c r="D451" s="42"/>
      <c r="E451" s="42"/>
    </row>
    <row r="452">
      <c r="A452" s="88"/>
      <c r="B452" s="42"/>
      <c r="C452" s="42"/>
      <c r="D452" s="42"/>
      <c r="E452" s="42"/>
    </row>
    <row r="453">
      <c r="A453" s="88"/>
      <c r="B453" s="42"/>
      <c r="C453" s="42"/>
      <c r="D453" s="42"/>
      <c r="E453" s="42"/>
    </row>
    <row r="454">
      <c r="A454" s="88"/>
      <c r="B454" s="42"/>
      <c r="C454" s="42"/>
      <c r="D454" s="42"/>
      <c r="E454" s="42"/>
    </row>
    <row r="455">
      <c r="A455" s="88"/>
      <c r="B455" s="42"/>
      <c r="C455" s="42"/>
      <c r="D455" s="42"/>
      <c r="E455" s="42"/>
    </row>
    <row r="456">
      <c r="A456" s="88"/>
      <c r="B456" s="42"/>
      <c r="C456" s="42"/>
      <c r="D456" s="42"/>
      <c r="E456" s="42"/>
    </row>
    <row r="457">
      <c r="A457" s="88"/>
      <c r="B457" s="42"/>
      <c r="C457" s="42"/>
      <c r="D457" s="42"/>
      <c r="E457" s="42"/>
    </row>
    <row r="458">
      <c r="A458" s="88"/>
      <c r="B458" s="42"/>
      <c r="C458" s="42"/>
      <c r="D458" s="42"/>
      <c r="E458" s="42"/>
    </row>
    <row r="459">
      <c r="A459" s="88"/>
      <c r="B459" s="42"/>
      <c r="C459" s="42"/>
      <c r="D459" s="42"/>
      <c r="E459" s="42"/>
    </row>
    <row r="460">
      <c r="A460" s="88"/>
      <c r="B460" s="42"/>
      <c r="C460" s="42"/>
      <c r="D460" s="42"/>
      <c r="E460" s="42"/>
    </row>
    <row r="461">
      <c r="A461" s="88"/>
      <c r="B461" s="42"/>
      <c r="C461" s="42"/>
      <c r="D461" s="42"/>
      <c r="E461" s="42"/>
    </row>
    <row r="462">
      <c r="A462" s="88"/>
      <c r="B462" s="42"/>
      <c r="C462" s="42"/>
      <c r="D462" s="42"/>
      <c r="E462" s="42"/>
    </row>
    <row r="463">
      <c r="A463" s="86"/>
      <c r="B463" s="42"/>
      <c r="C463" s="42"/>
      <c r="D463" s="42"/>
      <c r="E463" s="42"/>
    </row>
    <row r="464">
      <c r="A464" s="87"/>
      <c r="B464" s="42"/>
      <c r="C464" s="42"/>
      <c r="D464" s="42"/>
      <c r="E464" s="42"/>
    </row>
    <row r="465">
      <c r="A465" s="88"/>
      <c r="B465" s="42"/>
      <c r="C465" s="42"/>
      <c r="D465" s="42"/>
      <c r="E465" s="42"/>
    </row>
    <row r="466">
      <c r="A466" s="88"/>
      <c r="B466" s="42"/>
      <c r="C466" s="42"/>
      <c r="D466" s="42"/>
      <c r="E466" s="42"/>
    </row>
    <row r="467">
      <c r="A467" s="88"/>
      <c r="B467" s="42"/>
      <c r="C467" s="42"/>
      <c r="D467" s="42"/>
      <c r="E467" s="42"/>
    </row>
    <row r="468">
      <c r="A468" s="88"/>
      <c r="B468" s="42"/>
      <c r="C468" s="42"/>
      <c r="D468" s="42"/>
      <c r="E468" s="42"/>
    </row>
    <row r="469">
      <c r="A469" s="88"/>
      <c r="B469" s="42"/>
      <c r="C469" s="42"/>
      <c r="D469" s="42"/>
      <c r="E469" s="42"/>
    </row>
    <row r="470">
      <c r="A470" s="88"/>
      <c r="B470" s="42"/>
      <c r="C470" s="42"/>
      <c r="D470" s="42"/>
      <c r="E470" s="42"/>
    </row>
    <row r="471">
      <c r="A471" s="88"/>
      <c r="B471" s="42"/>
      <c r="C471" s="42"/>
      <c r="D471" s="42"/>
      <c r="E471" s="42"/>
    </row>
    <row r="472">
      <c r="A472" s="88"/>
      <c r="B472" s="42"/>
      <c r="C472" s="42"/>
      <c r="D472" s="42"/>
      <c r="E472" s="42"/>
    </row>
    <row r="473">
      <c r="A473" s="88"/>
      <c r="B473" s="42"/>
      <c r="C473" s="42"/>
      <c r="D473" s="42"/>
      <c r="E473" s="42"/>
    </row>
    <row r="474">
      <c r="A474" s="88"/>
      <c r="B474" s="42"/>
      <c r="C474" s="42"/>
      <c r="D474" s="42"/>
      <c r="E474" s="42"/>
    </row>
    <row r="475">
      <c r="A475" s="88"/>
      <c r="B475" s="42"/>
      <c r="C475" s="42"/>
      <c r="D475" s="42"/>
      <c r="E475" s="42"/>
    </row>
    <row r="476">
      <c r="A476" s="88"/>
      <c r="B476" s="42"/>
      <c r="C476" s="42"/>
      <c r="D476" s="42"/>
      <c r="E476" s="42"/>
    </row>
    <row r="477">
      <c r="A477" s="88"/>
      <c r="B477" s="42"/>
      <c r="C477" s="42"/>
      <c r="D477" s="42"/>
      <c r="E477" s="42"/>
    </row>
    <row r="478">
      <c r="A478" s="88"/>
      <c r="B478" s="42"/>
      <c r="C478" s="42"/>
      <c r="D478" s="42"/>
      <c r="E478" s="42"/>
    </row>
    <row r="479">
      <c r="A479" s="88"/>
      <c r="B479" s="42"/>
      <c r="C479" s="42"/>
      <c r="D479" s="42"/>
      <c r="E479" s="42"/>
    </row>
    <row r="480">
      <c r="A480" s="88"/>
      <c r="B480" s="42"/>
      <c r="C480" s="42"/>
      <c r="D480" s="42"/>
      <c r="E480" s="42"/>
    </row>
    <row r="481">
      <c r="A481" s="88"/>
      <c r="B481" s="42"/>
      <c r="C481" s="42"/>
      <c r="D481" s="42"/>
      <c r="E481" s="42"/>
    </row>
    <row r="482">
      <c r="A482" s="88"/>
      <c r="B482" s="42"/>
      <c r="C482" s="42"/>
      <c r="D482" s="42"/>
      <c r="E482" s="42"/>
    </row>
    <row r="483">
      <c r="A483" s="88"/>
      <c r="B483" s="42"/>
      <c r="C483" s="42"/>
      <c r="D483" s="42"/>
      <c r="E483" s="42"/>
    </row>
    <row r="484">
      <c r="A484" s="88"/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861</v>
      </c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1126</v>
      </c>
      <c r="C3" s="45" t="s">
        <v>761</v>
      </c>
      <c r="D3" s="62" t="s">
        <v>136</v>
      </c>
      <c r="E3" s="11" t="s">
        <v>29</v>
      </c>
    </row>
    <row r="4">
      <c r="A4" s="90"/>
      <c r="B4" s="61" t="s">
        <v>1513</v>
      </c>
      <c r="C4" s="45" t="s">
        <v>165</v>
      </c>
      <c r="D4" s="61" t="s">
        <v>1275</v>
      </c>
      <c r="E4" s="11" t="s">
        <v>33</v>
      </c>
    </row>
    <row r="5">
      <c r="A5" s="90"/>
      <c r="B5" s="62" t="s">
        <v>1513</v>
      </c>
      <c r="C5" s="45" t="s">
        <v>545</v>
      </c>
      <c r="D5" s="61" t="s">
        <v>136</v>
      </c>
      <c r="E5" s="11" t="s">
        <v>29</v>
      </c>
    </row>
    <row r="6">
      <c r="A6" s="90"/>
      <c r="B6" s="61" t="s">
        <v>1514</v>
      </c>
      <c r="C6" s="45" t="s">
        <v>198</v>
      </c>
      <c r="D6" s="62" t="s">
        <v>1275</v>
      </c>
      <c r="E6" s="11" t="s">
        <v>33</v>
      </c>
    </row>
    <row r="7">
      <c r="A7" s="90"/>
      <c r="B7" s="62" t="s">
        <v>1514</v>
      </c>
      <c r="C7" s="45" t="s">
        <v>194</v>
      </c>
      <c r="D7" s="61" t="s">
        <v>1513</v>
      </c>
      <c r="E7" s="11" t="s">
        <v>29</v>
      </c>
    </row>
    <row r="8">
      <c r="A8" s="90"/>
      <c r="B8" s="61" t="s">
        <v>1275</v>
      </c>
      <c r="C8" s="45" t="s">
        <v>244</v>
      </c>
      <c r="D8" s="61" t="s">
        <v>1126</v>
      </c>
      <c r="E8" s="11" t="s">
        <v>33</v>
      </c>
    </row>
    <row r="9">
      <c r="A9" s="90"/>
      <c r="B9" s="62" t="s">
        <v>1514</v>
      </c>
      <c r="C9" s="45" t="s">
        <v>23</v>
      </c>
      <c r="D9" s="62" t="s">
        <v>136</v>
      </c>
      <c r="E9" s="11" t="s">
        <v>29</v>
      </c>
    </row>
    <row r="10">
      <c r="A10" s="90"/>
      <c r="B10" s="61" t="s">
        <v>1126</v>
      </c>
      <c r="C10" s="45" t="s">
        <v>219</v>
      </c>
      <c r="D10" s="61" t="s">
        <v>1513</v>
      </c>
      <c r="E10" s="11" t="s">
        <v>33</v>
      </c>
    </row>
    <row r="11">
      <c r="A11" s="90"/>
      <c r="B11" s="62" t="s">
        <v>1275</v>
      </c>
      <c r="C11" s="45" t="s">
        <v>395</v>
      </c>
      <c r="D11" s="61" t="s">
        <v>136</v>
      </c>
      <c r="E11" s="11" t="s">
        <v>29</v>
      </c>
    </row>
    <row r="12">
      <c r="A12" s="90"/>
      <c r="B12" s="61" t="s">
        <v>1126</v>
      </c>
      <c r="C12" s="45" t="s">
        <v>271</v>
      </c>
      <c r="D12" s="62" t="s">
        <v>1514</v>
      </c>
      <c r="E12" s="11" t="s">
        <v>33</v>
      </c>
    </row>
    <row r="13">
      <c r="A13" s="90"/>
      <c r="B13" s="62" t="s">
        <v>136</v>
      </c>
      <c r="C13" s="45" t="s">
        <v>443</v>
      </c>
      <c r="D13" s="61" t="s">
        <v>1126</v>
      </c>
      <c r="E13" s="11" t="s">
        <v>29</v>
      </c>
    </row>
    <row r="14">
      <c r="A14" s="90"/>
      <c r="B14" s="61" t="s">
        <v>1275</v>
      </c>
      <c r="C14" s="45" t="s">
        <v>620</v>
      </c>
      <c r="D14" s="61" t="s">
        <v>1513</v>
      </c>
      <c r="E14" s="11" t="s">
        <v>33</v>
      </c>
    </row>
    <row r="15">
      <c r="A15" s="90"/>
      <c r="B15" s="61" t="s">
        <v>136</v>
      </c>
      <c r="C15" s="45" t="s">
        <v>16</v>
      </c>
      <c r="D15" s="62" t="s">
        <v>1513</v>
      </c>
      <c r="E15" s="11" t="s">
        <v>29</v>
      </c>
    </row>
    <row r="16">
      <c r="A16" s="90"/>
      <c r="B16" s="62" t="s">
        <v>1275</v>
      </c>
      <c r="C16" s="45" t="s">
        <v>31</v>
      </c>
      <c r="D16" s="61" t="s">
        <v>1514</v>
      </c>
      <c r="E16" s="11" t="s">
        <v>33</v>
      </c>
    </row>
    <row r="17">
      <c r="A17" s="90"/>
      <c r="B17" s="61" t="s">
        <v>1513</v>
      </c>
      <c r="C17" s="45" t="s">
        <v>351</v>
      </c>
      <c r="D17" s="62" t="s">
        <v>1514</v>
      </c>
      <c r="E17" s="11" t="s">
        <v>29</v>
      </c>
    </row>
    <row r="18">
      <c r="A18" s="90"/>
      <c r="B18" s="61" t="s">
        <v>1126</v>
      </c>
      <c r="C18" s="45" t="s">
        <v>219</v>
      </c>
      <c r="D18" s="61" t="s">
        <v>1275</v>
      </c>
      <c r="E18" s="11" t="s">
        <v>33</v>
      </c>
      <c r="M18" s="50" t="s">
        <v>514</v>
      </c>
    </row>
    <row r="19">
      <c r="A19" s="90"/>
      <c r="B19" s="62" t="s">
        <v>136</v>
      </c>
      <c r="C19" s="45" t="s">
        <v>271</v>
      </c>
      <c r="D19" s="62" t="s">
        <v>1514</v>
      </c>
      <c r="E19" s="11" t="s">
        <v>29</v>
      </c>
    </row>
    <row r="20">
      <c r="A20" s="90"/>
      <c r="B20" s="61" t="s">
        <v>1513</v>
      </c>
      <c r="C20" s="45" t="s">
        <v>219</v>
      </c>
      <c r="D20" s="61" t="s">
        <v>1126</v>
      </c>
      <c r="E20" s="11" t="s">
        <v>33</v>
      </c>
    </row>
    <row r="21">
      <c r="A21" s="90"/>
      <c r="B21" s="61" t="s">
        <v>136</v>
      </c>
      <c r="C21" s="45" t="s">
        <v>327</v>
      </c>
      <c r="D21" s="62" t="s">
        <v>1275</v>
      </c>
      <c r="E21" s="11" t="s">
        <v>29</v>
      </c>
    </row>
    <row r="22">
      <c r="A22" s="90"/>
      <c r="B22" s="62" t="s">
        <v>1514</v>
      </c>
      <c r="C22" s="45" t="s">
        <v>43</v>
      </c>
      <c r="D22" s="61" t="s">
        <v>1126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1515</v>
      </c>
      <c r="C25" s="57" t="s">
        <v>173</v>
      </c>
      <c r="D25" s="61" t="s">
        <v>1516</v>
      </c>
      <c r="E25" s="11" t="s">
        <v>9</v>
      </c>
    </row>
    <row r="26">
      <c r="A26" s="90"/>
      <c r="B26" s="61" t="s">
        <v>1517</v>
      </c>
      <c r="C26" s="57" t="s">
        <v>442</v>
      </c>
      <c r="D26" s="61" t="s">
        <v>1518</v>
      </c>
      <c r="E26" s="11" t="s">
        <v>13</v>
      </c>
    </row>
    <row r="27">
      <c r="A27" s="90"/>
      <c r="B27" s="62" t="s">
        <v>1517</v>
      </c>
      <c r="C27" s="57" t="s">
        <v>1519</v>
      </c>
      <c r="D27" s="62" t="s">
        <v>1516</v>
      </c>
      <c r="E27" s="11" t="s">
        <v>9</v>
      </c>
    </row>
    <row r="28">
      <c r="A28" s="90"/>
      <c r="B28" s="61" t="s">
        <v>1456</v>
      </c>
      <c r="C28" s="57" t="s">
        <v>20</v>
      </c>
      <c r="D28" s="61" t="s">
        <v>1518</v>
      </c>
      <c r="E28" s="11" t="s">
        <v>13</v>
      </c>
    </row>
    <row r="29">
      <c r="A29" s="90"/>
      <c r="B29" s="62" t="s">
        <v>1456</v>
      </c>
      <c r="C29" s="57" t="s">
        <v>465</v>
      </c>
      <c r="D29" s="61" t="s">
        <v>1517</v>
      </c>
      <c r="E29" s="11" t="s">
        <v>9</v>
      </c>
    </row>
    <row r="30">
      <c r="A30" s="90"/>
      <c r="B30" s="61" t="s">
        <v>1518</v>
      </c>
      <c r="C30" s="57" t="s">
        <v>162</v>
      </c>
      <c r="D30" s="62" t="s">
        <v>1515</v>
      </c>
      <c r="E30" s="11" t="s">
        <v>13</v>
      </c>
    </row>
    <row r="31">
      <c r="A31" s="90"/>
      <c r="B31" s="62" t="s">
        <v>1456</v>
      </c>
      <c r="C31" s="57" t="s">
        <v>158</v>
      </c>
      <c r="D31" s="61" t="s">
        <v>1516</v>
      </c>
      <c r="E31" s="11" t="s">
        <v>9</v>
      </c>
    </row>
    <row r="32">
      <c r="A32" s="90"/>
      <c r="B32" s="61" t="s">
        <v>1515</v>
      </c>
      <c r="C32" s="57" t="s">
        <v>334</v>
      </c>
      <c r="D32" s="62" t="s">
        <v>1517</v>
      </c>
      <c r="E32" s="11" t="s">
        <v>13</v>
      </c>
    </row>
    <row r="33">
      <c r="A33" s="90"/>
      <c r="B33" s="62" t="s">
        <v>1518</v>
      </c>
      <c r="C33" s="57" t="s">
        <v>464</v>
      </c>
      <c r="D33" s="61" t="s">
        <v>1516</v>
      </c>
      <c r="E33" s="11" t="s">
        <v>9</v>
      </c>
    </row>
    <row r="34">
      <c r="A34" s="90"/>
      <c r="B34" s="61" t="s">
        <v>1515</v>
      </c>
      <c r="C34" s="57" t="s">
        <v>20</v>
      </c>
      <c r="D34" s="61" t="s">
        <v>1456</v>
      </c>
      <c r="E34" s="11" t="s">
        <v>13</v>
      </c>
    </row>
    <row r="35">
      <c r="A35" s="90"/>
      <c r="B35" s="61" t="s">
        <v>1516</v>
      </c>
      <c r="C35" s="57" t="s">
        <v>271</v>
      </c>
      <c r="D35" s="62" t="s">
        <v>1515</v>
      </c>
      <c r="E35" s="11" t="s">
        <v>9</v>
      </c>
    </row>
    <row r="36">
      <c r="A36" s="90"/>
      <c r="B36" s="61" t="s">
        <v>1518</v>
      </c>
      <c r="C36" s="57" t="s">
        <v>324</v>
      </c>
      <c r="D36" s="61" t="s">
        <v>1517</v>
      </c>
      <c r="E36" s="11" t="s">
        <v>13</v>
      </c>
    </row>
    <row r="37">
      <c r="A37" s="90"/>
      <c r="B37" s="62" t="s">
        <v>1516</v>
      </c>
      <c r="C37" s="45" t="s">
        <v>856</v>
      </c>
      <c r="D37" s="62" t="s">
        <v>1517</v>
      </c>
      <c r="E37" s="11" t="s">
        <v>9</v>
      </c>
    </row>
    <row r="38">
      <c r="A38" s="90"/>
      <c r="B38" s="61" t="s">
        <v>1518</v>
      </c>
      <c r="C38" s="45" t="s">
        <v>507</v>
      </c>
      <c r="D38" s="61" t="s">
        <v>1456</v>
      </c>
      <c r="E38" s="11" t="s">
        <v>13</v>
      </c>
    </row>
    <row r="39">
      <c r="A39" s="90"/>
      <c r="B39" s="61" t="s">
        <v>1517</v>
      </c>
      <c r="C39" s="45" t="s">
        <v>271</v>
      </c>
      <c r="D39" s="62" t="s">
        <v>1456</v>
      </c>
      <c r="E39" s="11" t="s">
        <v>9</v>
      </c>
    </row>
    <row r="40">
      <c r="A40" s="90"/>
      <c r="B40" s="62" t="s">
        <v>1515</v>
      </c>
      <c r="C40" s="45" t="s">
        <v>41</v>
      </c>
      <c r="D40" s="61" t="s">
        <v>1518</v>
      </c>
      <c r="E40" s="11" t="s">
        <v>13</v>
      </c>
    </row>
    <row r="41">
      <c r="A41" s="90"/>
      <c r="B41" s="61" t="s">
        <v>1516</v>
      </c>
      <c r="C41" s="45" t="s">
        <v>264</v>
      </c>
      <c r="D41" s="62" t="s">
        <v>1456</v>
      </c>
      <c r="E41" s="11" t="s">
        <v>9</v>
      </c>
    </row>
    <row r="42">
      <c r="A42" s="90"/>
      <c r="B42" s="62" t="s">
        <v>1517</v>
      </c>
      <c r="C42" s="45" t="s">
        <v>248</v>
      </c>
      <c r="D42" s="61" t="s">
        <v>1515</v>
      </c>
      <c r="E42" s="11" t="s">
        <v>13</v>
      </c>
    </row>
    <row r="43">
      <c r="A43" s="90"/>
      <c r="B43" s="61" t="s">
        <v>1516</v>
      </c>
      <c r="C43" s="45" t="s">
        <v>209</v>
      </c>
      <c r="D43" s="62" t="s">
        <v>1518</v>
      </c>
      <c r="E43" s="11" t="s">
        <v>9</v>
      </c>
    </row>
    <row r="44">
      <c r="A44" s="91"/>
      <c r="B44" s="61" t="s">
        <v>1456</v>
      </c>
      <c r="C44" s="45" t="s">
        <v>38</v>
      </c>
      <c r="D44" s="61" t="s">
        <v>1515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1520</v>
      </c>
      <c r="C47" s="45" t="s">
        <v>545</v>
      </c>
      <c r="D47" s="61" t="s">
        <v>1460</v>
      </c>
      <c r="E47" s="11" t="s">
        <v>29</v>
      </c>
    </row>
    <row r="48">
      <c r="B48" s="61" t="s">
        <v>1521</v>
      </c>
      <c r="C48" s="45" t="s">
        <v>209</v>
      </c>
      <c r="D48" s="61" t="s">
        <v>1522</v>
      </c>
      <c r="E48" s="11" t="s">
        <v>33</v>
      </c>
    </row>
    <row r="49">
      <c r="B49" s="61" t="s">
        <v>1521</v>
      </c>
      <c r="C49" s="45" t="s">
        <v>41</v>
      </c>
      <c r="D49" s="61" t="s">
        <v>1460</v>
      </c>
      <c r="E49" s="11" t="s">
        <v>29</v>
      </c>
    </row>
    <row r="50">
      <c r="B50" s="61" t="s">
        <v>310</v>
      </c>
      <c r="C50" s="45" t="s">
        <v>177</v>
      </c>
      <c r="D50" s="61" t="s">
        <v>1522</v>
      </c>
      <c r="E50" s="11" t="s">
        <v>33</v>
      </c>
    </row>
    <row r="51">
      <c r="B51" s="61" t="s">
        <v>310</v>
      </c>
      <c r="C51" s="45" t="s">
        <v>185</v>
      </c>
      <c r="D51" s="61" t="s">
        <v>1521</v>
      </c>
      <c r="E51" s="11" t="s">
        <v>29</v>
      </c>
    </row>
    <row r="52">
      <c r="B52" s="61" t="s">
        <v>1522</v>
      </c>
      <c r="C52" s="45" t="s">
        <v>291</v>
      </c>
      <c r="D52" s="61" t="s">
        <v>1520</v>
      </c>
      <c r="E52" s="11" t="s">
        <v>33</v>
      </c>
    </row>
    <row r="53">
      <c r="B53" s="61" t="s">
        <v>310</v>
      </c>
      <c r="C53" s="45" t="s">
        <v>164</v>
      </c>
      <c r="D53" s="61" t="s">
        <v>1460</v>
      </c>
      <c r="E53" s="11" t="s">
        <v>29</v>
      </c>
    </row>
    <row r="54">
      <c r="B54" s="61" t="s">
        <v>1520</v>
      </c>
      <c r="C54" s="45" t="s">
        <v>357</v>
      </c>
      <c r="D54" s="61" t="s">
        <v>1521</v>
      </c>
      <c r="E54" s="11" t="s">
        <v>33</v>
      </c>
    </row>
    <row r="55">
      <c r="B55" s="61" t="s">
        <v>1522</v>
      </c>
      <c r="C55" s="45" t="s">
        <v>534</v>
      </c>
      <c r="D55" s="61" t="s">
        <v>1460</v>
      </c>
      <c r="E55" s="11" t="s">
        <v>29</v>
      </c>
    </row>
    <row r="56">
      <c r="B56" s="61" t="s">
        <v>1520</v>
      </c>
      <c r="C56" s="45" t="s">
        <v>545</v>
      </c>
      <c r="D56" s="61" t="s">
        <v>310</v>
      </c>
      <c r="E56" s="11" t="s">
        <v>33</v>
      </c>
    </row>
    <row r="57">
      <c r="B57" s="61" t="s">
        <v>1460</v>
      </c>
      <c r="C57" s="45" t="s">
        <v>21</v>
      </c>
      <c r="D57" s="61" t="s">
        <v>1520</v>
      </c>
      <c r="E57" s="11" t="s">
        <v>29</v>
      </c>
    </row>
    <row r="58">
      <c r="B58" s="61" t="s">
        <v>1522</v>
      </c>
      <c r="C58" s="45" t="s">
        <v>219</v>
      </c>
      <c r="D58" s="61" t="s">
        <v>1521</v>
      </c>
      <c r="E58" s="11" t="s">
        <v>33</v>
      </c>
    </row>
    <row r="59">
      <c r="B59" s="61" t="s">
        <v>1460</v>
      </c>
      <c r="C59" s="45" t="s">
        <v>279</v>
      </c>
      <c r="D59" s="61" t="s">
        <v>1521</v>
      </c>
      <c r="E59" s="11" t="s">
        <v>29</v>
      </c>
    </row>
    <row r="60">
      <c r="B60" s="61" t="s">
        <v>1522</v>
      </c>
      <c r="C60" s="45" t="s">
        <v>31</v>
      </c>
      <c r="D60" s="61" t="s">
        <v>310</v>
      </c>
      <c r="E60" s="11" t="s">
        <v>33</v>
      </c>
    </row>
    <row r="61">
      <c r="B61" s="61" t="s">
        <v>1521</v>
      </c>
      <c r="C61" s="45" t="s">
        <v>309</v>
      </c>
      <c r="D61" s="61" t="s">
        <v>310</v>
      </c>
      <c r="E61" s="11" t="s">
        <v>29</v>
      </c>
    </row>
    <row r="62">
      <c r="B62" s="61" t="s">
        <v>1520</v>
      </c>
      <c r="C62" s="45" t="s">
        <v>203</v>
      </c>
      <c r="D62" s="61" t="s">
        <v>1522</v>
      </c>
      <c r="E62" s="11" t="s">
        <v>33</v>
      </c>
    </row>
    <row r="63">
      <c r="B63" s="61" t="s">
        <v>1460</v>
      </c>
      <c r="C63" s="45" t="s">
        <v>42</v>
      </c>
      <c r="D63" s="61" t="s">
        <v>310</v>
      </c>
      <c r="E63" s="11" t="s">
        <v>29</v>
      </c>
    </row>
    <row r="64">
      <c r="B64" s="61" t="s">
        <v>1521</v>
      </c>
      <c r="C64" s="45" t="s">
        <v>220</v>
      </c>
      <c r="D64" s="61" t="s">
        <v>1520</v>
      </c>
      <c r="E64" s="11" t="s">
        <v>33</v>
      </c>
    </row>
    <row r="65">
      <c r="B65" s="61" t="s">
        <v>1460</v>
      </c>
      <c r="C65" s="45" t="s">
        <v>394</v>
      </c>
      <c r="D65" s="61" t="s">
        <v>1522</v>
      </c>
      <c r="E65" s="11" t="s">
        <v>29</v>
      </c>
    </row>
    <row r="66">
      <c r="B66" s="61" t="s">
        <v>310</v>
      </c>
      <c r="C66" s="45" t="s">
        <v>574</v>
      </c>
      <c r="D66" s="61" t="s">
        <v>1520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1523</v>
      </c>
      <c r="C69" s="57" t="s">
        <v>193</v>
      </c>
      <c r="D69" s="61" t="s">
        <v>1463</v>
      </c>
      <c r="E69" s="11" t="s">
        <v>9</v>
      </c>
    </row>
    <row r="70">
      <c r="B70" s="61" t="s">
        <v>1524</v>
      </c>
      <c r="C70" s="57" t="s">
        <v>193</v>
      </c>
      <c r="D70" s="61" t="s">
        <v>1465</v>
      </c>
      <c r="E70" s="11" t="s">
        <v>13</v>
      </c>
    </row>
    <row r="71">
      <c r="B71" s="61" t="s">
        <v>1524</v>
      </c>
      <c r="C71" s="57" t="s">
        <v>20</v>
      </c>
      <c r="D71" s="61" t="s">
        <v>1463</v>
      </c>
      <c r="E71" s="11" t="s">
        <v>9</v>
      </c>
    </row>
    <row r="72">
      <c r="B72" s="61" t="s">
        <v>1466</v>
      </c>
      <c r="C72" s="57" t="s">
        <v>19</v>
      </c>
      <c r="D72" s="61" t="s">
        <v>1465</v>
      </c>
      <c r="E72" s="11" t="s">
        <v>13</v>
      </c>
    </row>
    <row r="73">
      <c r="B73" s="61" t="s">
        <v>1466</v>
      </c>
      <c r="C73" s="57" t="s">
        <v>20</v>
      </c>
      <c r="D73" s="61" t="s">
        <v>1524</v>
      </c>
      <c r="E73" s="11" t="s">
        <v>9</v>
      </c>
    </row>
    <row r="74">
      <c r="B74" s="61" t="s">
        <v>1465</v>
      </c>
      <c r="C74" s="57" t="s">
        <v>158</v>
      </c>
      <c r="D74" s="61" t="s">
        <v>1523</v>
      </c>
      <c r="E74" s="11" t="s">
        <v>13</v>
      </c>
    </row>
    <row r="75">
      <c r="B75" s="61" t="s">
        <v>1466</v>
      </c>
      <c r="C75" s="57" t="s">
        <v>279</v>
      </c>
      <c r="D75" s="61" t="s">
        <v>1463</v>
      </c>
      <c r="E75" s="11" t="s">
        <v>9</v>
      </c>
    </row>
    <row r="76">
      <c r="B76" s="61" t="s">
        <v>1523</v>
      </c>
      <c r="C76" s="57" t="s">
        <v>1525</v>
      </c>
      <c r="D76" s="61" t="s">
        <v>1524</v>
      </c>
      <c r="E76" s="11" t="s">
        <v>13</v>
      </c>
    </row>
    <row r="77">
      <c r="B77" s="61" t="s">
        <v>1465</v>
      </c>
      <c r="C77" s="57" t="s">
        <v>158</v>
      </c>
      <c r="D77" s="61" t="s">
        <v>1463</v>
      </c>
      <c r="E77" s="11" t="s">
        <v>9</v>
      </c>
    </row>
    <row r="78">
      <c r="B78" s="61" t="s">
        <v>1523</v>
      </c>
      <c r="C78" s="57" t="s">
        <v>155</v>
      </c>
      <c r="D78" s="61" t="s">
        <v>1466</v>
      </c>
      <c r="E78" s="11" t="s">
        <v>13</v>
      </c>
    </row>
    <row r="79">
      <c r="B79" s="61" t="s">
        <v>1463</v>
      </c>
      <c r="C79" s="57" t="s">
        <v>357</v>
      </c>
      <c r="D79" s="61" t="s">
        <v>1523</v>
      </c>
      <c r="E79" s="11" t="s">
        <v>9</v>
      </c>
    </row>
    <row r="80">
      <c r="B80" s="61" t="s">
        <v>1465</v>
      </c>
      <c r="C80" s="57" t="s">
        <v>640</v>
      </c>
      <c r="D80" s="61" t="s">
        <v>1524</v>
      </c>
      <c r="E80" s="11" t="s">
        <v>13</v>
      </c>
    </row>
    <row r="81">
      <c r="B81" s="61" t="s">
        <v>1463</v>
      </c>
      <c r="C81" s="45" t="s">
        <v>185</v>
      </c>
      <c r="D81" s="61" t="s">
        <v>1524</v>
      </c>
      <c r="E81" s="11" t="s">
        <v>9</v>
      </c>
    </row>
    <row r="82">
      <c r="B82" s="61" t="s">
        <v>1465</v>
      </c>
      <c r="C82" s="45" t="s">
        <v>193</v>
      </c>
      <c r="D82" s="61" t="s">
        <v>1466</v>
      </c>
      <c r="E82" s="11" t="s">
        <v>13</v>
      </c>
    </row>
    <row r="83">
      <c r="B83" s="61" t="s">
        <v>1524</v>
      </c>
      <c r="C83" s="45" t="s">
        <v>210</v>
      </c>
      <c r="D83" s="61" t="s">
        <v>1466</v>
      </c>
      <c r="E83" s="11" t="s">
        <v>9</v>
      </c>
    </row>
    <row r="84">
      <c r="B84" s="61" t="s">
        <v>1523</v>
      </c>
      <c r="C84" s="45" t="s">
        <v>352</v>
      </c>
      <c r="D84" s="61" t="s">
        <v>1465</v>
      </c>
      <c r="E84" s="11" t="s">
        <v>13</v>
      </c>
    </row>
    <row r="85">
      <c r="B85" s="61" t="s">
        <v>1463</v>
      </c>
      <c r="C85" s="45" t="s">
        <v>195</v>
      </c>
      <c r="D85" s="61" t="s">
        <v>1466</v>
      </c>
      <c r="E85" s="11" t="s">
        <v>9</v>
      </c>
    </row>
    <row r="86">
      <c r="B86" s="61" t="s">
        <v>1524</v>
      </c>
      <c r="C86" s="45" t="s">
        <v>289</v>
      </c>
      <c r="D86" s="61" t="s">
        <v>1523</v>
      </c>
      <c r="E86" s="11" t="s">
        <v>13</v>
      </c>
    </row>
    <row r="87">
      <c r="B87" s="61" t="s">
        <v>1463</v>
      </c>
      <c r="C87" s="45" t="s">
        <v>24</v>
      </c>
      <c r="D87" s="61" t="s">
        <v>1465</v>
      </c>
      <c r="E87" s="11" t="s">
        <v>9</v>
      </c>
    </row>
    <row r="88">
      <c r="B88" s="61" t="s">
        <v>1466</v>
      </c>
      <c r="C88" s="45" t="s">
        <v>158</v>
      </c>
      <c r="D88" s="61" t="s">
        <v>1523</v>
      </c>
      <c r="E88" s="11" t="s">
        <v>13</v>
      </c>
    </row>
    <row r="89">
      <c r="B89" s="1" t="s">
        <v>1526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1527</v>
      </c>
      <c r="C91" s="45" t="s">
        <v>1528</v>
      </c>
      <c r="D91" s="61" t="s">
        <v>1469</v>
      </c>
      <c r="E91" s="11" t="s">
        <v>9</v>
      </c>
    </row>
    <row r="92">
      <c r="B92" s="61" t="s">
        <v>1529</v>
      </c>
      <c r="C92" s="45" t="s">
        <v>225</v>
      </c>
      <c r="D92" s="61" t="s">
        <v>1471</v>
      </c>
      <c r="E92" s="11" t="s">
        <v>13</v>
      </c>
    </row>
    <row r="93">
      <c r="B93" s="61" t="s">
        <v>1529</v>
      </c>
      <c r="C93" s="45" t="s">
        <v>248</v>
      </c>
      <c r="D93" s="61" t="s">
        <v>1469</v>
      </c>
      <c r="E93" s="11" t="s">
        <v>9</v>
      </c>
    </row>
    <row r="94">
      <c r="B94" s="61" t="s">
        <v>1530</v>
      </c>
      <c r="C94" s="45" t="s">
        <v>251</v>
      </c>
      <c r="D94" s="61" t="s">
        <v>1471</v>
      </c>
      <c r="E94" s="11" t="s">
        <v>13</v>
      </c>
    </row>
    <row r="95">
      <c r="B95" s="61" t="s">
        <v>1530</v>
      </c>
      <c r="C95" s="45" t="s">
        <v>11</v>
      </c>
      <c r="D95" s="61" t="s">
        <v>1529</v>
      </c>
      <c r="E95" s="11" t="s">
        <v>9</v>
      </c>
    </row>
    <row r="96">
      <c r="B96" s="61" t="s">
        <v>1471</v>
      </c>
      <c r="C96" s="45" t="s">
        <v>301</v>
      </c>
      <c r="D96" s="61" t="s">
        <v>1527</v>
      </c>
      <c r="E96" s="11" t="s">
        <v>13</v>
      </c>
    </row>
    <row r="97">
      <c r="B97" s="61" t="s">
        <v>1530</v>
      </c>
      <c r="C97" s="45" t="s">
        <v>158</v>
      </c>
      <c r="D97" s="61" t="s">
        <v>1469</v>
      </c>
      <c r="E97" s="11" t="s">
        <v>9</v>
      </c>
    </row>
    <row r="98">
      <c r="B98" s="61" t="s">
        <v>1527</v>
      </c>
      <c r="C98" s="45" t="s">
        <v>162</v>
      </c>
      <c r="D98" s="61" t="s">
        <v>1529</v>
      </c>
      <c r="E98" s="11" t="s">
        <v>13</v>
      </c>
    </row>
    <row r="99">
      <c r="B99" s="61" t="s">
        <v>1471</v>
      </c>
      <c r="C99" s="45" t="s">
        <v>220</v>
      </c>
      <c r="D99" s="61" t="s">
        <v>1469</v>
      </c>
      <c r="E99" s="11" t="s">
        <v>9</v>
      </c>
    </row>
    <row r="100">
      <c r="B100" s="61" t="s">
        <v>1527</v>
      </c>
      <c r="C100" s="45" t="s">
        <v>584</v>
      </c>
      <c r="D100" s="61" t="s">
        <v>1530</v>
      </c>
      <c r="E100" s="11" t="s">
        <v>13</v>
      </c>
    </row>
    <row r="101">
      <c r="B101" s="61" t="s">
        <v>1469</v>
      </c>
      <c r="C101" s="45" t="s">
        <v>181</v>
      </c>
      <c r="D101" s="61" t="s">
        <v>1527</v>
      </c>
      <c r="E101" s="11" t="s">
        <v>9</v>
      </c>
    </row>
    <row r="102">
      <c r="B102" s="61" t="s">
        <v>1471</v>
      </c>
      <c r="C102" s="45" t="s">
        <v>394</v>
      </c>
      <c r="D102" s="61" t="s">
        <v>1529</v>
      </c>
      <c r="E102" s="11" t="s">
        <v>13</v>
      </c>
    </row>
    <row r="103">
      <c r="B103" s="61" t="s">
        <v>1469</v>
      </c>
      <c r="C103" s="45" t="s">
        <v>334</v>
      </c>
      <c r="D103" s="61" t="s">
        <v>1529</v>
      </c>
      <c r="E103" s="11" t="s">
        <v>9</v>
      </c>
    </row>
    <row r="104">
      <c r="B104" s="61" t="s">
        <v>1471</v>
      </c>
      <c r="C104" s="45" t="s">
        <v>393</v>
      </c>
      <c r="D104" s="61" t="s">
        <v>1530</v>
      </c>
      <c r="E104" s="11" t="s">
        <v>13</v>
      </c>
    </row>
    <row r="105">
      <c r="B105" s="61" t="s">
        <v>1529</v>
      </c>
      <c r="C105" s="45" t="s">
        <v>1531</v>
      </c>
      <c r="D105" s="61" t="s">
        <v>1530</v>
      </c>
      <c r="E105" s="11" t="s">
        <v>9</v>
      </c>
    </row>
    <row r="106">
      <c r="B106" s="61" t="s">
        <v>1527</v>
      </c>
      <c r="C106" s="45" t="s">
        <v>233</v>
      </c>
      <c r="D106" s="61" t="s">
        <v>1471</v>
      </c>
      <c r="E106" s="11" t="s">
        <v>13</v>
      </c>
    </row>
    <row r="107">
      <c r="B107" s="61" t="s">
        <v>1469</v>
      </c>
      <c r="C107" s="45" t="s">
        <v>665</v>
      </c>
      <c r="D107" s="61" t="s">
        <v>1530</v>
      </c>
      <c r="E107" s="11" t="s">
        <v>9</v>
      </c>
    </row>
    <row r="108">
      <c r="B108" s="61" t="s">
        <v>1529</v>
      </c>
      <c r="C108" s="45" t="s">
        <v>173</v>
      </c>
      <c r="D108" s="61" t="s">
        <v>1527</v>
      </c>
      <c r="E108" s="11" t="s">
        <v>13</v>
      </c>
    </row>
    <row r="109">
      <c r="B109" s="61" t="s">
        <v>1469</v>
      </c>
      <c r="C109" s="45" t="s">
        <v>354</v>
      </c>
      <c r="D109" s="61" t="s">
        <v>1471</v>
      </c>
      <c r="E109" s="11" t="s">
        <v>9</v>
      </c>
    </row>
    <row r="110">
      <c r="B110" s="61" t="s">
        <v>1530</v>
      </c>
      <c r="C110" s="45" t="s">
        <v>248</v>
      </c>
      <c r="D110" s="61" t="s">
        <v>1527</v>
      </c>
      <c r="E110" s="11" t="s">
        <v>13</v>
      </c>
    </row>
    <row r="111">
      <c r="B111" s="1" t="s">
        <v>1532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1533</v>
      </c>
      <c r="C113" s="57" t="s">
        <v>185</v>
      </c>
      <c r="D113" s="61" t="s">
        <v>527</v>
      </c>
      <c r="E113" s="11" t="s">
        <v>9</v>
      </c>
    </row>
    <row r="114">
      <c r="B114" s="61" t="s">
        <v>1534</v>
      </c>
      <c r="C114" s="57" t="s">
        <v>344</v>
      </c>
      <c r="D114" s="61" t="s">
        <v>1535</v>
      </c>
      <c r="E114" s="11" t="s">
        <v>13</v>
      </c>
    </row>
    <row r="115">
      <c r="B115" s="61" t="s">
        <v>1534</v>
      </c>
      <c r="C115" s="57" t="s">
        <v>161</v>
      </c>
      <c r="D115" s="61" t="s">
        <v>527</v>
      </c>
      <c r="E115" s="11" t="s">
        <v>9</v>
      </c>
    </row>
    <row r="116">
      <c r="B116" s="61" t="s">
        <v>528</v>
      </c>
      <c r="C116" s="57" t="s">
        <v>354</v>
      </c>
      <c r="D116" s="61" t="s">
        <v>1535</v>
      </c>
      <c r="E116" s="11" t="s">
        <v>13</v>
      </c>
    </row>
    <row r="117">
      <c r="B117" s="61" t="s">
        <v>528</v>
      </c>
      <c r="C117" s="57" t="s">
        <v>1536</v>
      </c>
      <c r="D117" s="61" t="s">
        <v>1534</v>
      </c>
      <c r="E117" s="11" t="s">
        <v>9</v>
      </c>
    </row>
    <row r="118">
      <c r="B118" s="61" t="s">
        <v>1535</v>
      </c>
      <c r="C118" s="57" t="s">
        <v>184</v>
      </c>
      <c r="D118" s="61" t="s">
        <v>1533</v>
      </c>
      <c r="E118" s="11" t="s">
        <v>13</v>
      </c>
    </row>
    <row r="119">
      <c r="B119" s="61" t="s">
        <v>528</v>
      </c>
      <c r="C119" s="57" t="s">
        <v>220</v>
      </c>
      <c r="D119" s="61" t="s">
        <v>527</v>
      </c>
      <c r="E119" s="11" t="s">
        <v>9</v>
      </c>
    </row>
    <row r="120">
      <c r="B120" s="61" t="s">
        <v>1533</v>
      </c>
      <c r="C120" s="57" t="s">
        <v>165</v>
      </c>
      <c r="D120" s="61" t="s">
        <v>1534</v>
      </c>
      <c r="E120" s="11" t="s">
        <v>13</v>
      </c>
    </row>
    <row r="121">
      <c r="B121" s="61" t="s">
        <v>1535</v>
      </c>
      <c r="C121" s="57" t="s">
        <v>1537</v>
      </c>
      <c r="D121" s="61" t="s">
        <v>527</v>
      </c>
      <c r="E121" s="11" t="s">
        <v>9</v>
      </c>
    </row>
    <row r="122">
      <c r="B122" s="61" t="s">
        <v>1533</v>
      </c>
      <c r="C122" s="57" t="s">
        <v>421</v>
      </c>
      <c r="D122" s="61" t="s">
        <v>528</v>
      </c>
      <c r="E122" s="11" t="s">
        <v>13</v>
      </c>
    </row>
    <row r="123">
      <c r="B123" s="61" t="s">
        <v>527</v>
      </c>
      <c r="C123" s="57" t="s">
        <v>31</v>
      </c>
      <c r="D123" s="61" t="s">
        <v>1533</v>
      </c>
      <c r="E123" s="11" t="s">
        <v>9</v>
      </c>
    </row>
    <row r="124">
      <c r="A124" s="50" t="s">
        <v>505</v>
      </c>
      <c r="B124" s="61" t="s">
        <v>1535</v>
      </c>
      <c r="C124" s="57" t="s">
        <v>265</v>
      </c>
      <c r="D124" s="61" t="s">
        <v>1534</v>
      </c>
      <c r="E124" s="11" t="s">
        <v>13</v>
      </c>
    </row>
    <row r="125">
      <c r="B125" s="61" t="s">
        <v>527</v>
      </c>
      <c r="C125" s="45" t="s">
        <v>155</v>
      </c>
      <c r="D125" s="61" t="s">
        <v>1534</v>
      </c>
      <c r="E125" s="11" t="s">
        <v>9</v>
      </c>
    </row>
    <row r="126">
      <c r="B126" s="61" t="s">
        <v>1535</v>
      </c>
      <c r="C126" s="45" t="s">
        <v>21</v>
      </c>
      <c r="D126" s="61" t="s">
        <v>528</v>
      </c>
      <c r="E126" s="11" t="s">
        <v>13</v>
      </c>
    </row>
    <row r="127">
      <c r="B127" s="61" t="s">
        <v>1534</v>
      </c>
      <c r="C127" s="45" t="s">
        <v>219</v>
      </c>
      <c r="D127" s="61" t="s">
        <v>528</v>
      </c>
      <c r="E127" s="11" t="s">
        <v>9</v>
      </c>
    </row>
    <row r="128">
      <c r="B128" s="61" t="s">
        <v>1533</v>
      </c>
      <c r="C128" s="45" t="s">
        <v>248</v>
      </c>
      <c r="D128" s="61" t="s">
        <v>1535</v>
      </c>
      <c r="E128" s="11" t="s">
        <v>13</v>
      </c>
    </row>
    <row r="129">
      <c r="B129" s="61" t="s">
        <v>527</v>
      </c>
      <c r="C129" s="45" t="s">
        <v>573</v>
      </c>
      <c r="D129" s="61" t="s">
        <v>528</v>
      </c>
      <c r="E129" s="11" t="s">
        <v>9</v>
      </c>
    </row>
    <row r="130">
      <c r="B130" s="61" t="s">
        <v>1534</v>
      </c>
      <c r="C130" s="45" t="s">
        <v>19</v>
      </c>
      <c r="D130" s="61" t="s">
        <v>1533</v>
      </c>
      <c r="E130" s="11" t="s">
        <v>13</v>
      </c>
    </row>
    <row r="131">
      <c r="B131" s="61" t="s">
        <v>527</v>
      </c>
      <c r="C131" s="45" t="s">
        <v>362</v>
      </c>
      <c r="D131" s="61" t="s">
        <v>1535</v>
      </c>
      <c r="E131" s="11" t="s">
        <v>9</v>
      </c>
    </row>
    <row r="132">
      <c r="B132" s="61" t="s">
        <v>528</v>
      </c>
      <c r="C132" s="45" t="s">
        <v>41</v>
      </c>
      <c r="D132" s="61" t="s">
        <v>1533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1539</v>
      </c>
      <c r="C135" s="57" t="s">
        <v>248</v>
      </c>
      <c r="D135" s="61" t="s">
        <v>1540</v>
      </c>
      <c r="E135" s="11" t="s">
        <v>29</v>
      </c>
    </row>
    <row r="136">
      <c r="B136" s="61" t="s">
        <v>1541</v>
      </c>
      <c r="C136" s="81" t="s">
        <v>668</v>
      </c>
      <c r="D136" s="61" t="s">
        <v>1542</v>
      </c>
      <c r="E136" s="15" t="s">
        <v>33</v>
      </c>
    </row>
    <row r="137">
      <c r="B137" s="61" t="s">
        <v>1541</v>
      </c>
      <c r="C137" s="81" t="s">
        <v>668</v>
      </c>
      <c r="D137" s="61" t="s">
        <v>1540</v>
      </c>
      <c r="E137" s="15" t="s">
        <v>29</v>
      </c>
    </row>
    <row r="138">
      <c r="B138" s="61" t="s">
        <v>1543</v>
      </c>
      <c r="C138" s="57" t="s">
        <v>193</v>
      </c>
      <c r="D138" s="61" t="s">
        <v>1542</v>
      </c>
      <c r="E138" s="11" t="s">
        <v>33</v>
      </c>
    </row>
    <row r="139">
      <c r="B139" s="61" t="s">
        <v>1543</v>
      </c>
      <c r="C139" s="81" t="s">
        <v>668</v>
      </c>
      <c r="D139" s="61" t="s">
        <v>1541</v>
      </c>
      <c r="E139" s="15" t="s">
        <v>29</v>
      </c>
    </row>
    <row r="140">
      <c r="B140" s="61" t="s">
        <v>1542</v>
      </c>
      <c r="C140" s="57" t="s">
        <v>7</v>
      </c>
      <c r="D140" s="61" t="s">
        <v>1539</v>
      </c>
      <c r="E140" s="11" t="s">
        <v>33</v>
      </c>
    </row>
    <row r="141">
      <c r="B141" s="61" t="s">
        <v>1543</v>
      </c>
      <c r="C141" s="57" t="s">
        <v>344</v>
      </c>
      <c r="D141" s="61" t="s">
        <v>1540</v>
      </c>
      <c r="E141" s="11" t="s">
        <v>29</v>
      </c>
    </row>
    <row r="142">
      <c r="B142" s="61" t="s">
        <v>1539</v>
      </c>
      <c r="C142" s="81" t="s">
        <v>668</v>
      </c>
      <c r="D142" s="61" t="s">
        <v>1541</v>
      </c>
      <c r="E142" s="15" t="s">
        <v>33</v>
      </c>
    </row>
    <row r="143">
      <c r="B143" s="61" t="s">
        <v>1542</v>
      </c>
      <c r="C143" s="57" t="s">
        <v>354</v>
      </c>
      <c r="D143" s="61" t="s">
        <v>1540</v>
      </c>
      <c r="E143" s="11" t="s">
        <v>29</v>
      </c>
    </row>
    <row r="144">
      <c r="B144" s="61" t="s">
        <v>1539</v>
      </c>
      <c r="C144" s="57" t="s">
        <v>1189</v>
      </c>
      <c r="D144" s="61" t="s">
        <v>1543</v>
      </c>
      <c r="E144" s="11" t="s">
        <v>33</v>
      </c>
    </row>
    <row r="145">
      <c r="B145" s="61" t="s">
        <v>1540</v>
      </c>
      <c r="C145" s="57" t="s">
        <v>176</v>
      </c>
      <c r="D145" s="61" t="s">
        <v>1539</v>
      </c>
      <c r="E145" s="11" t="s">
        <v>29</v>
      </c>
    </row>
    <row r="146">
      <c r="B146" s="61" t="s">
        <v>1542</v>
      </c>
      <c r="C146" s="81" t="s">
        <v>668</v>
      </c>
      <c r="D146" s="61" t="s">
        <v>1541</v>
      </c>
      <c r="E146" s="15" t="s">
        <v>33</v>
      </c>
    </row>
    <row r="147">
      <c r="B147" s="61" t="s">
        <v>1540</v>
      </c>
      <c r="C147" s="81" t="s">
        <v>668</v>
      </c>
      <c r="D147" s="61" t="s">
        <v>1541</v>
      </c>
      <c r="E147" s="15" t="s">
        <v>29</v>
      </c>
    </row>
    <row r="148">
      <c r="B148" s="61" t="s">
        <v>1542</v>
      </c>
      <c r="C148" s="45" t="s">
        <v>219</v>
      </c>
      <c r="D148" s="61" t="s">
        <v>1543</v>
      </c>
      <c r="E148" s="11" t="s">
        <v>33</v>
      </c>
    </row>
    <row r="149">
      <c r="B149" s="61" t="s">
        <v>1541</v>
      </c>
      <c r="C149" s="81" t="s">
        <v>668</v>
      </c>
      <c r="D149" s="61" t="s">
        <v>1543</v>
      </c>
      <c r="E149" s="15" t="s">
        <v>29</v>
      </c>
    </row>
    <row r="150">
      <c r="B150" s="61" t="s">
        <v>1539</v>
      </c>
      <c r="C150" s="45" t="s">
        <v>351</v>
      </c>
      <c r="D150" s="61" t="s">
        <v>1542</v>
      </c>
      <c r="E150" s="11" t="s">
        <v>33</v>
      </c>
    </row>
    <row r="151">
      <c r="B151" s="61" t="s">
        <v>1540</v>
      </c>
      <c r="C151" s="45" t="s">
        <v>177</v>
      </c>
      <c r="D151" s="61" t="s">
        <v>1543</v>
      </c>
      <c r="E151" s="11" t="s">
        <v>29</v>
      </c>
    </row>
    <row r="152">
      <c r="B152" s="61" t="s">
        <v>1541</v>
      </c>
      <c r="C152" s="81" t="s">
        <v>668</v>
      </c>
      <c r="D152" s="61" t="s">
        <v>1539</v>
      </c>
      <c r="E152" s="15" t="s">
        <v>33</v>
      </c>
    </row>
    <row r="153">
      <c r="B153" s="61" t="s">
        <v>1540</v>
      </c>
      <c r="C153" s="45" t="s">
        <v>23</v>
      </c>
      <c r="D153" s="61" t="s">
        <v>1542</v>
      </c>
      <c r="E153" s="11" t="s">
        <v>29</v>
      </c>
    </row>
    <row r="154">
      <c r="B154" s="61" t="s">
        <v>1543</v>
      </c>
      <c r="C154" s="45" t="s">
        <v>164</v>
      </c>
      <c r="D154" s="61" t="s">
        <v>1539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1545</v>
      </c>
      <c r="C157" s="45" t="s">
        <v>281</v>
      </c>
      <c r="D157" s="61" t="s">
        <v>1546</v>
      </c>
      <c r="E157" s="11" t="s">
        <v>9</v>
      </c>
    </row>
    <row r="158">
      <c r="B158" s="61" t="s">
        <v>1547</v>
      </c>
      <c r="C158" s="45" t="s">
        <v>790</v>
      </c>
      <c r="D158" s="61" t="s">
        <v>1548</v>
      </c>
      <c r="E158" s="11" t="s">
        <v>13</v>
      </c>
    </row>
    <row r="159">
      <c r="B159" s="61" t="s">
        <v>1547</v>
      </c>
      <c r="C159" s="45" t="s">
        <v>158</v>
      </c>
      <c r="D159" s="61" t="s">
        <v>1546</v>
      </c>
      <c r="E159" s="11" t="s">
        <v>9</v>
      </c>
    </row>
    <row r="160">
      <c r="B160" s="61" t="s">
        <v>1549</v>
      </c>
      <c r="C160" s="45" t="s">
        <v>545</v>
      </c>
      <c r="D160" s="61" t="s">
        <v>1548</v>
      </c>
      <c r="E160" s="11" t="s">
        <v>13</v>
      </c>
    </row>
    <row r="161">
      <c r="B161" s="61" t="s">
        <v>1549</v>
      </c>
      <c r="C161" s="45" t="s">
        <v>194</v>
      </c>
      <c r="D161" s="61" t="s">
        <v>1547</v>
      </c>
      <c r="E161" s="11" t="s">
        <v>9</v>
      </c>
    </row>
    <row r="162">
      <c r="B162" s="61" t="s">
        <v>1548</v>
      </c>
      <c r="C162" s="45" t="s">
        <v>23</v>
      </c>
      <c r="D162" s="61" t="s">
        <v>1545</v>
      </c>
      <c r="E162" s="11" t="s">
        <v>13</v>
      </c>
    </row>
    <row r="163">
      <c r="B163" s="61" t="s">
        <v>1549</v>
      </c>
      <c r="C163" s="45" t="s">
        <v>43</v>
      </c>
      <c r="D163" s="61" t="s">
        <v>1546</v>
      </c>
      <c r="E163" s="11" t="s">
        <v>9</v>
      </c>
    </row>
    <row r="164">
      <c r="B164" s="61" t="s">
        <v>1545</v>
      </c>
      <c r="C164" s="45" t="s">
        <v>17</v>
      </c>
      <c r="D164" s="61" t="s">
        <v>1547</v>
      </c>
      <c r="E164" s="11" t="s">
        <v>13</v>
      </c>
    </row>
    <row r="165">
      <c r="B165" s="61" t="s">
        <v>1548</v>
      </c>
      <c r="C165" s="45" t="s">
        <v>196</v>
      </c>
      <c r="D165" s="61" t="s">
        <v>1546</v>
      </c>
      <c r="E165" s="11" t="s">
        <v>9</v>
      </c>
    </row>
    <row r="166">
      <c r="B166" s="61" t="s">
        <v>1545</v>
      </c>
      <c r="C166" s="45" t="s">
        <v>164</v>
      </c>
      <c r="D166" s="61" t="s">
        <v>1549</v>
      </c>
      <c r="E166" s="11" t="s">
        <v>13</v>
      </c>
    </row>
    <row r="167">
      <c r="B167" s="61" t="s">
        <v>1546</v>
      </c>
      <c r="C167" s="45" t="s">
        <v>1550</v>
      </c>
      <c r="D167" s="61" t="s">
        <v>1545</v>
      </c>
      <c r="E167" s="11" t="s">
        <v>9</v>
      </c>
    </row>
    <row r="168">
      <c r="B168" s="61" t="s">
        <v>1548</v>
      </c>
      <c r="C168" s="45" t="s">
        <v>281</v>
      </c>
      <c r="D168" s="61" t="s">
        <v>1547</v>
      </c>
      <c r="E168" s="11" t="s">
        <v>13</v>
      </c>
    </row>
    <row r="169">
      <c r="B169" s="61" t="s">
        <v>1546</v>
      </c>
      <c r="C169" s="45" t="s">
        <v>302</v>
      </c>
      <c r="D169" s="61" t="s">
        <v>1547</v>
      </c>
      <c r="E169" s="11" t="s">
        <v>9</v>
      </c>
    </row>
    <row r="170">
      <c r="B170" s="61" t="s">
        <v>1548</v>
      </c>
      <c r="C170" s="45" t="s">
        <v>574</v>
      </c>
      <c r="D170" s="61" t="s">
        <v>1549</v>
      </c>
      <c r="E170" s="11" t="s">
        <v>13</v>
      </c>
    </row>
    <row r="171">
      <c r="B171" s="61" t="s">
        <v>1547</v>
      </c>
      <c r="C171" s="45" t="s">
        <v>41</v>
      </c>
      <c r="D171" s="61" t="s">
        <v>1549</v>
      </c>
      <c r="E171" s="11" t="s">
        <v>9</v>
      </c>
    </row>
    <row r="172">
      <c r="B172" s="61" t="s">
        <v>1545</v>
      </c>
      <c r="C172" s="45" t="s">
        <v>41</v>
      </c>
      <c r="D172" s="61" t="s">
        <v>1548</v>
      </c>
      <c r="E172" s="11" t="s">
        <v>13</v>
      </c>
    </row>
    <row r="173">
      <c r="B173" s="61" t="s">
        <v>1546</v>
      </c>
      <c r="C173" s="45" t="s">
        <v>271</v>
      </c>
      <c r="D173" s="61" t="s">
        <v>1549</v>
      </c>
      <c r="E173" s="11" t="s">
        <v>9</v>
      </c>
    </row>
    <row r="174">
      <c r="B174" s="61" t="s">
        <v>1547</v>
      </c>
      <c r="C174" s="45" t="s">
        <v>173</v>
      </c>
      <c r="D174" s="61" t="s">
        <v>1545</v>
      </c>
      <c r="E174" s="11" t="s">
        <v>13</v>
      </c>
    </row>
    <row r="175">
      <c r="B175" s="61" t="s">
        <v>1546</v>
      </c>
      <c r="C175" s="45" t="s">
        <v>161</v>
      </c>
      <c r="D175" s="61" t="s">
        <v>1548</v>
      </c>
      <c r="E175" s="11" t="s">
        <v>9</v>
      </c>
    </row>
    <row r="176">
      <c r="B176" s="61" t="s">
        <v>1549</v>
      </c>
      <c r="C176" s="45" t="s">
        <v>751</v>
      </c>
      <c r="D176" s="61" t="s">
        <v>1545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1011</v>
      </c>
      <c r="C179" s="57" t="s">
        <v>566</v>
      </c>
      <c r="D179" s="61" t="s">
        <v>1345</v>
      </c>
      <c r="E179" s="11" t="s">
        <v>29</v>
      </c>
    </row>
    <row r="180">
      <c r="B180" s="61" t="s">
        <v>1551</v>
      </c>
      <c r="C180" s="81" t="s">
        <v>668</v>
      </c>
      <c r="D180" s="61" t="s">
        <v>1361</v>
      </c>
      <c r="E180" s="15" t="s">
        <v>33</v>
      </c>
    </row>
    <row r="181">
      <c r="B181" s="61" t="s">
        <v>1551</v>
      </c>
      <c r="C181" s="81" t="s">
        <v>668</v>
      </c>
      <c r="D181" s="61" t="s">
        <v>1345</v>
      </c>
      <c r="E181" s="15" t="s">
        <v>29</v>
      </c>
    </row>
    <row r="182">
      <c r="B182" s="61" t="s">
        <v>1552</v>
      </c>
      <c r="C182" s="57" t="s">
        <v>163</v>
      </c>
      <c r="D182" s="61" t="s">
        <v>1361</v>
      </c>
      <c r="E182" s="11" t="s">
        <v>33</v>
      </c>
    </row>
    <row r="183">
      <c r="B183" s="61" t="s">
        <v>1552</v>
      </c>
      <c r="C183" s="81" t="s">
        <v>668</v>
      </c>
      <c r="D183" s="61" t="s">
        <v>1551</v>
      </c>
      <c r="E183" s="15" t="s">
        <v>29</v>
      </c>
    </row>
    <row r="184">
      <c r="B184" s="61" t="s">
        <v>1361</v>
      </c>
      <c r="C184" s="57" t="s">
        <v>417</v>
      </c>
      <c r="D184" s="61" t="s">
        <v>1011</v>
      </c>
      <c r="E184" s="11" t="s">
        <v>33</v>
      </c>
    </row>
    <row r="185">
      <c r="B185" s="61" t="s">
        <v>1552</v>
      </c>
      <c r="C185" s="57" t="s">
        <v>27</v>
      </c>
      <c r="D185" s="61" t="s">
        <v>1345</v>
      </c>
      <c r="E185" s="11" t="s">
        <v>29</v>
      </c>
    </row>
    <row r="186">
      <c r="B186" s="61" t="s">
        <v>1011</v>
      </c>
      <c r="C186" s="81" t="s">
        <v>668</v>
      </c>
      <c r="D186" s="61" t="s">
        <v>1551</v>
      </c>
      <c r="E186" s="15" t="s">
        <v>33</v>
      </c>
    </row>
    <row r="187">
      <c r="B187" s="61" t="s">
        <v>1361</v>
      </c>
      <c r="C187" s="84" t="s">
        <v>163</v>
      </c>
      <c r="D187" s="61" t="s">
        <v>1345</v>
      </c>
      <c r="E187" s="11" t="s">
        <v>29</v>
      </c>
    </row>
    <row r="188">
      <c r="B188" s="61" t="s">
        <v>1011</v>
      </c>
      <c r="C188" s="57" t="s">
        <v>193</v>
      </c>
      <c r="D188" s="61" t="s">
        <v>1552</v>
      </c>
      <c r="E188" s="11" t="s">
        <v>33</v>
      </c>
    </row>
    <row r="189">
      <c r="B189" s="61" t="s">
        <v>1345</v>
      </c>
      <c r="C189" s="57" t="s">
        <v>1553</v>
      </c>
      <c r="D189" s="61" t="s">
        <v>1011</v>
      </c>
      <c r="E189" s="11" t="s">
        <v>29</v>
      </c>
    </row>
    <row r="190">
      <c r="B190" s="61" t="s">
        <v>1361</v>
      </c>
      <c r="C190" s="81" t="s">
        <v>668</v>
      </c>
      <c r="D190" s="61" t="s">
        <v>1551</v>
      </c>
      <c r="E190" s="15" t="s">
        <v>33</v>
      </c>
    </row>
    <row r="191">
      <c r="B191" s="61" t="s">
        <v>1345</v>
      </c>
      <c r="C191" s="81" t="s">
        <v>668</v>
      </c>
      <c r="D191" s="61" t="s">
        <v>1551</v>
      </c>
      <c r="E191" s="15" t="s">
        <v>29</v>
      </c>
    </row>
    <row r="192">
      <c r="B192" s="61" t="s">
        <v>1361</v>
      </c>
      <c r="C192" s="45" t="s">
        <v>164</v>
      </c>
      <c r="D192" s="61" t="s">
        <v>1552</v>
      </c>
      <c r="E192" s="11" t="s">
        <v>33</v>
      </c>
    </row>
    <row r="193">
      <c r="B193" s="61" t="s">
        <v>1551</v>
      </c>
      <c r="C193" s="81" t="s">
        <v>668</v>
      </c>
      <c r="D193" s="61" t="s">
        <v>1552</v>
      </c>
      <c r="E193" s="15" t="s">
        <v>29</v>
      </c>
    </row>
    <row r="194">
      <c r="B194" s="61" t="s">
        <v>1011</v>
      </c>
      <c r="C194" s="45" t="s">
        <v>304</v>
      </c>
      <c r="D194" s="61" t="s">
        <v>1361</v>
      </c>
      <c r="E194" s="11" t="s">
        <v>33</v>
      </c>
    </row>
    <row r="195">
      <c r="B195" s="61" t="s">
        <v>1345</v>
      </c>
      <c r="C195" s="45" t="s">
        <v>43</v>
      </c>
      <c r="D195" s="61" t="s">
        <v>1552</v>
      </c>
      <c r="E195" s="11" t="s">
        <v>29</v>
      </c>
    </row>
    <row r="196">
      <c r="B196" s="61" t="s">
        <v>1551</v>
      </c>
      <c r="C196" s="81" t="s">
        <v>668</v>
      </c>
      <c r="D196" s="61" t="s">
        <v>1011</v>
      </c>
      <c r="E196" s="15" t="s">
        <v>33</v>
      </c>
    </row>
    <row r="197">
      <c r="B197" s="61" t="s">
        <v>1345</v>
      </c>
      <c r="C197" s="45" t="s">
        <v>18</v>
      </c>
      <c r="D197" s="61" t="s">
        <v>1361</v>
      </c>
      <c r="E197" s="11" t="s">
        <v>29</v>
      </c>
    </row>
    <row r="198">
      <c r="B198" s="61" t="s">
        <v>1552</v>
      </c>
      <c r="C198" s="45" t="s">
        <v>279</v>
      </c>
      <c r="D198" s="61" t="s">
        <v>1011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1555</v>
      </c>
      <c r="C201" s="45" t="s">
        <v>43</v>
      </c>
      <c r="D201" s="61" t="s">
        <v>1556</v>
      </c>
      <c r="E201" s="11" t="s">
        <v>29</v>
      </c>
    </row>
    <row r="202">
      <c r="B202" s="61" t="s">
        <v>1557</v>
      </c>
      <c r="C202" s="45" t="s">
        <v>292</v>
      </c>
      <c r="D202" s="61" t="s">
        <v>1558</v>
      </c>
      <c r="E202" s="11" t="s">
        <v>33</v>
      </c>
    </row>
    <row r="203">
      <c r="B203" s="61" t="s">
        <v>1557</v>
      </c>
      <c r="C203" s="45" t="s">
        <v>258</v>
      </c>
      <c r="D203" s="61" t="s">
        <v>1556</v>
      </c>
      <c r="E203" s="11" t="s">
        <v>29</v>
      </c>
    </row>
    <row r="204">
      <c r="B204" s="61" t="s">
        <v>1559</v>
      </c>
      <c r="C204" s="45" t="s">
        <v>23</v>
      </c>
      <c r="D204" s="61" t="s">
        <v>1558</v>
      </c>
      <c r="E204" s="11" t="s">
        <v>33</v>
      </c>
    </row>
    <row r="205">
      <c r="B205" s="61" t="s">
        <v>1559</v>
      </c>
      <c r="C205" s="45" t="s">
        <v>184</v>
      </c>
      <c r="D205" s="61" t="s">
        <v>1557</v>
      </c>
      <c r="E205" s="11" t="s">
        <v>29</v>
      </c>
    </row>
    <row r="206">
      <c r="B206" s="61" t="s">
        <v>1558</v>
      </c>
      <c r="C206" s="45" t="s">
        <v>20</v>
      </c>
      <c r="D206" s="61" t="s">
        <v>1555</v>
      </c>
      <c r="E206" s="11" t="s">
        <v>33</v>
      </c>
    </row>
    <row r="207">
      <c r="B207" s="61" t="s">
        <v>1559</v>
      </c>
      <c r="C207" s="45" t="s">
        <v>164</v>
      </c>
      <c r="D207" s="61" t="s">
        <v>1556</v>
      </c>
      <c r="E207" s="11" t="s">
        <v>29</v>
      </c>
    </row>
    <row r="208">
      <c r="B208" s="61" t="s">
        <v>1555</v>
      </c>
      <c r="C208" s="45" t="s">
        <v>327</v>
      </c>
      <c r="D208" s="61" t="s">
        <v>1557</v>
      </c>
      <c r="E208" s="11" t="s">
        <v>33</v>
      </c>
    </row>
    <row r="209">
      <c r="B209" s="61" t="s">
        <v>1558</v>
      </c>
      <c r="C209" s="45" t="s">
        <v>177</v>
      </c>
      <c r="D209" s="61" t="s">
        <v>1556</v>
      </c>
      <c r="E209" s="11" t="s">
        <v>29</v>
      </c>
    </row>
    <row r="210">
      <c r="B210" s="61" t="s">
        <v>1555</v>
      </c>
      <c r="C210" s="45" t="s">
        <v>549</v>
      </c>
      <c r="D210" s="61" t="s">
        <v>1559</v>
      </c>
      <c r="E210" s="11" t="s">
        <v>33</v>
      </c>
    </row>
    <row r="211">
      <c r="B211" s="61" t="s">
        <v>1556</v>
      </c>
      <c r="C211" s="45" t="s">
        <v>227</v>
      </c>
      <c r="D211" s="61" t="s">
        <v>1555</v>
      </c>
      <c r="E211" s="11" t="s">
        <v>29</v>
      </c>
    </row>
    <row r="212">
      <c r="B212" s="61" t="s">
        <v>1558</v>
      </c>
      <c r="C212" s="45" t="s">
        <v>313</v>
      </c>
      <c r="D212" s="61" t="s">
        <v>1557</v>
      </c>
      <c r="E212" s="11" t="s">
        <v>33</v>
      </c>
    </row>
    <row r="213">
      <c r="B213" s="61" t="s">
        <v>1556</v>
      </c>
      <c r="C213" s="45" t="s">
        <v>20</v>
      </c>
      <c r="D213" s="61" t="s">
        <v>1557</v>
      </c>
      <c r="E213" s="11" t="s">
        <v>29</v>
      </c>
    </row>
    <row r="214">
      <c r="B214" s="61" t="s">
        <v>1558</v>
      </c>
      <c r="C214" s="45" t="s">
        <v>291</v>
      </c>
      <c r="D214" s="61" t="s">
        <v>1559</v>
      </c>
      <c r="E214" s="11" t="s">
        <v>33</v>
      </c>
    </row>
    <row r="215">
      <c r="B215" s="61" t="s">
        <v>1557</v>
      </c>
      <c r="C215" s="45" t="s">
        <v>196</v>
      </c>
      <c r="D215" s="61" t="s">
        <v>1559</v>
      </c>
      <c r="E215" s="11" t="s">
        <v>29</v>
      </c>
    </row>
    <row r="216">
      <c r="B216" s="61" t="s">
        <v>1555</v>
      </c>
      <c r="C216" s="45" t="s">
        <v>7</v>
      </c>
      <c r="D216" s="61" t="s">
        <v>1558</v>
      </c>
      <c r="E216" s="11" t="s">
        <v>33</v>
      </c>
    </row>
    <row r="217">
      <c r="B217" s="61" t="s">
        <v>1556</v>
      </c>
      <c r="C217" s="45" t="s">
        <v>271</v>
      </c>
      <c r="D217" s="61" t="s">
        <v>1559</v>
      </c>
      <c r="E217" s="11" t="s">
        <v>29</v>
      </c>
    </row>
    <row r="218">
      <c r="B218" s="61" t="s">
        <v>1557</v>
      </c>
      <c r="C218" s="45" t="s">
        <v>163</v>
      </c>
      <c r="D218" s="61" t="s">
        <v>1555</v>
      </c>
      <c r="E218" s="11" t="s">
        <v>33</v>
      </c>
    </row>
    <row r="219">
      <c r="B219" s="61" t="s">
        <v>1556</v>
      </c>
      <c r="C219" s="45" t="s">
        <v>16</v>
      </c>
      <c r="D219" s="61" t="s">
        <v>1558</v>
      </c>
      <c r="E219" s="11" t="s">
        <v>29</v>
      </c>
    </row>
    <row r="220">
      <c r="B220" s="61" t="s">
        <v>1559</v>
      </c>
      <c r="C220" s="45" t="s">
        <v>173</v>
      </c>
      <c r="D220" s="61" t="s">
        <v>1555</v>
      </c>
      <c r="E220" s="11" t="s">
        <v>33</v>
      </c>
    </row>
    <row r="221">
      <c r="B221" s="52" t="s">
        <v>1560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1561</v>
      </c>
      <c r="C223" s="57" t="s">
        <v>342</v>
      </c>
      <c r="D223" s="62" t="s">
        <v>1562</v>
      </c>
      <c r="E223" s="11" t="s">
        <v>9</v>
      </c>
    </row>
    <row r="224">
      <c r="B224" s="62" t="s">
        <v>1563</v>
      </c>
      <c r="C224" s="57" t="s">
        <v>19</v>
      </c>
      <c r="D224" s="62" t="s">
        <v>1564</v>
      </c>
      <c r="E224" s="11" t="s">
        <v>13</v>
      </c>
    </row>
    <row r="225">
      <c r="B225" s="62" t="s">
        <v>1563</v>
      </c>
      <c r="C225" s="57" t="s">
        <v>203</v>
      </c>
      <c r="D225" s="62" t="s">
        <v>1562</v>
      </c>
      <c r="E225" s="11" t="s">
        <v>9</v>
      </c>
    </row>
    <row r="226">
      <c r="B226" s="62" t="s">
        <v>1565</v>
      </c>
      <c r="C226" s="57" t="s">
        <v>309</v>
      </c>
      <c r="D226" s="62" t="s">
        <v>1564</v>
      </c>
      <c r="E226" s="11" t="s">
        <v>13</v>
      </c>
    </row>
    <row r="227">
      <c r="B227" s="62" t="s">
        <v>1565</v>
      </c>
      <c r="C227" s="57" t="s">
        <v>23</v>
      </c>
      <c r="D227" s="62" t="s">
        <v>1563</v>
      </c>
      <c r="E227" s="11" t="s">
        <v>9</v>
      </c>
    </row>
    <row r="228">
      <c r="B228" s="62" t="s">
        <v>1564</v>
      </c>
      <c r="C228" s="57" t="s">
        <v>162</v>
      </c>
      <c r="D228" s="62" t="s">
        <v>1561</v>
      </c>
      <c r="E228" s="11" t="s">
        <v>13</v>
      </c>
    </row>
    <row r="229">
      <c r="B229" s="62" t="s">
        <v>1565</v>
      </c>
      <c r="C229" s="57" t="s">
        <v>465</v>
      </c>
      <c r="D229" s="62" t="s">
        <v>1562</v>
      </c>
      <c r="E229" s="11" t="s">
        <v>9</v>
      </c>
    </row>
    <row r="230">
      <c r="B230" s="62" t="s">
        <v>1561</v>
      </c>
      <c r="C230" s="57" t="s">
        <v>301</v>
      </c>
      <c r="D230" s="62" t="s">
        <v>1563</v>
      </c>
      <c r="E230" s="11" t="s">
        <v>13</v>
      </c>
    </row>
    <row r="231">
      <c r="B231" s="62" t="s">
        <v>1564</v>
      </c>
      <c r="C231" s="57" t="s">
        <v>44</v>
      </c>
      <c r="D231" s="62" t="s">
        <v>1562</v>
      </c>
      <c r="E231" s="11" t="s">
        <v>9</v>
      </c>
    </row>
    <row r="232">
      <c r="B232" s="62" t="s">
        <v>1561</v>
      </c>
      <c r="C232" s="57" t="s">
        <v>311</v>
      </c>
      <c r="D232" s="62" t="s">
        <v>1565</v>
      </c>
      <c r="E232" s="11" t="s">
        <v>13</v>
      </c>
    </row>
    <row r="233">
      <c r="B233" s="62" t="s">
        <v>1562</v>
      </c>
      <c r="C233" s="57" t="s">
        <v>16</v>
      </c>
      <c r="D233" s="62" t="s">
        <v>1561</v>
      </c>
      <c r="E233" s="11" t="s">
        <v>9</v>
      </c>
    </row>
    <row r="234">
      <c r="B234" s="62" t="s">
        <v>1564</v>
      </c>
      <c r="C234" s="57" t="s">
        <v>18</v>
      </c>
      <c r="D234" s="62" t="s">
        <v>1563</v>
      </c>
      <c r="E234" s="11" t="s">
        <v>13</v>
      </c>
    </row>
    <row r="235">
      <c r="B235" s="62" t="s">
        <v>1562</v>
      </c>
      <c r="C235" s="45" t="s">
        <v>193</v>
      </c>
      <c r="D235" s="62" t="s">
        <v>1563</v>
      </c>
      <c r="E235" s="11" t="s">
        <v>9</v>
      </c>
    </row>
    <row r="236">
      <c r="B236" s="62" t="s">
        <v>1564</v>
      </c>
      <c r="C236" s="45" t="s">
        <v>37</v>
      </c>
      <c r="D236" s="62" t="s">
        <v>1565</v>
      </c>
      <c r="E236" s="11" t="s">
        <v>13</v>
      </c>
    </row>
    <row r="237">
      <c r="B237" s="62" t="s">
        <v>1563</v>
      </c>
      <c r="C237" s="45" t="s">
        <v>194</v>
      </c>
      <c r="D237" s="62" t="s">
        <v>1565</v>
      </c>
      <c r="E237" s="11" t="s">
        <v>9</v>
      </c>
    </row>
    <row r="238">
      <c r="B238" s="62" t="s">
        <v>1561</v>
      </c>
      <c r="C238" s="45" t="s">
        <v>16</v>
      </c>
      <c r="D238" s="62" t="s">
        <v>1564</v>
      </c>
      <c r="E238" s="11" t="s">
        <v>13</v>
      </c>
    </row>
    <row r="239">
      <c r="B239" s="62" t="s">
        <v>1562</v>
      </c>
      <c r="C239" s="45" t="s">
        <v>194</v>
      </c>
      <c r="D239" s="62" t="s">
        <v>1565</v>
      </c>
      <c r="E239" s="11" t="s">
        <v>9</v>
      </c>
    </row>
    <row r="240">
      <c r="B240" s="62" t="s">
        <v>1563</v>
      </c>
      <c r="C240" s="45" t="s">
        <v>290</v>
      </c>
      <c r="D240" s="62" t="s">
        <v>1561</v>
      </c>
      <c r="E240" s="11" t="s">
        <v>13</v>
      </c>
    </row>
    <row r="241">
      <c r="B241" s="62" t="s">
        <v>1562</v>
      </c>
      <c r="C241" s="45" t="s">
        <v>209</v>
      </c>
      <c r="D241" s="62" t="s">
        <v>1564</v>
      </c>
      <c r="E241" s="11" t="s">
        <v>9</v>
      </c>
    </row>
    <row r="242">
      <c r="B242" s="62" t="s">
        <v>1565</v>
      </c>
      <c r="C242" s="45" t="s">
        <v>323</v>
      </c>
      <c r="D242" s="62" t="s">
        <v>1561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1567</v>
      </c>
      <c r="C245" s="45" t="s">
        <v>195</v>
      </c>
      <c r="D245" s="62" t="s">
        <v>1568</v>
      </c>
      <c r="E245" s="11" t="s">
        <v>9</v>
      </c>
    </row>
    <row r="246">
      <c r="B246" s="62" t="s">
        <v>1569</v>
      </c>
      <c r="C246" s="45" t="s">
        <v>776</v>
      </c>
      <c r="D246" s="62" t="s">
        <v>1570</v>
      </c>
      <c r="E246" s="11" t="s">
        <v>13</v>
      </c>
    </row>
    <row r="247">
      <c r="B247" s="62" t="s">
        <v>1569</v>
      </c>
      <c r="C247" s="45" t="s">
        <v>14</v>
      </c>
      <c r="D247" s="62" t="s">
        <v>1568</v>
      </c>
      <c r="E247" s="11" t="s">
        <v>9</v>
      </c>
    </row>
    <row r="248">
      <c r="B248" s="56" t="s">
        <v>1571</v>
      </c>
      <c r="C248" s="45" t="s">
        <v>41</v>
      </c>
      <c r="D248" s="62" t="s">
        <v>1570</v>
      </c>
      <c r="E248" s="11" t="s">
        <v>13</v>
      </c>
    </row>
    <row r="249">
      <c r="B249" s="56" t="s">
        <v>1571</v>
      </c>
      <c r="C249" s="45" t="s">
        <v>19</v>
      </c>
      <c r="D249" s="62" t="s">
        <v>1569</v>
      </c>
      <c r="E249" s="11" t="s">
        <v>9</v>
      </c>
    </row>
    <row r="250">
      <c r="B250" s="62" t="s">
        <v>1570</v>
      </c>
      <c r="C250" s="45" t="s">
        <v>158</v>
      </c>
      <c r="D250" s="62" t="s">
        <v>1567</v>
      </c>
      <c r="E250" s="11" t="s">
        <v>13</v>
      </c>
    </row>
    <row r="251">
      <c r="B251" s="56" t="s">
        <v>1571</v>
      </c>
      <c r="C251" s="45" t="s">
        <v>250</v>
      </c>
      <c r="D251" s="62" t="s">
        <v>1568</v>
      </c>
      <c r="E251" s="11" t="s">
        <v>9</v>
      </c>
    </row>
    <row r="252">
      <c r="B252" s="62" t="s">
        <v>1567</v>
      </c>
      <c r="C252" s="45" t="s">
        <v>574</v>
      </c>
      <c r="D252" s="62" t="s">
        <v>1569</v>
      </c>
      <c r="E252" s="11" t="s">
        <v>13</v>
      </c>
    </row>
    <row r="253">
      <c r="B253" s="62" t="s">
        <v>1570</v>
      </c>
      <c r="C253" s="45" t="s">
        <v>7</v>
      </c>
      <c r="D253" s="62" t="s">
        <v>1568</v>
      </c>
      <c r="E253" s="11" t="s">
        <v>9</v>
      </c>
    </row>
    <row r="254">
      <c r="B254" s="62" t="s">
        <v>1567</v>
      </c>
      <c r="C254" s="45" t="s">
        <v>195</v>
      </c>
      <c r="D254" s="56" t="s">
        <v>1571</v>
      </c>
      <c r="E254" s="11" t="s">
        <v>13</v>
      </c>
    </row>
    <row r="255">
      <c r="B255" s="62" t="s">
        <v>1568</v>
      </c>
      <c r="C255" s="45" t="s">
        <v>517</v>
      </c>
      <c r="D255" s="62" t="s">
        <v>1567</v>
      </c>
      <c r="E255" s="11" t="s">
        <v>9</v>
      </c>
    </row>
    <row r="256">
      <c r="B256" s="62" t="s">
        <v>1570</v>
      </c>
      <c r="C256" s="45" t="s">
        <v>14</v>
      </c>
      <c r="D256" s="62" t="s">
        <v>1569</v>
      </c>
      <c r="E256" s="11" t="s">
        <v>13</v>
      </c>
    </row>
    <row r="257">
      <c r="B257" s="62" t="s">
        <v>1568</v>
      </c>
      <c r="C257" s="45" t="s">
        <v>334</v>
      </c>
      <c r="D257" s="62" t="s">
        <v>1569</v>
      </c>
      <c r="E257" s="11" t="s">
        <v>9</v>
      </c>
    </row>
    <row r="258">
      <c r="B258" s="62" t="s">
        <v>1570</v>
      </c>
      <c r="C258" s="45" t="s">
        <v>301</v>
      </c>
      <c r="D258" s="56" t="s">
        <v>1571</v>
      </c>
      <c r="E258" s="11" t="s">
        <v>13</v>
      </c>
    </row>
    <row r="259">
      <c r="B259" s="62" t="s">
        <v>1569</v>
      </c>
      <c r="C259" s="45" t="s">
        <v>1572</v>
      </c>
      <c r="D259" s="56" t="s">
        <v>1571</v>
      </c>
      <c r="E259" s="11" t="s">
        <v>9</v>
      </c>
    </row>
    <row r="260">
      <c r="B260" s="62" t="s">
        <v>1567</v>
      </c>
      <c r="C260" s="45" t="s">
        <v>23</v>
      </c>
      <c r="D260" s="62" t="s">
        <v>1570</v>
      </c>
      <c r="E260" s="11" t="s">
        <v>13</v>
      </c>
    </row>
    <row r="261">
      <c r="B261" s="62" t="s">
        <v>1568</v>
      </c>
      <c r="C261" s="45" t="s">
        <v>41</v>
      </c>
      <c r="D261" s="56" t="s">
        <v>1571</v>
      </c>
      <c r="E261" s="11" t="s">
        <v>9</v>
      </c>
    </row>
    <row r="262">
      <c r="B262" s="62" t="s">
        <v>1569</v>
      </c>
      <c r="C262" s="45" t="s">
        <v>193</v>
      </c>
      <c r="D262" s="62" t="s">
        <v>1567</v>
      </c>
      <c r="E262" s="11" t="s">
        <v>13</v>
      </c>
    </row>
    <row r="263">
      <c r="B263" s="62" t="s">
        <v>1568</v>
      </c>
      <c r="C263" s="45" t="s">
        <v>17</v>
      </c>
      <c r="D263" s="62" t="s">
        <v>1570</v>
      </c>
      <c r="E263" s="11" t="s">
        <v>9</v>
      </c>
    </row>
    <row r="264">
      <c r="B264" s="56" t="s">
        <v>1571</v>
      </c>
      <c r="C264" s="45" t="s">
        <v>225</v>
      </c>
      <c r="D264" s="62" t="s">
        <v>1567</v>
      </c>
      <c r="E264" s="11" t="s">
        <v>13</v>
      </c>
    </row>
    <row r="265">
      <c r="B265" s="52" t="s">
        <v>1573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1574</v>
      </c>
      <c r="C267" s="45" t="s">
        <v>394</v>
      </c>
      <c r="D267" s="62" t="s">
        <v>371</v>
      </c>
      <c r="E267" s="11" t="s">
        <v>29</v>
      </c>
    </row>
    <row r="268">
      <c r="B268" s="62" t="s">
        <v>1575</v>
      </c>
      <c r="C268" s="45" t="s">
        <v>301</v>
      </c>
      <c r="D268" s="62" t="s">
        <v>1576</v>
      </c>
      <c r="E268" s="11" t="s">
        <v>33</v>
      </c>
    </row>
    <row r="269">
      <c r="B269" s="62" t="s">
        <v>1575</v>
      </c>
      <c r="C269" s="45" t="s">
        <v>16</v>
      </c>
      <c r="D269" s="62" t="s">
        <v>371</v>
      </c>
      <c r="E269" s="11" t="s">
        <v>29</v>
      </c>
    </row>
    <row r="270">
      <c r="B270" s="62" t="s">
        <v>1577</v>
      </c>
      <c r="C270" s="45" t="s">
        <v>248</v>
      </c>
      <c r="D270" s="62" t="s">
        <v>1576</v>
      </c>
      <c r="E270" s="11" t="s">
        <v>33</v>
      </c>
    </row>
    <row r="271">
      <c r="B271" s="62" t="s">
        <v>1577</v>
      </c>
      <c r="C271" s="45" t="s">
        <v>185</v>
      </c>
      <c r="D271" s="62" t="s">
        <v>1575</v>
      </c>
      <c r="E271" s="11" t="s">
        <v>29</v>
      </c>
    </row>
    <row r="272">
      <c r="B272" s="62" t="s">
        <v>1576</v>
      </c>
      <c r="C272" s="45" t="s">
        <v>18</v>
      </c>
      <c r="D272" s="62" t="s">
        <v>1574</v>
      </c>
      <c r="E272" s="11" t="s">
        <v>33</v>
      </c>
    </row>
    <row r="273">
      <c r="B273" s="62" t="s">
        <v>1577</v>
      </c>
      <c r="C273" s="45" t="s">
        <v>166</v>
      </c>
      <c r="D273" s="62" t="s">
        <v>371</v>
      </c>
      <c r="E273" s="11" t="s">
        <v>29</v>
      </c>
    </row>
    <row r="274">
      <c r="B274" s="62" t="s">
        <v>1574</v>
      </c>
      <c r="C274" s="45" t="s">
        <v>21</v>
      </c>
      <c r="D274" s="62" t="s">
        <v>1575</v>
      </c>
      <c r="E274" s="11" t="s">
        <v>33</v>
      </c>
    </row>
    <row r="275">
      <c r="B275" s="62" t="s">
        <v>1576</v>
      </c>
      <c r="C275" s="45" t="s">
        <v>39</v>
      </c>
      <c r="D275" s="62" t="s">
        <v>371</v>
      </c>
      <c r="E275" s="11" t="s">
        <v>29</v>
      </c>
    </row>
    <row r="276">
      <c r="B276" s="62" t="s">
        <v>1574</v>
      </c>
      <c r="C276" s="45" t="s">
        <v>547</v>
      </c>
      <c r="D276" s="62" t="s">
        <v>1577</v>
      </c>
      <c r="E276" s="11" t="s">
        <v>33</v>
      </c>
    </row>
    <row r="277">
      <c r="B277" s="62" t="s">
        <v>371</v>
      </c>
      <c r="C277" s="45" t="s">
        <v>16</v>
      </c>
      <c r="D277" s="62" t="s">
        <v>1574</v>
      </c>
      <c r="E277" s="11" t="s">
        <v>29</v>
      </c>
    </row>
    <row r="278">
      <c r="B278" s="62" t="s">
        <v>1576</v>
      </c>
      <c r="C278" s="45" t="s">
        <v>433</v>
      </c>
      <c r="D278" s="62" t="s">
        <v>1575</v>
      </c>
      <c r="E278" s="11" t="s">
        <v>33</v>
      </c>
    </row>
    <row r="279">
      <c r="B279" s="62" t="s">
        <v>371</v>
      </c>
      <c r="C279" s="45" t="s">
        <v>219</v>
      </c>
      <c r="D279" s="62" t="s">
        <v>1575</v>
      </c>
      <c r="E279" s="11" t="s">
        <v>29</v>
      </c>
    </row>
    <row r="280">
      <c r="B280" s="62" t="s">
        <v>1576</v>
      </c>
      <c r="C280" s="45" t="s">
        <v>184</v>
      </c>
      <c r="D280" s="62" t="s">
        <v>1577</v>
      </c>
      <c r="E280" s="11" t="s">
        <v>33</v>
      </c>
    </row>
    <row r="281">
      <c r="B281" s="62" t="s">
        <v>1575</v>
      </c>
      <c r="C281" s="45" t="s">
        <v>17</v>
      </c>
      <c r="D281" s="62" t="s">
        <v>1577</v>
      </c>
      <c r="E281" s="11" t="s">
        <v>29</v>
      </c>
    </row>
    <row r="282">
      <c r="B282" s="62" t="s">
        <v>1574</v>
      </c>
      <c r="C282" s="45" t="s">
        <v>227</v>
      </c>
      <c r="D282" s="62" t="s">
        <v>1576</v>
      </c>
      <c r="E282" s="11" t="s">
        <v>33</v>
      </c>
    </row>
    <row r="283">
      <c r="B283" s="62" t="s">
        <v>371</v>
      </c>
      <c r="C283" s="45" t="s">
        <v>196</v>
      </c>
      <c r="D283" s="62" t="s">
        <v>1577</v>
      </c>
      <c r="E283" s="11" t="s">
        <v>29</v>
      </c>
    </row>
    <row r="284">
      <c r="B284" s="62" t="s">
        <v>1575</v>
      </c>
      <c r="C284" s="45" t="s">
        <v>171</v>
      </c>
      <c r="D284" s="62" t="s">
        <v>1574</v>
      </c>
      <c r="E284" s="11" t="s">
        <v>33</v>
      </c>
    </row>
    <row r="285">
      <c r="B285" s="62" t="s">
        <v>371</v>
      </c>
      <c r="C285" s="45" t="s">
        <v>161</v>
      </c>
      <c r="D285" s="62" t="s">
        <v>1576</v>
      </c>
      <c r="E285" s="11" t="s">
        <v>29</v>
      </c>
    </row>
    <row r="286">
      <c r="B286" s="62" t="s">
        <v>1577</v>
      </c>
      <c r="C286" s="45" t="s">
        <v>225</v>
      </c>
      <c r="D286" s="62" t="s">
        <v>1574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1578</v>
      </c>
      <c r="C289" s="45" t="s">
        <v>162</v>
      </c>
      <c r="D289" s="62" t="s">
        <v>1579</v>
      </c>
      <c r="E289" s="11" t="s">
        <v>29</v>
      </c>
    </row>
    <row r="290">
      <c r="B290" s="62" t="s">
        <v>1182</v>
      </c>
      <c r="C290" s="45" t="s">
        <v>302</v>
      </c>
      <c r="D290" s="62" t="s">
        <v>1318</v>
      </c>
      <c r="E290" s="11" t="s">
        <v>33</v>
      </c>
    </row>
    <row r="291">
      <c r="B291" s="62" t="s">
        <v>1182</v>
      </c>
      <c r="C291" s="45" t="s">
        <v>855</v>
      </c>
      <c r="D291" s="62" t="s">
        <v>1579</v>
      </c>
      <c r="E291" s="11" t="s">
        <v>29</v>
      </c>
    </row>
    <row r="292">
      <c r="B292" s="62" t="s">
        <v>1580</v>
      </c>
      <c r="C292" s="45" t="s">
        <v>225</v>
      </c>
      <c r="D292" s="62" t="s">
        <v>1318</v>
      </c>
      <c r="E292" s="11" t="s">
        <v>33</v>
      </c>
    </row>
    <row r="293">
      <c r="B293" s="62" t="s">
        <v>1580</v>
      </c>
      <c r="C293" s="45" t="s">
        <v>326</v>
      </c>
      <c r="D293" s="62" t="s">
        <v>1182</v>
      </c>
      <c r="E293" s="11" t="s">
        <v>29</v>
      </c>
    </row>
    <row r="294">
      <c r="B294" s="62" t="s">
        <v>1318</v>
      </c>
      <c r="C294" s="45" t="s">
        <v>23</v>
      </c>
      <c r="D294" s="62" t="s">
        <v>1578</v>
      </c>
      <c r="E294" s="11" t="s">
        <v>33</v>
      </c>
    </row>
    <row r="295">
      <c r="B295" s="62" t="s">
        <v>1580</v>
      </c>
      <c r="C295" s="45" t="s">
        <v>229</v>
      </c>
      <c r="D295" s="62" t="s">
        <v>1579</v>
      </c>
      <c r="E295" s="11" t="s">
        <v>29</v>
      </c>
    </row>
    <row r="296">
      <c r="B296" s="62" t="s">
        <v>1578</v>
      </c>
      <c r="C296" s="45" t="s">
        <v>18</v>
      </c>
      <c r="D296" s="62" t="s">
        <v>1182</v>
      </c>
      <c r="E296" s="11" t="s">
        <v>33</v>
      </c>
    </row>
    <row r="297">
      <c r="B297" s="62" t="s">
        <v>1318</v>
      </c>
      <c r="C297" s="45" t="s">
        <v>18</v>
      </c>
      <c r="D297" s="62" t="s">
        <v>1579</v>
      </c>
      <c r="E297" s="11" t="s">
        <v>29</v>
      </c>
    </row>
    <row r="298">
      <c r="B298" s="62" t="s">
        <v>1578</v>
      </c>
      <c r="C298" s="45" t="s">
        <v>313</v>
      </c>
      <c r="D298" s="62" t="s">
        <v>1580</v>
      </c>
      <c r="E298" s="11" t="s">
        <v>33</v>
      </c>
    </row>
    <row r="299">
      <c r="B299" s="62" t="s">
        <v>1579</v>
      </c>
      <c r="C299" s="45" t="s">
        <v>23</v>
      </c>
      <c r="D299" s="62" t="s">
        <v>1578</v>
      </c>
      <c r="E299" s="11" t="s">
        <v>29</v>
      </c>
    </row>
    <row r="300">
      <c r="B300" s="62" t="s">
        <v>1318</v>
      </c>
      <c r="C300" s="45" t="s">
        <v>547</v>
      </c>
      <c r="D300" s="62" t="s">
        <v>1182</v>
      </c>
      <c r="E300" s="11" t="s">
        <v>33</v>
      </c>
    </row>
    <row r="301">
      <c r="B301" s="62" t="s">
        <v>1579</v>
      </c>
      <c r="C301" s="45" t="s">
        <v>181</v>
      </c>
      <c r="D301" s="62" t="s">
        <v>1182</v>
      </c>
      <c r="E301" s="11" t="s">
        <v>29</v>
      </c>
    </row>
    <row r="302">
      <c r="B302" s="62" t="s">
        <v>1318</v>
      </c>
      <c r="C302" s="45" t="s">
        <v>16</v>
      </c>
      <c r="D302" s="62" t="s">
        <v>1580</v>
      </c>
      <c r="E302" s="11" t="s">
        <v>33</v>
      </c>
    </row>
    <row r="303">
      <c r="B303" s="62" t="s">
        <v>1182</v>
      </c>
      <c r="C303" s="45" t="s">
        <v>225</v>
      </c>
      <c r="D303" s="62" t="s">
        <v>1580</v>
      </c>
      <c r="E303" s="11" t="s">
        <v>29</v>
      </c>
    </row>
    <row r="304">
      <c r="B304" s="62" t="s">
        <v>1578</v>
      </c>
      <c r="C304" s="45" t="s">
        <v>289</v>
      </c>
      <c r="D304" s="62" t="s">
        <v>1318</v>
      </c>
      <c r="E304" s="11" t="s">
        <v>33</v>
      </c>
    </row>
    <row r="305">
      <c r="B305" s="62" t="s">
        <v>1579</v>
      </c>
      <c r="C305" s="45" t="s">
        <v>173</v>
      </c>
      <c r="D305" s="62" t="s">
        <v>1580</v>
      </c>
      <c r="E305" s="11" t="s">
        <v>29</v>
      </c>
    </row>
    <row r="306">
      <c r="B306" s="62" t="s">
        <v>1182</v>
      </c>
      <c r="C306" s="45" t="s">
        <v>225</v>
      </c>
      <c r="D306" s="62" t="s">
        <v>1578</v>
      </c>
      <c r="E306" s="11" t="s">
        <v>33</v>
      </c>
    </row>
    <row r="307">
      <c r="B307" s="62" t="s">
        <v>1579</v>
      </c>
      <c r="C307" s="45" t="s">
        <v>218</v>
      </c>
      <c r="D307" s="62" t="s">
        <v>1318</v>
      </c>
      <c r="E307" s="11" t="s">
        <v>29</v>
      </c>
    </row>
    <row r="308">
      <c r="B308" s="62" t="s">
        <v>1580</v>
      </c>
      <c r="C308" s="45" t="s">
        <v>545</v>
      </c>
      <c r="D308" s="62" t="s">
        <v>1578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1582</v>
      </c>
      <c r="C311" s="57" t="s">
        <v>18</v>
      </c>
      <c r="D311" s="62" t="s">
        <v>1583</v>
      </c>
      <c r="E311" s="11" t="s">
        <v>9</v>
      </c>
    </row>
    <row r="312">
      <c r="B312" s="62" t="s">
        <v>1584</v>
      </c>
      <c r="C312" s="57" t="s">
        <v>162</v>
      </c>
      <c r="D312" s="62" t="s">
        <v>1585</v>
      </c>
      <c r="E312" s="11" t="s">
        <v>13</v>
      </c>
    </row>
    <row r="313">
      <c r="B313" s="62" t="s">
        <v>1584</v>
      </c>
      <c r="C313" s="57" t="s">
        <v>23</v>
      </c>
      <c r="D313" s="62" t="s">
        <v>1583</v>
      </c>
      <c r="E313" s="11" t="s">
        <v>9</v>
      </c>
    </row>
    <row r="314">
      <c r="B314" s="56" t="s">
        <v>1586</v>
      </c>
      <c r="C314" s="57" t="s">
        <v>166</v>
      </c>
      <c r="D314" s="62" t="s">
        <v>1585</v>
      </c>
      <c r="E314" s="11" t="s">
        <v>13</v>
      </c>
    </row>
    <row r="315">
      <c r="B315" s="56" t="s">
        <v>1586</v>
      </c>
      <c r="C315" s="57" t="s">
        <v>196</v>
      </c>
      <c r="D315" s="62" t="s">
        <v>1584</v>
      </c>
      <c r="E315" s="11" t="s">
        <v>9</v>
      </c>
    </row>
    <row r="316">
      <c r="B316" s="62" t="s">
        <v>1585</v>
      </c>
      <c r="C316" s="57" t="s">
        <v>165</v>
      </c>
      <c r="D316" s="62" t="s">
        <v>1582</v>
      </c>
      <c r="E316" s="11" t="s">
        <v>13</v>
      </c>
    </row>
    <row r="317">
      <c r="B317" s="56" t="s">
        <v>1586</v>
      </c>
      <c r="C317" s="57" t="s">
        <v>19</v>
      </c>
      <c r="D317" s="62" t="s">
        <v>1583</v>
      </c>
      <c r="E317" s="11" t="s">
        <v>9</v>
      </c>
    </row>
    <row r="318">
      <c r="B318" s="62" t="s">
        <v>1582</v>
      </c>
      <c r="C318" s="57" t="s">
        <v>264</v>
      </c>
      <c r="D318" s="62" t="s">
        <v>1584</v>
      </c>
      <c r="E318" s="11" t="s">
        <v>13</v>
      </c>
    </row>
    <row r="319">
      <c r="B319" s="62" t="s">
        <v>1585</v>
      </c>
      <c r="C319" s="57" t="s">
        <v>1049</v>
      </c>
      <c r="D319" s="62" t="s">
        <v>1583</v>
      </c>
      <c r="E319" s="11" t="s">
        <v>9</v>
      </c>
    </row>
    <row r="320">
      <c r="B320" s="62" t="s">
        <v>1582</v>
      </c>
      <c r="C320" s="57" t="s">
        <v>184</v>
      </c>
      <c r="D320" s="56" t="s">
        <v>1586</v>
      </c>
      <c r="E320" s="11" t="s">
        <v>13</v>
      </c>
    </row>
    <row r="321">
      <c r="B321" s="62" t="s">
        <v>1583</v>
      </c>
      <c r="C321" s="57" t="s">
        <v>1587</v>
      </c>
      <c r="D321" s="62" t="s">
        <v>1582</v>
      </c>
      <c r="E321" s="11" t="s">
        <v>9</v>
      </c>
    </row>
    <row r="322">
      <c r="B322" s="62" t="s">
        <v>1585</v>
      </c>
      <c r="C322" s="57" t="s">
        <v>23</v>
      </c>
      <c r="D322" s="62" t="s">
        <v>1584</v>
      </c>
      <c r="E322" s="11" t="s">
        <v>13</v>
      </c>
    </row>
    <row r="323">
      <c r="B323" s="62" t="s">
        <v>1583</v>
      </c>
      <c r="C323" s="45" t="s">
        <v>20</v>
      </c>
      <c r="D323" s="62" t="s">
        <v>1584</v>
      </c>
      <c r="E323" s="11" t="s">
        <v>9</v>
      </c>
    </row>
    <row r="324">
      <c r="B324" s="62" t="s">
        <v>1585</v>
      </c>
      <c r="C324" s="45" t="s">
        <v>256</v>
      </c>
      <c r="D324" s="56" t="s">
        <v>1586</v>
      </c>
      <c r="E324" s="11" t="s">
        <v>13</v>
      </c>
    </row>
    <row r="325">
      <c r="B325" s="62" t="s">
        <v>1584</v>
      </c>
      <c r="C325" s="45" t="s">
        <v>534</v>
      </c>
      <c r="D325" s="56" t="s">
        <v>1586</v>
      </c>
      <c r="E325" s="11" t="s">
        <v>9</v>
      </c>
    </row>
    <row r="326">
      <c r="B326" s="62" t="s">
        <v>1582</v>
      </c>
      <c r="C326" s="45" t="s">
        <v>41</v>
      </c>
      <c r="D326" s="62" t="s">
        <v>1585</v>
      </c>
      <c r="E326" s="11" t="s">
        <v>13</v>
      </c>
    </row>
    <row r="327">
      <c r="B327" s="62" t="s">
        <v>1583</v>
      </c>
      <c r="C327" s="45" t="s">
        <v>245</v>
      </c>
      <c r="D327" s="56" t="s">
        <v>1586</v>
      </c>
      <c r="E327" s="11" t="s">
        <v>9</v>
      </c>
    </row>
    <row r="328">
      <c r="B328" s="62" t="s">
        <v>1584</v>
      </c>
      <c r="C328" s="45" t="s">
        <v>41</v>
      </c>
      <c r="D328" s="62" t="s">
        <v>1582</v>
      </c>
      <c r="E328" s="11" t="s">
        <v>13</v>
      </c>
    </row>
    <row r="329">
      <c r="B329" s="62" t="s">
        <v>1583</v>
      </c>
      <c r="C329" s="45" t="s">
        <v>17</v>
      </c>
      <c r="D329" s="62" t="s">
        <v>1585</v>
      </c>
      <c r="E329" s="11" t="s">
        <v>9</v>
      </c>
    </row>
    <row r="330">
      <c r="B330" s="56" t="s">
        <v>1586</v>
      </c>
      <c r="C330" s="45" t="s">
        <v>298</v>
      </c>
      <c r="D330" s="62" t="s">
        <v>1582</v>
      </c>
      <c r="E330" s="11" t="s">
        <v>13</v>
      </c>
    </row>
    <row r="331">
      <c r="B331" s="52" t="s">
        <v>1588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912</v>
      </c>
      <c r="C333" s="45" t="s">
        <v>208</v>
      </c>
      <c r="D333" s="62" t="s">
        <v>492</v>
      </c>
      <c r="E333" s="11" t="s">
        <v>29</v>
      </c>
    </row>
    <row r="334">
      <c r="B334" s="62" t="s">
        <v>493</v>
      </c>
      <c r="C334" s="45" t="s">
        <v>173</v>
      </c>
      <c r="D334" s="62" t="s">
        <v>494</v>
      </c>
      <c r="E334" s="11" t="s">
        <v>33</v>
      </c>
    </row>
    <row r="335">
      <c r="B335" s="62" t="s">
        <v>493</v>
      </c>
      <c r="C335" s="45" t="s">
        <v>219</v>
      </c>
      <c r="D335" s="62" t="s">
        <v>492</v>
      </c>
      <c r="E335" s="11" t="s">
        <v>29</v>
      </c>
    </row>
    <row r="336">
      <c r="B336" s="62" t="s">
        <v>1589</v>
      </c>
      <c r="C336" s="45" t="s">
        <v>173</v>
      </c>
      <c r="D336" s="62" t="s">
        <v>494</v>
      </c>
      <c r="E336" s="11" t="s">
        <v>33</v>
      </c>
    </row>
    <row r="337">
      <c r="B337" s="62" t="s">
        <v>1589</v>
      </c>
      <c r="C337" s="45" t="s">
        <v>173</v>
      </c>
      <c r="D337" s="62" t="s">
        <v>493</v>
      </c>
      <c r="E337" s="11" t="s">
        <v>29</v>
      </c>
    </row>
    <row r="338">
      <c r="B338" s="62" t="s">
        <v>494</v>
      </c>
      <c r="C338" s="45" t="s">
        <v>165</v>
      </c>
      <c r="D338" s="62" t="s">
        <v>912</v>
      </c>
      <c r="E338" s="11" t="s">
        <v>33</v>
      </c>
    </row>
    <row r="339">
      <c r="B339" s="62" t="s">
        <v>1589</v>
      </c>
      <c r="C339" s="45" t="s">
        <v>158</v>
      </c>
      <c r="D339" s="62" t="s">
        <v>492</v>
      </c>
      <c r="E339" s="11" t="s">
        <v>29</v>
      </c>
    </row>
    <row r="340">
      <c r="B340" s="62" t="s">
        <v>912</v>
      </c>
      <c r="C340" s="45" t="s">
        <v>158</v>
      </c>
      <c r="D340" s="62" t="s">
        <v>493</v>
      </c>
      <c r="E340" s="11" t="s">
        <v>33</v>
      </c>
    </row>
    <row r="341">
      <c r="B341" s="62" t="s">
        <v>494</v>
      </c>
      <c r="C341" s="45" t="s">
        <v>193</v>
      </c>
      <c r="D341" s="62" t="s">
        <v>492</v>
      </c>
      <c r="E341" s="11" t="s">
        <v>29</v>
      </c>
    </row>
    <row r="342">
      <c r="B342" s="62" t="s">
        <v>912</v>
      </c>
      <c r="C342" s="45" t="s">
        <v>203</v>
      </c>
      <c r="D342" s="62" t="s">
        <v>1589</v>
      </c>
      <c r="E342" s="11" t="s">
        <v>33</v>
      </c>
    </row>
    <row r="343">
      <c r="B343" s="62" t="s">
        <v>492</v>
      </c>
      <c r="C343" s="45" t="s">
        <v>352</v>
      </c>
      <c r="D343" s="62" t="s">
        <v>912</v>
      </c>
      <c r="E343" s="11" t="s">
        <v>29</v>
      </c>
    </row>
    <row r="344">
      <c r="B344" s="62" t="s">
        <v>494</v>
      </c>
      <c r="C344" s="45" t="s">
        <v>18</v>
      </c>
      <c r="D344" s="62" t="s">
        <v>493</v>
      </c>
      <c r="E344" s="11" t="s">
        <v>33</v>
      </c>
    </row>
    <row r="345">
      <c r="B345" s="62" t="s">
        <v>492</v>
      </c>
      <c r="C345" s="45" t="s">
        <v>16</v>
      </c>
      <c r="D345" s="62" t="s">
        <v>493</v>
      </c>
      <c r="E345" s="11" t="s">
        <v>29</v>
      </c>
    </row>
    <row r="346">
      <c r="B346" s="62" t="s">
        <v>494</v>
      </c>
      <c r="C346" s="45" t="s">
        <v>20</v>
      </c>
      <c r="D346" s="62" t="s">
        <v>1589</v>
      </c>
      <c r="E346" s="11" t="s">
        <v>33</v>
      </c>
    </row>
    <row r="347">
      <c r="B347" s="62" t="s">
        <v>493</v>
      </c>
      <c r="C347" s="45" t="s">
        <v>1590</v>
      </c>
      <c r="D347" s="62" t="s">
        <v>1589</v>
      </c>
      <c r="E347" s="11" t="s">
        <v>29</v>
      </c>
    </row>
    <row r="348">
      <c r="B348" s="62" t="s">
        <v>912</v>
      </c>
      <c r="C348" s="45" t="s">
        <v>23</v>
      </c>
      <c r="D348" s="62" t="s">
        <v>494</v>
      </c>
      <c r="E348" s="11" t="s">
        <v>33</v>
      </c>
    </row>
    <row r="349">
      <c r="B349" s="62" t="s">
        <v>492</v>
      </c>
      <c r="C349" s="45" t="s">
        <v>158</v>
      </c>
      <c r="D349" s="62" t="s">
        <v>1589</v>
      </c>
      <c r="E349" s="11" t="s">
        <v>29</v>
      </c>
    </row>
    <row r="350">
      <c r="B350" s="62" t="s">
        <v>493</v>
      </c>
      <c r="C350" s="45" t="s">
        <v>251</v>
      </c>
      <c r="D350" s="62" t="s">
        <v>912</v>
      </c>
      <c r="E350" s="11" t="s">
        <v>33</v>
      </c>
    </row>
    <row r="351">
      <c r="B351" s="62" t="s">
        <v>492</v>
      </c>
      <c r="C351" s="45" t="s">
        <v>248</v>
      </c>
      <c r="D351" s="62" t="s">
        <v>494</v>
      </c>
      <c r="E351" s="11" t="s">
        <v>29</v>
      </c>
    </row>
    <row r="352">
      <c r="B352" s="62" t="s">
        <v>1589</v>
      </c>
      <c r="C352" s="45" t="s">
        <v>155</v>
      </c>
      <c r="D352" s="62" t="s">
        <v>912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861</v>
      </c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1514</v>
      </c>
      <c r="C3" s="45" t="s">
        <v>39</v>
      </c>
      <c r="D3" s="62" t="s">
        <v>1127</v>
      </c>
      <c r="E3" s="11" t="s">
        <v>29</v>
      </c>
    </row>
    <row r="4">
      <c r="A4" s="90"/>
      <c r="B4" s="61" t="s">
        <v>134</v>
      </c>
      <c r="C4" s="45" t="s">
        <v>41</v>
      </c>
      <c r="D4" s="61" t="s">
        <v>361</v>
      </c>
      <c r="E4" s="11" t="s">
        <v>33</v>
      </c>
    </row>
    <row r="5">
      <c r="A5" s="90"/>
      <c r="B5" s="62" t="s">
        <v>1128</v>
      </c>
      <c r="C5" s="45" t="s">
        <v>173</v>
      </c>
      <c r="D5" s="61" t="s">
        <v>1514</v>
      </c>
      <c r="E5" s="11" t="s">
        <v>29</v>
      </c>
    </row>
    <row r="6">
      <c r="A6" s="90"/>
      <c r="B6" s="61" t="s">
        <v>134</v>
      </c>
      <c r="C6" s="45" t="s">
        <v>1591</v>
      </c>
      <c r="D6" s="62" t="s">
        <v>1127</v>
      </c>
      <c r="E6" s="11" t="s">
        <v>33</v>
      </c>
    </row>
    <row r="7">
      <c r="A7" s="90"/>
      <c r="B7" s="62" t="s">
        <v>1128</v>
      </c>
      <c r="C7" s="45" t="s">
        <v>23</v>
      </c>
      <c r="D7" s="61" t="s">
        <v>361</v>
      </c>
      <c r="E7" s="11" t="s">
        <v>29</v>
      </c>
    </row>
    <row r="8">
      <c r="A8" s="90"/>
      <c r="B8" s="61" t="s">
        <v>134</v>
      </c>
      <c r="C8" s="45" t="s">
        <v>42</v>
      </c>
      <c r="D8" s="61" t="s">
        <v>1514</v>
      </c>
      <c r="E8" s="11" t="s">
        <v>33</v>
      </c>
    </row>
    <row r="9">
      <c r="A9" s="90"/>
      <c r="B9" s="62" t="s">
        <v>1128</v>
      </c>
      <c r="C9" s="45" t="s">
        <v>158</v>
      </c>
      <c r="D9" s="62" t="s">
        <v>1127</v>
      </c>
      <c r="E9" s="11" t="s">
        <v>29</v>
      </c>
    </row>
    <row r="10">
      <c r="A10" s="90"/>
      <c r="B10" s="61" t="s">
        <v>361</v>
      </c>
      <c r="C10" s="45" t="s">
        <v>477</v>
      </c>
      <c r="D10" s="61" t="s">
        <v>1514</v>
      </c>
      <c r="E10" s="11" t="s">
        <v>33</v>
      </c>
    </row>
    <row r="11">
      <c r="A11" s="90"/>
      <c r="B11" s="62" t="s">
        <v>1128</v>
      </c>
      <c r="C11" s="45" t="s">
        <v>245</v>
      </c>
      <c r="D11" s="61" t="s">
        <v>134</v>
      </c>
      <c r="E11" s="11" t="s">
        <v>29</v>
      </c>
    </row>
    <row r="12">
      <c r="A12" s="90"/>
      <c r="B12" s="61" t="s">
        <v>361</v>
      </c>
      <c r="C12" s="45" t="s">
        <v>20</v>
      </c>
      <c r="D12" s="62" t="s">
        <v>1127</v>
      </c>
      <c r="E12" s="11" t="s">
        <v>33</v>
      </c>
    </row>
    <row r="13">
      <c r="A13" s="90"/>
      <c r="B13" s="62" t="s">
        <v>1127</v>
      </c>
      <c r="C13" s="45" t="s">
        <v>354</v>
      </c>
      <c r="D13" s="61" t="s">
        <v>1514</v>
      </c>
      <c r="E13" s="11" t="s">
        <v>29</v>
      </c>
    </row>
    <row r="14">
      <c r="A14" s="90"/>
      <c r="B14" s="61" t="s">
        <v>361</v>
      </c>
      <c r="C14" s="45" t="s">
        <v>20</v>
      </c>
      <c r="D14" s="61" t="s">
        <v>134</v>
      </c>
      <c r="E14" s="11" t="s">
        <v>33</v>
      </c>
    </row>
    <row r="15">
      <c r="A15" s="90"/>
      <c r="B15" s="61" t="s">
        <v>1514</v>
      </c>
      <c r="C15" s="45" t="s">
        <v>7</v>
      </c>
      <c r="D15" s="62" t="s">
        <v>1128</v>
      </c>
      <c r="E15" s="11" t="s">
        <v>29</v>
      </c>
    </row>
    <row r="16">
      <c r="A16" s="90"/>
      <c r="B16" s="62" t="s">
        <v>1127</v>
      </c>
      <c r="C16" s="45" t="s">
        <v>161</v>
      </c>
      <c r="D16" s="61" t="s">
        <v>134</v>
      </c>
      <c r="E16" s="11" t="s">
        <v>33</v>
      </c>
    </row>
    <row r="17">
      <c r="A17" s="90"/>
      <c r="B17" s="61" t="s">
        <v>361</v>
      </c>
      <c r="C17" s="45" t="s">
        <v>155</v>
      </c>
      <c r="D17" s="62" t="s">
        <v>1128</v>
      </c>
      <c r="E17" s="11" t="s">
        <v>29</v>
      </c>
    </row>
    <row r="18">
      <c r="A18" s="90"/>
      <c r="B18" s="61" t="s">
        <v>1514</v>
      </c>
      <c r="C18" s="45" t="s">
        <v>220</v>
      </c>
      <c r="D18" s="61" t="s">
        <v>134</v>
      </c>
      <c r="E18" s="11" t="s">
        <v>33</v>
      </c>
    </row>
    <row r="19">
      <c r="A19" s="90"/>
      <c r="B19" s="62" t="s">
        <v>1127</v>
      </c>
      <c r="C19" s="45" t="s">
        <v>425</v>
      </c>
      <c r="D19" s="62" t="s">
        <v>1128</v>
      </c>
      <c r="E19" s="11" t="s">
        <v>29</v>
      </c>
    </row>
    <row r="20">
      <c r="A20" s="90"/>
      <c r="B20" s="61" t="s">
        <v>1514</v>
      </c>
      <c r="C20" s="45" t="s">
        <v>547</v>
      </c>
      <c r="D20" s="61" t="s">
        <v>361</v>
      </c>
      <c r="E20" s="11" t="s">
        <v>33</v>
      </c>
    </row>
    <row r="21">
      <c r="A21" s="90"/>
      <c r="B21" s="61" t="s">
        <v>134</v>
      </c>
      <c r="C21" s="45" t="s">
        <v>380</v>
      </c>
      <c r="D21" s="62" t="s">
        <v>1128</v>
      </c>
      <c r="E21" s="11" t="s">
        <v>29</v>
      </c>
    </row>
    <row r="22">
      <c r="A22" s="90"/>
      <c r="B22" s="62" t="s">
        <v>1127</v>
      </c>
      <c r="C22" s="45" t="s">
        <v>43</v>
      </c>
      <c r="D22" s="61" t="s">
        <v>361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1592</v>
      </c>
      <c r="C25" s="57" t="s">
        <v>173</v>
      </c>
      <c r="D25" s="61" t="s">
        <v>1453</v>
      </c>
      <c r="E25" s="11" t="s">
        <v>9</v>
      </c>
    </row>
    <row r="26">
      <c r="A26" s="90"/>
      <c r="B26" s="61" t="s">
        <v>1593</v>
      </c>
      <c r="C26" s="57" t="s">
        <v>313</v>
      </c>
      <c r="D26" s="61" t="s">
        <v>1594</v>
      </c>
      <c r="E26" s="11" t="s">
        <v>13</v>
      </c>
    </row>
    <row r="27">
      <c r="A27" s="90"/>
      <c r="B27" s="62" t="s">
        <v>1595</v>
      </c>
      <c r="C27" s="57" t="s">
        <v>534</v>
      </c>
      <c r="D27" s="62" t="s">
        <v>1592</v>
      </c>
      <c r="E27" s="11" t="s">
        <v>9</v>
      </c>
    </row>
    <row r="28">
      <c r="A28" s="90"/>
      <c r="B28" s="61" t="s">
        <v>1593</v>
      </c>
      <c r="C28" s="57" t="s">
        <v>193</v>
      </c>
      <c r="D28" s="61" t="s">
        <v>1453</v>
      </c>
      <c r="E28" s="11" t="s">
        <v>13</v>
      </c>
    </row>
    <row r="29">
      <c r="A29" s="90"/>
      <c r="B29" s="62" t="s">
        <v>1595</v>
      </c>
      <c r="C29" s="57" t="s">
        <v>394</v>
      </c>
      <c r="D29" s="61" t="s">
        <v>1594</v>
      </c>
      <c r="E29" s="11" t="s">
        <v>9</v>
      </c>
    </row>
    <row r="30">
      <c r="A30" s="90"/>
      <c r="B30" s="61" t="s">
        <v>1593</v>
      </c>
      <c r="C30" s="57" t="s">
        <v>940</v>
      </c>
      <c r="D30" s="62" t="s">
        <v>1592</v>
      </c>
      <c r="E30" s="11" t="s">
        <v>13</v>
      </c>
    </row>
    <row r="31">
      <c r="A31" s="90"/>
      <c r="B31" s="62" t="s">
        <v>1595</v>
      </c>
      <c r="C31" s="57" t="s">
        <v>165</v>
      </c>
      <c r="D31" s="61" t="s">
        <v>1453</v>
      </c>
      <c r="E31" s="11" t="s">
        <v>9</v>
      </c>
    </row>
    <row r="32">
      <c r="A32" s="90"/>
      <c r="B32" s="61" t="s">
        <v>1594</v>
      </c>
      <c r="C32" s="57" t="s">
        <v>24</v>
      </c>
      <c r="D32" s="62" t="s">
        <v>1592</v>
      </c>
      <c r="E32" s="11" t="s">
        <v>13</v>
      </c>
    </row>
    <row r="33">
      <c r="A33" s="90"/>
      <c r="B33" s="62" t="s">
        <v>1595</v>
      </c>
      <c r="C33" s="57" t="s">
        <v>376</v>
      </c>
      <c r="D33" s="61" t="s">
        <v>1593</v>
      </c>
      <c r="E33" s="11" t="s">
        <v>9</v>
      </c>
    </row>
    <row r="34">
      <c r="A34" s="90"/>
      <c r="B34" s="61" t="s">
        <v>1594</v>
      </c>
      <c r="C34" s="57" t="s">
        <v>38</v>
      </c>
      <c r="D34" s="61" t="s">
        <v>1453</v>
      </c>
      <c r="E34" s="11" t="s">
        <v>13</v>
      </c>
    </row>
    <row r="35">
      <c r="A35" s="90"/>
      <c r="B35" s="61" t="s">
        <v>1453</v>
      </c>
      <c r="C35" s="57" t="s">
        <v>181</v>
      </c>
      <c r="D35" s="62" t="s">
        <v>1592</v>
      </c>
      <c r="E35" s="11" t="s">
        <v>9</v>
      </c>
    </row>
    <row r="36">
      <c r="A36" s="90"/>
      <c r="B36" s="61" t="s">
        <v>1594</v>
      </c>
      <c r="C36" s="57" t="s">
        <v>289</v>
      </c>
      <c r="D36" s="61" t="s">
        <v>1593</v>
      </c>
      <c r="E36" s="11" t="s">
        <v>13</v>
      </c>
    </row>
    <row r="37">
      <c r="A37" s="90"/>
      <c r="B37" s="62" t="s">
        <v>1592</v>
      </c>
      <c r="C37" s="45" t="s">
        <v>155</v>
      </c>
      <c r="D37" s="62" t="s">
        <v>1595</v>
      </c>
      <c r="E37" s="11" t="s">
        <v>9</v>
      </c>
    </row>
    <row r="38">
      <c r="A38" s="90"/>
      <c r="B38" s="61" t="s">
        <v>1453</v>
      </c>
      <c r="C38" s="45" t="s">
        <v>210</v>
      </c>
      <c r="D38" s="61" t="s">
        <v>1593</v>
      </c>
      <c r="E38" s="11" t="s">
        <v>13</v>
      </c>
    </row>
    <row r="39">
      <c r="A39" s="90"/>
      <c r="B39" s="61" t="s">
        <v>1594</v>
      </c>
      <c r="C39" s="45" t="s">
        <v>209</v>
      </c>
      <c r="D39" s="62" t="s">
        <v>1595</v>
      </c>
      <c r="E39" s="11" t="s">
        <v>9</v>
      </c>
    </row>
    <row r="40">
      <c r="A40" s="90"/>
      <c r="B40" s="62" t="s">
        <v>1592</v>
      </c>
      <c r="C40" s="45" t="s">
        <v>301</v>
      </c>
      <c r="D40" s="61" t="s">
        <v>1593</v>
      </c>
      <c r="E40" s="11" t="s">
        <v>13</v>
      </c>
    </row>
    <row r="41">
      <c r="A41" s="90"/>
      <c r="B41" s="61" t="s">
        <v>1453</v>
      </c>
      <c r="C41" s="45" t="s">
        <v>208</v>
      </c>
      <c r="D41" s="62" t="s">
        <v>1595</v>
      </c>
      <c r="E41" s="11" t="s">
        <v>9</v>
      </c>
    </row>
    <row r="42">
      <c r="A42" s="90"/>
      <c r="B42" s="62" t="s">
        <v>1592</v>
      </c>
      <c r="C42" s="45" t="s">
        <v>38</v>
      </c>
      <c r="D42" s="61" t="s">
        <v>1594</v>
      </c>
      <c r="E42" s="11" t="s">
        <v>13</v>
      </c>
    </row>
    <row r="43">
      <c r="A43" s="90"/>
      <c r="B43" s="61" t="s">
        <v>1593</v>
      </c>
      <c r="C43" s="45" t="s">
        <v>336</v>
      </c>
      <c r="D43" s="62" t="s">
        <v>1595</v>
      </c>
      <c r="E43" s="11" t="s">
        <v>9</v>
      </c>
    </row>
    <row r="44">
      <c r="A44" s="91"/>
      <c r="B44" s="61" t="s">
        <v>1453</v>
      </c>
      <c r="C44" s="45" t="s">
        <v>17</v>
      </c>
      <c r="D44" s="61" t="s">
        <v>1594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310</v>
      </c>
      <c r="C47" s="45" t="s">
        <v>14</v>
      </c>
      <c r="D47" s="61" t="s">
        <v>1596</v>
      </c>
      <c r="E47" s="11" t="s">
        <v>29</v>
      </c>
    </row>
    <row r="48">
      <c r="B48" s="61" t="s">
        <v>1597</v>
      </c>
      <c r="C48" s="45" t="s">
        <v>17</v>
      </c>
      <c r="D48" s="61" t="s">
        <v>1522</v>
      </c>
      <c r="E48" s="11" t="s">
        <v>33</v>
      </c>
    </row>
    <row r="49">
      <c r="B49" s="61" t="s">
        <v>1440</v>
      </c>
      <c r="C49" s="45" t="s">
        <v>744</v>
      </c>
      <c r="D49" s="61" t="s">
        <v>310</v>
      </c>
      <c r="E49" s="11" t="s">
        <v>29</v>
      </c>
    </row>
    <row r="50">
      <c r="B50" s="61" t="s">
        <v>1597</v>
      </c>
      <c r="C50" s="45" t="s">
        <v>352</v>
      </c>
      <c r="D50" s="61" t="s">
        <v>1596</v>
      </c>
      <c r="E50" s="11" t="s">
        <v>33</v>
      </c>
    </row>
    <row r="51">
      <c r="B51" s="61" t="s">
        <v>1440</v>
      </c>
      <c r="C51" s="45" t="s">
        <v>19</v>
      </c>
      <c r="D51" s="61" t="s">
        <v>1522</v>
      </c>
      <c r="E51" s="11" t="s">
        <v>29</v>
      </c>
    </row>
    <row r="52">
      <c r="B52" s="61" t="s">
        <v>1597</v>
      </c>
      <c r="C52" s="45" t="s">
        <v>211</v>
      </c>
      <c r="D52" s="61" t="s">
        <v>310</v>
      </c>
      <c r="E52" s="11" t="s">
        <v>33</v>
      </c>
    </row>
    <row r="53">
      <c r="B53" s="61" t="s">
        <v>1440</v>
      </c>
      <c r="C53" s="45" t="s">
        <v>324</v>
      </c>
      <c r="D53" s="61" t="s">
        <v>1596</v>
      </c>
      <c r="E53" s="11" t="s">
        <v>29</v>
      </c>
    </row>
    <row r="54">
      <c r="B54" s="61" t="s">
        <v>1522</v>
      </c>
      <c r="C54" s="45" t="s">
        <v>545</v>
      </c>
      <c r="D54" s="61" t="s">
        <v>310</v>
      </c>
      <c r="E54" s="11" t="s">
        <v>33</v>
      </c>
    </row>
    <row r="55">
      <c r="B55" s="61" t="s">
        <v>1440</v>
      </c>
      <c r="C55" s="45" t="s">
        <v>18</v>
      </c>
      <c r="D55" s="61" t="s">
        <v>1597</v>
      </c>
      <c r="E55" s="11" t="s">
        <v>29</v>
      </c>
    </row>
    <row r="56">
      <c r="B56" s="61" t="s">
        <v>1522</v>
      </c>
      <c r="C56" s="45" t="s">
        <v>324</v>
      </c>
      <c r="D56" s="61" t="s">
        <v>1596</v>
      </c>
      <c r="E56" s="11" t="s">
        <v>33</v>
      </c>
    </row>
    <row r="57">
      <c r="B57" s="61" t="s">
        <v>1596</v>
      </c>
      <c r="C57" s="45" t="s">
        <v>34</v>
      </c>
      <c r="D57" s="61" t="s">
        <v>310</v>
      </c>
      <c r="E57" s="11" t="s">
        <v>29</v>
      </c>
    </row>
    <row r="58">
      <c r="B58" s="61" t="s">
        <v>1522</v>
      </c>
      <c r="C58" s="45" t="s">
        <v>162</v>
      </c>
      <c r="D58" s="61" t="s">
        <v>1597</v>
      </c>
      <c r="E58" s="11" t="s">
        <v>33</v>
      </c>
    </row>
    <row r="59">
      <c r="B59" s="61" t="s">
        <v>310</v>
      </c>
      <c r="C59" s="45" t="s">
        <v>185</v>
      </c>
      <c r="D59" s="61" t="s">
        <v>1440</v>
      </c>
      <c r="E59" s="11" t="s">
        <v>29</v>
      </c>
    </row>
    <row r="60">
      <c r="B60" s="61" t="s">
        <v>1596</v>
      </c>
      <c r="C60" s="45" t="s">
        <v>610</v>
      </c>
      <c r="D60" s="61" t="s">
        <v>1597</v>
      </c>
      <c r="E60" s="11" t="s">
        <v>33</v>
      </c>
    </row>
    <row r="61">
      <c r="B61" s="61" t="s">
        <v>1522</v>
      </c>
      <c r="C61" s="45" t="s">
        <v>525</v>
      </c>
      <c r="D61" s="61" t="s">
        <v>1440</v>
      </c>
      <c r="E61" s="11" t="s">
        <v>29</v>
      </c>
    </row>
    <row r="62">
      <c r="B62" s="61" t="s">
        <v>310</v>
      </c>
      <c r="C62" s="45" t="s">
        <v>203</v>
      </c>
      <c r="D62" s="61" t="s">
        <v>1597</v>
      </c>
      <c r="E62" s="11" t="s">
        <v>33</v>
      </c>
    </row>
    <row r="63">
      <c r="B63" s="61" t="s">
        <v>1596</v>
      </c>
      <c r="C63" s="45" t="s">
        <v>158</v>
      </c>
      <c r="D63" s="61" t="s">
        <v>1440</v>
      </c>
      <c r="E63" s="11" t="s">
        <v>29</v>
      </c>
    </row>
    <row r="64">
      <c r="B64" s="61" t="s">
        <v>310</v>
      </c>
      <c r="C64" s="45" t="s">
        <v>279</v>
      </c>
      <c r="D64" s="61" t="s">
        <v>1522</v>
      </c>
      <c r="E64" s="11" t="s">
        <v>33</v>
      </c>
    </row>
    <row r="65">
      <c r="B65" s="61" t="s">
        <v>1597</v>
      </c>
      <c r="C65" s="45" t="s">
        <v>357</v>
      </c>
      <c r="D65" s="61" t="s">
        <v>1440</v>
      </c>
      <c r="E65" s="11" t="s">
        <v>29</v>
      </c>
    </row>
    <row r="66">
      <c r="B66" s="61" t="s">
        <v>1596</v>
      </c>
      <c r="C66" s="45" t="s">
        <v>173</v>
      </c>
      <c r="D66" s="61" t="s">
        <v>1522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1598</v>
      </c>
      <c r="C69" s="57" t="s">
        <v>196</v>
      </c>
      <c r="D69" s="61" t="s">
        <v>1523</v>
      </c>
      <c r="E69" s="11" t="s">
        <v>9</v>
      </c>
    </row>
    <row r="70">
      <c r="B70" s="61" t="s">
        <v>1599</v>
      </c>
      <c r="C70" s="57" t="s">
        <v>161</v>
      </c>
      <c r="D70" s="61" t="s">
        <v>1600</v>
      </c>
      <c r="E70" s="11" t="s">
        <v>13</v>
      </c>
    </row>
    <row r="71">
      <c r="B71" s="61" t="s">
        <v>1601</v>
      </c>
      <c r="C71" s="57" t="s">
        <v>316</v>
      </c>
      <c r="D71" s="61" t="s">
        <v>1598</v>
      </c>
      <c r="E71" s="11" t="s">
        <v>9</v>
      </c>
    </row>
    <row r="72">
      <c r="B72" s="61" t="s">
        <v>1599</v>
      </c>
      <c r="C72" s="57" t="s">
        <v>23</v>
      </c>
      <c r="D72" s="61" t="s">
        <v>1523</v>
      </c>
      <c r="E72" s="11" t="s">
        <v>13</v>
      </c>
    </row>
    <row r="73">
      <c r="B73" s="61" t="s">
        <v>1601</v>
      </c>
      <c r="C73" s="57" t="s">
        <v>1602</v>
      </c>
      <c r="D73" s="61" t="s">
        <v>1600</v>
      </c>
      <c r="E73" s="11" t="s">
        <v>9</v>
      </c>
    </row>
    <row r="74">
      <c r="B74" s="61" t="s">
        <v>1599</v>
      </c>
      <c r="C74" s="57" t="s">
        <v>193</v>
      </c>
      <c r="D74" s="61" t="s">
        <v>1598</v>
      </c>
      <c r="E74" s="11" t="s">
        <v>13</v>
      </c>
    </row>
    <row r="75">
      <c r="B75" s="61" t="s">
        <v>1601</v>
      </c>
      <c r="C75" s="57" t="s">
        <v>237</v>
      </c>
      <c r="D75" s="61" t="s">
        <v>1523</v>
      </c>
      <c r="E75" s="11" t="s">
        <v>9</v>
      </c>
    </row>
    <row r="76">
      <c r="B76" s="61" t="s">
        <v>1600</v>
      </c>
      <c r="C76" s="57" t="s">
        <v>298</v>
      </c>
      <c r="D76" s="61" t="s">
        <v>1598</v>
      </c>
      <c r="E76" s="11" t="s">
        <v>13</v>
      </c>
    </row>
    <row r="77">
      <c r="B77" s="61" t="s">
        <v>1601</v>
      </c>
      <c r="C77" s="57" t="s">
        <v>181</v>
      </c>
      <c r="D77" s="61" t="s">
        <v>1599</v>
      </c>
      <c r="E77" s="11" t="s">
        <v>9</v>
      </c>
    </row>
    <row r="78">
      <c r="B78" s="61" t="s">
        <v>1600</v>
      </c>
      <c r="C78" s="57" t="s">
        <v>211</v>
      </c>
      <c r="D78" s="61" t="s">
        <v>1523</v>
      </c>
      <c r="E78" s="11" t="s">
        <v>13</v>
      </c>
    </row>
    <row r="79">
      <c r="B79" s="61" t="s">
        <v>1523</v>
      </c>
      <c r="C79" s="57" t="s">
        <v>158</v>
      </c>
      <c r="D79" s="61" t="s">
        <v>1598</v>
      </c>
      <c r="E79" s="11" t="s">
        <v>9</v>
      </c>
    </row>
    <row r="80">
      <c r="B80" s="61" t="s">
        <v>1600</v>
      </c>
      <c r="C80" s="57" t="s">
        <v>38</v>
      </c>
      <c r="D80" s="61" t="s">
        <v>1599</v>
      </c>
      <c r="E80" s="11" t="s">
        <v>13</v>
      </c>
    </row>
    <row r="81">
      <c r="B81" s="61" t="s">
        <v>1598</v>
      </c>
      <c r="C81" s="45" t="s">
        <v>426</v>
      </c>
      <c r="D81" s="61" t="s">
        <v>1601</v>
      </c>
      <c r="E81" s="11" t="s">
        <v>9</v>
      </c>
    </row>
    <row r="82">
      <c r="B82" s="61" t="s">
        <v>1523</v>
      </c>
      <c r="C82" s="45" t="s">
        <v>418</v>
      </c>
      <c r="D82" s="61" t="s">
        <v>1599</v>
      </c>
      <c r="E82" s="11" t="s">
        <v>13</v>
      </c>
    </row>
    <row r="83">
      <c r="B83" s="61" t="s">
        <v>1600</v>
      </c>
      <c r="C83" s="45" t="s">
        <v>233</v>
      </c>
      <c r="D83" s="61" t="s">
        <v>1601</v>
      </c>
      <c r="E83" s="11" t="s">
        <v>9</v>
      </c>
    </row>
    <row r="84">
      <c r="B84" s="61" t="s">
        <v>1598</v>
      </c>
      <c r="C84" s="54" t="s">
        <v>44</v>
      </c>
      <c r="D84" s="61" t="s">
        <v>1599</v>
      </c>
      <c r="E84" s="11" t="s">
        <v>13</v>
      </c>
    </row>
    <row r="85">
      <c r="B85" s="61" t="s">
        <v>1523</v>
      </c>
      <c r="C85" s="45" t="s">
        <v>291</v>
      </c>
      <c r="D85" s="61" t="s">
        <v>1601</v>
      </c>
      <c r="E85" s="11" t="s">
        <v>9</v>
      </c>
    </row>
    <row r="86">
      <c r="B86" s="61" t="s">
        <v>1598</v>
      </c>
      <c r="C86" s="45" t="s">
        <v>1603</v>
      </c>
      <c r="D86" s="61" t="s">
        <v>1600</v>
      </c>
      <c r="E86" s="11" t="s">
        <v>13</v>
      </c>
    </row>
    <row r="87">
      <c r="B87" s="61" t="s">
        <v>1599</v>
      </c>
      <c r="C87" s="45" t="s">
        <v>301</v>
      </c>
      <c r="D87" s="61" t="s">
        <v>1601</v>
      </c>
      <c r="E87" s="11" t="s">
        <v>9</v>
      </c>
    </row>
    <row r="88">
      <c r="B88" s="61" t="s">
        <v>1523</v>
      </c>
      <c r="C88" s="45" t="s">
        <v>38</v>
      </c>
      <c r="D88" s="61" t="s">
        <v>1600</v>
      </c>
      <c r="E88" s="11" t="s">
        <v>13</v>
      </c>
    </row>
    <row r="89">
      <c r="B89" s="1" t="s">
        <v>1526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1209</v>
      </c>
      <c r="C91" s="45" t="s">
        <v>18</v>
      </c>
      <c r="D91" s="61" t="s">
        <v>1604</v>
      </c>
      <c r="E91" s="11" t="s">
        <v>9</v>
      </c>
    </row>
    <row r="92">
      <c r="B92" s="61" t="s">
        <v>1605</v>
      </c>
      <c r="C92" s="45" t="s">
        <v>17</v>
      </c>
      <c r="D92" s="61" t="s">
        <v>1606</v>
      </c>
      <c r="E92" s="11" t="s">
        <v>13</v>
      </c>
    </row>
    <row r="93">
      <c r="B93" s="61" t="s">
        <v>1605</v>
      </c>
      <c r="C93" s="45" t="s">
        <v>219</v>
      </c>
      <c r="D93" s="61" t="s">
        <v>1604</v>
      </c>
      <c r="E93" s="11" t="s">
        <v>9</v>
      </c>
    </row>
    <row r="94">
      <c r="B94" s="61" t="s">
        <v>1607</v>
      </c>
      <c r="C94" s="45" t="s">
        <v>185</v>
      </c>
      <c r="D94" s="61" t="s">
        <v>1606</v>
      </c>
      <c r="E94" s="11" t="s">
        <v>13</v>
      </c>
    </row>
    <row r="95">
      <c r="B95" s="61" t="s">
        <v>1607</v>
      </c>
      <c r="C95" s="45" t="s">
        <v>776</v>
      </c>
      <c r="D95" s="61" t="s">
        <v>1605</v>
      </c>
      <c r="E95" s="11" t="s">
        <v>9</v>
      </c>
    </row>
    <row r="96">
      <c r="B96" s="61" t="s">
        <v>1606</v>
      </c>
      <c r="C96" s="45" t="s">
        <v>362</v>
      </c>
      <c r="D96" s="61" t="s">
        <v>1209</v>
      </c>
      <c r="E96" s="11" t="s">
        <v>13</v>
      </c>
    </row>
    <row r="97">
      <c r="B97" s="61" t="s">
        <v>1607</v>
      </c>
      <c r="C97" s="45" t="s">
        <v>208</v>
      </c>
      <c r="D97" s="61" t="s">
        <v>1604</v>
      </c>
      <c r="E97" s="11" t="s">
        <v>9</v>
      </c>
    </row>
    <row r="98">
      <c r="B98" s="61" t="s">
        <v>1209</v>
      </c>
      <c r="C98" s="45" t="s">
        <v>313</v>
      </c>
      <c r="D98" s="61" t="s">
        <v>1605</v>
      </c>
      <c r="E98" s="11" t="s">
        <v>13</v>
      </c>
    </row>
    <row r="99">
      <c r="B99" s="61" t="s">
        <v>1606</v>
      </c>
      <c r="C99" s="45" t="s">
        <v>286</v>
      </c>
      <c r="D99" s="61" t="s">
        <v>1604</v>
      </c>
      <c r="E99" s="11" t="s">
        <v>9</v>
      </c>
    </row>
    <row r="100">
      <c r="B100" s="61" t="s">
        <v>1209</v>
      </c>
      <c r="C100" s="45" t="s">
        <v>464</v>
      </c>
      <c r="D100" s="61" t="s">
        <v>1607</v>
      </c>
      <c r="E100" s="11" t="s">
        <v>13</v>
      </c>
    </row>
    <row r="101">
      <c r="B101" s="61" t="s">
        <v>1604</v>
      </c>
      <c r="C101" s="45" t="s">
        <v>554</v>
      </c>
      <c r="D101" s="61" t="s">
        <v>1209</v>
      </c>
      <c r="E101" s="11" t="s">
        <v>9</v>
      </c>
    </row>
    <row r="102">
      <c r="B102" s="61" t="s">
        <v>1606</v>
      </c>
      <c r="C102" s="45" t="s">
        <v>1120</v>
      </c>
      <c r="D102" s="61" t="s">
        <v>1605</v>
      </c>
      <c r="E102" s="11" t="s">
        <v>13</v>
      </c>
    </row>
    <row r="103">
      <c r="B103" s="61" t="s">
        <v>1604</v>
      </c>
      <c r="C103" s="45" t="s">
        <v>280</v>
      </c>
      <c r="D103" s="61" t="s">
        <v>1605</v>
      </c>
      <c r="E103" s="11" t="s">
        <v>9</v>
      </c>
    </row>
    <row r="104">
      <c r="B104" s="61" t="s">
        <v>1606</v>
      </c>
      <c r="C104" s="45" t="s">
        <v>16</v>
      </c>
      <c r="D104" s="61" t="s">
        <v>1607</v>
      </c>
      <c r="E104" s="11" t="s">
        <v>13</v>
      </c>
    </row>
    <row r="105">
      <c r="B105" s="61" t="s">
        <v>1605</v>
      </c>
      <c r="C105" s="45" t="s">
        <v>18</v>
      </c>
      <c r="D105" s="61" t="s">
        <v>1607</v>
      </c>
      <c r="E105" s="11" t="s">
        <v>9</v>
      </c>
    </row>
    <row r="106">
      <c r="B106" s="61" t="s">
        <v>1209</v>
      </c>
      <c r="C106" s="45" t="s">
        <v>14</v>
      </c>
      <c r="D106" s="61" t="s">
        <v>1606</v>
      </c>
      <c r="E106" s="11" t="s">
        <v>13</v>
      </c>
    </row>
    <row r="107">
      <c r="B107" s="61" t="s">
        <v>1604</v>
      </c>
      <c r="C107" s="45" t="s">
        <v>165</v>
      </c>
      <c r="D107" s="61" t="s">
        <v>1607</v>
      </c>
      <c r="E107" s="11" t="s">
        <v>9</v>
      </c>
    </row>
    <row r="108">
      <c r="B108" s="61" t="s">
        <v>1605</v>
      </c>
      <c r="C108" s="45" t="s">
        <v>301</v>
      </c>
      <c r="D108" s="61" t="s">
        <v>1209</v>
      </c>
      <c r="E108" s="11" t="s">
        <v>13</v>
      </c>
    </row>
    <row r="109">
      <c r="B109" s="61" t="s">
        <v>1604</v>
      </c>
      <c r="C109" s="45" t="s">
        <v>210</v>
      </c>
      <c r="D109" s="61" t="s">
        <v>1606</v>
      </c>
      <c r="E109" s="11" t="s">
        <v>9</v>
      </c>
    </row>
    <row r="110">
      <c r="B110" s="61" t="s">
        <v>1607</v>
      </c>
      <c r="C110" s="45" t="s">
        <v>160</v>
      </c>
      <c r="D110" s="61" t="s">
        <v>1209</v>
      </c>
      <c r="E110" s="11" t="s">
        <v>13</v>
      </c>
    </row>
    <row r="111">
      <c r="B111" s="1" t="s">
        <v>1532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1357</v>
      </c>
      <c r="C113" s="57" t="s">
        <v>19</v>
      </c>
      <c r="D113" s="61" t="s">
        <v>253</v>
      </c>
      <c r="E113" s="11" t="s">
        <v>9</v>
      </c>
    </row>
    <row r="114">
      <c r="B114" s="61" t="s">
        <v>1608</v>
      </c>
      <c r="C114" s="57" t="s">
        <v>20</v>
      </c>
      <c r="D114" s="61" t="s">
        <v>255</v>
      </c>
      <c r="E114" s="11" t="s">
        <v>13</v>
      </c>
    </row>
    <row r="115">
      <c r="B115" s="61" t="s">
        <v>1608</v>
      </c>
      <c r="C115" s="57" t="s">
        <v>173</v>
      </c>
      <c r="D115" s="61" t="s">
        <v>253</v>
      </c>
      <c r="E115" s="11" t="s">
        <v>9</v>
      </c>
    </row>
    <row r="116">
      <c r="B116" s="61" t="s">
        <v>1609</v>
      </c>
      <c r="C116" s="57" t="s">
        <v>218</v>
      </c>
      <c r="D116" s="61" t="s">
        <v>255</v>
      </c>
      <c r="E116" s="11" t="s">
        <v>13</v>
      </c>
    </row>
    <row r="117">
      <c r="B117" s="61" t="s">
        <v>1609</v>
      </c>
      <c r="C117" s="57" t="s">
        <v>194</v>
      </c>
      <c r="D117" s="61" t="s">
        <v>1608</v>
      </c>
      <c r="E117" s="11" t="s">
        <v>9</v>
      </c>
    </row>
    <row r="118">
      <c r="B118" s="61" t="s">
        <v>255</v>
      </c>
      <c r="C118" s="57" t="s">
        <v>155</v>
      </c>
      <c r="D118" s="61" t="s">
        <v>1357</v>
      </c>
      <c r="E118" s="11" t="s">
        <v>13</v>
      </c>
    </row>
    <row r="119">
      <c r="B119" s="61" t="s">
        <v>1609</v>
      </c>
      <c r="C119" s="57" t="s">
        <v>220</v>
      </c>
      <c r="D119" s="61" t="s">
        <v>253</v>
      </c>
      <c r="E119" s="11" t="s">
        <v>9</v>
      </c>
    </row>
    <row r="120">
      <c r="B120" s="61" t="s">
        <v>1357</v>
      </c>
      <c r="C120" s="57" t="s">
        <v>418</v>
      </c>
      <c r="D120" s="61" t="s">
        <v>1608</v>
      </c>
      <c r="E120" s="11" t="s">
        <v>13</v>
      </c>
    </row>
    <row r="121">
      <c r="B121" s="61" t="s">
        <v>255</v>
      </c>
      <c r="C121" s="57" t="s">
        <v>38</v>
      </c>
      <c r="D121" s="61" t="s">
        <v>253</v>
      </c>
      <c r="E121" s="11" t="s">
        <v>9</v>
      </c>
    </row>
    <row r="122">
      <c r="B122" s="61" t="s">
        <v>1357</v>
      </c>
      <c r="C122" s="57" t="s">
        <v>195</v>
      </c>
      <c r="D122" s="61" t="s">
        <v>1609</v>
      </c>
      <c r="E122" s="11" t="s">
        <v>13</v>
      </c>
    </row>
    <row r="123">
      <c r="B123" s="61" t="s">
        <v>253</v>
      </c>
      <c r="C123" s="57" t="s">
        <v>750</v>
      </c>
      <c r="D123" s="61" t="s">
        <v>1357</v>
      </c>
      <c r="E123" s="11" t="s">
        <v>9</v>
      </c>
    </row>
    <row r="124">
      <c r="B124" s="61" t="s">
        <v>255</v>
      </c>
      <c r="C124" s="57" t="s">
        <v>155</v>
      </c>
      <c r="D124" s="61" t="s">
        <v>1608</v>
      </c>
      <c r="E124" s="11" t="s">
        <v>13</v>
      </c>
    </row>
    <row r="125">
      <c r="B125" s="61" t="s">
        <v>253</v>
      </c>
      <c r="C125" s="45" t="s">
        <v>19</v>
      </c>
      <c r="D125" s="61" t="s">
        <v>1608</v>
      </c>
      <c r="E125" s="11" t="s">
        <v>9</v>
      </c>
    </row>
    <row r="126">
      <c r="B126" s="61" t="s">
        <v>255</v>
      </c>
      <c r="C126" s="45" t="s">
        <v>545</v>
      </c>
      <c r="D126" s="61" t="s">
        <v>1609</v>
      </c>
      <c r="E126" s="11" t="s">
        <v>13</v>
      </c>
    </row>
    <row r="127">
      <c r="B127" s="61" t="s">
        <v>1608</v>
      </c>
      <c r="C127" s="45" t="s">
        <v>173</v>
      </c>
      <c r="D127" s="61" t="s">
        <v>1609</v>
      </c>
      <c r="E127" s="11" t="s">
        <v>9</v>
      </c>
    </row>
    <row r="128">
      <c r="B128" s="61" t="s">
        <v>1357</v>
      </c>
      <c r="C128" s="45" t="s">
        <v>220</v>
      </c>
      <c r="D128" s="61" t="s">
        <v>255</v>
      </c>
      <c r="E128" s="11" t="s">
        <v>13</v>
      </c>
    </row>
    <row r="129">
      <c r="B129" s="61" t="s">
        <v>253</v>
      </c>
      <c r="C129" s="45" t="s">
        <v>185</v>
      </c>
      <c r="D129" s="61" t="s">
        <v>1609</v>
      </c>
      <c r="E129" s="11" t="s">
        <v>9</v>
      </c>
    </row>
    <row r="130">
      <c r="B130" s="61" t="s">
        <v>1608</v>
      </c>
      <c r="C130" s="45" t="s">
        <v>218</v>
      </c>
      <c r="D130" s="61" t="s">
        <v>1357</v>
      </c>
      <c r="E130" s="11" t="s">
        <v>13</v>
      </c>
    </row>
    <row r="131">
      <c r="B131" s="61" t="s">
        <v>253</v>
      </c>
      <c r="C131" s="45" t="s">
        <v>210</v>
      </c>
      <c r="D131" s="61" t="s">
        <v>255</v>
      </c>
      <c r="E131" s="11" t="s">
        <v>9</v>
      </c>
    </row>
    <row r="132">
      <c r="B132" s="61" t="s">
        <v>1609</v>
      </c>
      <c r="C132" s="45" t="s">
        <v>557</v>
      </c>
      <c r="D132" s="61" t="s">
        <v>1357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1610</v>
      </c>
      <c r="C135" s="45" t="s">
        <v>158</v>
      </c>
      <c r="D135" s="61" t="s">
        <v>1611</v>
      </c>
      <c r="E135" s="11" t="s">
        <v>29</v>
      </c>
    </row>
    <row r="136">
      <c r="B136" s="61" t="s">
        <v>1491</v>
      </c>
      <c r="C136" s="45" t="s">
        <v>27</v>
      </c>
      <c r="D136" s="61" t="s">
        <v>1612</v>
      </c>
      <c r="E136" s="11" t="s">
        <v>33</v>
      </c>
    </row>
    <row r="137">
      <c r="B137" s="61" t="s">
        <v>1491</v>
      </c>
      <c r="C137" s="45" t="s">
        <v>302</v>
      </c>
      <c r="D137" s="61" t="s">
        <v>1611</v>
      </c>
      <c r="E137" s="11" t="s">
        <v>29</v>
      </c>
    </row>
    <row r="138">
      <c r="B138" s="61" t="s">
        <v>1613</v>
      </c>
      <c r="C138" s="45" t="s">
        <v>1614</v>
      </c>
      <c r="D138" s="61" t="s">
        <v>1612</v>
      </c>
      <c r="E138" s="15" t="s">
        <v>33</v>
      </c>
    </row>
    <row r="139">
      <c r="B139" s="61" t="s">
        <v>1613</v>
      </c>
      <c r="C139" s="45" t="s">
        <v>16</v>
      </c>
      <c r="D139" s="61" t="s">
        <v>1491</v>
      </c>
      <c r="E139" s="11" t="s">
        <v>29</v>
      </c>
    </row>
    <row r="140">
      <c r="B140" s="61" t="s">
        <v>1612</v>
      </c>
      <c r="C140" s="45" t="s">
        <v>180</v>
      </c>
      <c r="D140" s="61" t="s">
        <v>1610</v>
      </c>
      <c r="E140" s="11" t="s">
        <v>33</v>
      </c>
    </row>
    <row r="141">
      <c r="B141" s="61" t="s">
        <v>1613</v>
      </c>
      <c r="C141" s="45" t="s">
        <v>155</v>
      </c>
      <c r="D141" s="61" t="s">
        <v>1611</v>
      </c>
      <c r="E141" s="11" t="s">
        <v>29</v>
      </c>
    </row>
    <row r="142">
      <c r="B142" s="61" t="s">
        <v>1610</v>
      </c>
      <c r="C142" s="45" t="s">
        <v>155</v>
      </c>
      <c r="D142" s="61" t="s">
        <v>1491</v>
      </c>
      <c r="E142" s="11" t="s">
        <v>33</v>
      </c>
    </row>
    <row r="143">
      <c r="B143" s="61" t="s">
        <v>1612</v>
      </c>
      <c r="C143" s="45" t="s">
        <v>383</v>
      </c>
      <c r="D143" s="61" t="s">
        <v>1611</v>
      </c>
      <c r="E143" s="11" t="s">
        <v>29</v>
      </c>
    </row>
    <row r="144">
      <c r="B144" s="61" t="s">
        <v>1610</v>
      </c>
      <c r="C144" s="45" t="s">
        <v>463</v>
      </c>
      <c r="D144" s="61" t="s">
        <v>1613</v>
      </c>
      <c r="E144" s="11" t="s">
        <v>33</v>
      </c>
    </row>
    <row r="145">
      <c r="B145" s="61" t="s">
        <v>1611</v>
      </c>
      <c r="C145" s="45" t="s">
        <v>185</v>
      </c>
      <c r="D145" s="61" t="s">
        <v>1610</v>
      </c>
      <c r="E145" s="11" t="s">
        <v>29</v>
      </c>
    </row>
    <row r="146">
      <c r="B146" s="61" t="s">
        <v>1612</v>
      </c>
      <c r="C146" s="45" t="s">
        <v>534</v>
      </c>
      <c r="D146" s="61" t="s">
        <v>1491</v>
      </c>
      <c r="E146" s="11" t="s">
        <v>33</v>
      </c>
    </row>
    <row r="147">
      <c r="B147" s="61" t="s">
        <v>1611</v>
      </c>
      <c r="C147" s="45" t="s">
        <v>280</v>
      </c>
      <c r="D147" s="61" t="s">
        <v>1491</v>
      </c>
      <c r="E147" s="11" t="s">
        <v>29</v>
      </c>
    </row>
    <row r="148">
      <c r="B148" s="61" t="s">
        <v>1612</v>
      </c>
      <c r="C148" s="45" t="s">
        <v>23</v>
      </c>
      <c r="D148" s="61" t="s">
        <v>1613</v>
      </c>
      <c r="E148" s="11" t="s">
        <v>33</v>
      </c>
    </row>
    <row r="149">
      <c r="B149" s="61" t="s">
        <v>1491</v>
      </c>
      <c r="C149" s="45" t="s">
        <v>24</v>
      </c>
      <c r="D149" s="61" t="s">
        <v>1613</v>
      </c>
      <c r="E149" s="11" t="s">
        <v>29</v>
      </c>
    </row>
    <row r="150">
      <c r="B150" s="61" t="s">
        <v>1610</v>
      </c>
      <c r="C150" s="45" t="s">
        <v>164</v>
      </c>
      <c r="D150" s="61" t="s">
        <v>1612</v>
      </c>
      <c r="E150" s="11" t="s">
        <v>33</v>
      </c>
    </row>
    <row r="151">
      <c r="B151" s="61" t="s">
        <v>1611</v>
      </c>
      <c r="C151" s="45" t="s">
        <v>43</v>
      </c>
      <c r="D151" s="61" t="s">
        <v>1613</v>
      </c>
      <c r="E151" s="11" t="s">
        <v>29</v>
      </c>
    </row>
    <row r="152">
      <c r="B152" s="61" t="s">
        <v>1491</v>
      </c>
      <c r="C152" s="45" t="s">
        <v>17</v>
      </c>
      <c r="D152" s="61" t="s">
        <v>1610</v>
      </c>
      <c r="E152" s="11" t="s">
        <v>33</v>
      </c>
    </row>
    <row r="153">
      <c r="B153" s="61" t="s">
        <v>1611</v>
      </c>
      <c r="C153" s="45" t="s">
        <v>301</v>
      </c>
      <c r="D153" s="61" t="s">
        <v>1612</v>
      </c>
      <c r="E153" s="11" t="s">
        <v>29</v>
      </c>
    </row>
    <row r="154">
      <c r="B154" s="61" t="s">
        <v>1613</v>
      </c>
      <c r="C154" s="45" t="s">
        <v>610</v>
      </c>
      <c r="D154" s="61" t="s">
        <v>1610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1615</v>
      </c>
      <c r="C157" s="45" t="s">
        <v>394</v>
      </c>
      <c r="D157" s="61" t="s">
        <v>1546</v>
      </c>
      <c r="E157" s="11" t="s">
        <v>9</v>
      </c>
    </row>
    <row r="158">
      <c r="B158" s="61" t="s">
        <v>1616</v>
      </c>
      <c r="C158" s="45" t="s">
        <v>1107</v>
      </c>
      <c r="D158" s="61" t="s">
        <v>1617</v>
      </c>
      <c r="E158" s="11" t="s">
        <v>13</v>
      </c>
    </row>
    <row r="159">
      <c r="B159" s="61" t="s">
        <v>1616</v>
      </c>
      <c r="C159" s="45" t="s">
        <v>425</v>
      </c>
      <c r="D159" s="61" t="s">
        <v>1546</v>
      </c>
      <c r="E159" s="11" t="s">
        <v>9</v>
      </c>
    </row>
    <row r="160">
      <c r="B160" s="56" t="s">
        <v>1618</v>
      </c>
      <c r="C160" s="45" t="s">
        <v>1619</v>
      </c>
      <c r="D160" s="61" t="s">
        <v>1617</v>
      </c>
      <c r="E160" s="11" t="s">
        <v>13</v>
      </c>
    </row>
    <row r="161">
      <c r="B161" s="56" t="s">
        <v>1618</v>
      </c>
      <c r="C161" s="45" t="s">
        <v>158</v>
      </c>
      <c r="D161" s="61" t="s">
        <v>1616</v>
      </c>
      <c r="E161" s="11" t="s">
        <v>9</v>
      </c>
    </row>
    <row r="162">
      <c r="B162" s="61" t="s">
        <v>1617</v>
      </c>
      <c r="C162" s="45" t="s">
        <v>977</v>
      </c>
      <c r="D162" s="61" t="s">
        <v>1615</v>
      </c>
      <c r="E162" s="11" t="s">
        <v>13</v>
      </c>
    </row>
    <row r="163">
      <c r="B163" s="56" t="s">
        <v>1618</v>
      </c>
      <c r="C163" s="45" t="s">
        <v>1620</v>
      </c>
      <c r="D163" s="61" t="s">
        <v>1546</v>
      </c>
      <c r="E163" s="11" t="s">
        <v>9</v>
      </c>
    </row>
    <row r="164">
      <c r="B164" s="61" t="s">
        <v>1615</v>
      </c>
      <c r="C164" s="45" t="s">
        <v>43</v>
      </c>
      <c r="D164" s="61" t="s">
        <v>1616</v>
      </c>
      <c r="E164" s="11" t="s">
        <v>13</v>
      </c>
    </row>
    <row r="165">
      <c r="B165" s="61" t="s">
        <v>1617</v>
      </c>
      <c r="C165" s="45" t="s">
        <v>251</v>
      </c>
      <c r="D165" s="61" t="s">
        <v>1546</v>
      </c>
      <c r="E165" s="11" t="s">
        <v>9</v>
      </c>
    </row>
    <row r="166">
      <c r="B166" s="61" t="s">
        <v>1615</v>
      </c>
      <c r="C166" s="45" t="s">
        <v>24</v>
      </c>
      <c r="D166" s="56" t="s">
        <v>1618</v>
      </c>
      <c r="E166" s="11" t="s">
        <v>13</v>
      </c>
    </row>
    <row r="167">
      <c r="B167" s="61" t="s">
        <v>1546</v>
      </c>
      <c r="C167" s="45" t="s">
        <v>209</v>
      </c>
      <c r="D167" s="61" t="s">
        <v>1615</v>
      </c>
      <c r="E167" s="11" t="s">
        <v>9</v>
      </c>
    </row>
    <row r="168">
      <c r="B168" s="61" t="s">
        <v>1617</v>
      </c>
      <c r="C168" s="45" t="s">
        <v>239</v>
      </c>
      <c r="D168" s="61" t="s">
        <v>1616</v>
      </c>
      <c r="E168" s="11" t="s">
        <v>13</v>
      </c>
    </row>
    <row r="169">
      <c r="B169" s="61" t="s">
        <v>1546</v>
      </c>
      <c r="C169" s="45" t="s">
        <v>229</v>
      </c>
      <c r="D169" s="61" t="s">
        <v>1616</v>
      </c>
      <c r="E169" s="11" t="s">
        <v>9</v>
      </c>
    </row>
    <row r="170">
      <c r="B170" s="61" t="s">
        <v>1617</v>
      </c>
      <c r="C170" s="45" t="s">
        <v>1173</v>
      </c>
      <c r="D170" s="56" t="s">
        <v>1618</v>
      </c>
      <c r="E170" s="11" t="s">
        <v>13</v>
      </c>
    </row>
    <row r="171">
      <c r="B171" s="61" t="s">
        <v>1616</v>
      </c>
      <c r="C171" s="45" t="s">
        <v>27</v>
      </c>
      <c r="D171" s="56" t="s">
        <v>1618</v>
      </c>
      <c r="E171" s="11" t="s">
        <v>9</v>
      </c>
    </row>
    <row r="172">
      <c r="B172" s="61" t="s">
        <v>1615</v>
      </c>
      <c r="C172" s="45" t="s">
        <v>230</v>
      </c>
      <c r="D172" s="61" t="s">
        <v>1617</v>
      </c>
      <c r="E172" s="11" t="s">
        <v>13</v>
      </c>
    </row>
    <row r="173">
      <c r="B173" s="61" t="s">
        <v>1546</v>
      </c>
      <c r="C173" s="45" t="s">
        <v>225</v>
      </c>
      <c r="D173" s="56" t="s">
        <v>1618</v>
      </c>
      <c r="E173" s="11" t="s">
        <v>9</v>
      </c>
    </row>
    <row r="174">
      <c r="B174" s="61" t="s">
        <v>1616</v>
      </c>
      <c r="C174" s="45" t="s">
        <v>301</v>
      </c>
      <c r="D174" s="61" t="s">
        <v>1615</v>
      </c>
      <c r="E174" s="11" t="s">
        <v>13</v>
      </c>
    </row>
    <row r="175">
      <c r="B175" s="61" t="s">
        <v>1546</v>
      </c>
      <c r="C175" s="45" t="s">
        <v>291</v>
      </c>
      <c r="D175" s="61" t="s">
        <v>1617</v>
      </c>
      <c r="E175" s="11" t="s">
        <v>9</v>
      </c>
    </row>
    <row r="176">
      <c r="B176" s="56" t="s">
        <v>1618</v>
      </c>
      <c r="C176" s="45" t="s">
        <v>225</v>
      </c>
      <c r="D176" s="61" t="s">
        <v>1615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1621</v>
      </c>
      <c r="C179" s="45" t="s">
        <v>227</v>
      </c>
      <c r="D179" s="61" t="s">
        <v>66</v>
      </c>
      <c r="E179" s="11" t="s">
        <v>29</v>
      </c>
    </row>
    <row r="180">
      <c r="B180" s="61" t="s">
        <v>1622</v>
      </c>
      <c r="C180" s="45" t="s">
        <v>18</v>
      </c>
      <c r="D180" s="61" t="s">
        <v>1623</v>
      </c>
      <c r="E180" s="11" t="s">
        <v>33</v>
      </c>
    </row>
    <row r="181">
      <c r="B181" s="61" t="s">
        <v>1622</v>
      </c>
      <c r="C181" s="45" t="s">
        <v>301</v>
      </c>
      <c r="D181" s="61" t="s">
        <v>66</v>
      </c>
      <c r="E181" s="11" t="s">
        <v>29</v>
      </c>
    </row>
    <row r="182">
      <c r="B182" s="61" t="s">
        <v>1479</v>
      </c>
      <c r="C182" s="45" t="s">
        <v>525</v>
      </c>
      <c r="D182" s="61" t="s">
        <v>1623</v>
      </c>
      <c r="E182" s="11" t="s">
        <v>33</v>
      </c>
    </row>
    <row r="183">
      <c r="B183" s="61" t="s">
        <v>1479</v>
      </c>
      <c r="C183" s="45" t="s">
        <v>24</v>
      </c>
      <c r="D183" s="61" t="s">
        <v>1622</v>
      </c>
      <c r="E183" s="11" t="s">
        <v>29</v>
      </c>
    </row>
    <row r="184">
      <c r="B184" s="61" t="s">
        <v>1623</v>
      </c>
      <c r="C184" s="45" t="s">
        <v>1624</v>
      </c>
      <c r="D184" s="61" t="s">
        <v>1621</v>
      </c>
      <c r="E184" s="11" t="s">
        <v>33</v>
      </c>
    </row>
    <row r="185">
      <c r="B185" s="61" t="s">
        <v>1479</v>
      </c>
      <c r="C185" s="45" t="s">
        <v>209</v>
      </c>
      <c r="D185" s="61" t="s">
        <v>66</v>
      </c>
      <c r="E185" s="11" t="s">
        <v>29</v>
      </c>
    </row>
    <row r="186">
      <c r="B186" s="61" t="s">
        <v>1621</v>
      </c>
      <c r="C186" s="45" t="s">
        <v>20</v>
      </c>
      <c r="D186" s="61" t="s">
        <v>1622</v>
      </c>
      <c r="E186" s="11" t="s">
        <v>33</v>
      </c>
    </row>
    <row r="187">
      <c r="B187" s="61" t="s">
        <v>1623</v>
      </c>
      <c r="C187" s="45" t="s">
        <v>233</v>
      </c>
      <c r="D187" s="61" t="s">
        <v>66</v>
      </c>
      <c r="E187" s="11" t="s">
        <v>29</v>
      </c>
    </row>
    <row r="188">
      <c r="B188" s="61" t="s">
        <v>1621</v>
      </c>
      <c r="C188" s="45" t="s">
        <v>162</v>
      </c>
      <c r="D188" s="61" t="s">
        <v>1479</v>
      </c>
      <c r="E188" s="11" t="s">
        <v>33</v>
      </c>
    </row>
    <row r="189">
      <c r="B189" s="61" t="s">
        <v>66</v>
      </c>
      <c r="C189" s="45" t="s">
        <v>301</v>
      </c>
      <c r="D189" s="61" t="s">
        <v>1621</v>
      </c>
      <c r="E189" s="11" t="s">
        <v>29</v>
      </c>
    </row>
    <row r="190">
      <c r="B190" s="61" t="s">
        <v>1623</v>
      </c>
      <c r="C190" s="45" t="s">
        <v>208</v>
      </c>
      <c r="D190" s="61" t="s">
        <v>1622</v>
      </c>
      <c r="E190" s="11" t="s">
        <v>33</v>
      </c>
    </row>
    <row r="191">
      <c r="B191" s="61" t="s">
        <v>66</v>
      </c>
      <c r="C191" s="45" t="s">
        <v>1625</v>
      </c>
      <c r="D191" s="61" t="s">
        <v>1622</v>
      </c>
      <c r="E191" s="11" t="s">
        <v>29</v>
      </c>
    </row>
    <row r="192">
      <c r="B192" s="61" t="s">
        <v>1623</v>
      </c>
      <c r="C192" s="45" t="s">
        <v>17</v>
      </c>
      <c r="D192" s="61" t="s">
        <v>1479</v>
      </c>
      <c r="E192" s="11" t="s">
        <v>33</v>
      </c>
    </row>
    <row r="193">
      <c r="B193" s="61" t="s">
        <v>1622</v>
      </c>
      <c r="C193" s="45" t="s">
        <v>38</v>
      </c>
      <c r="D193" s="61" t="s">
        <v>1479</v>
      </c>
      <c r="E193" s="11" t="s">
        <v>29</v>
      </c>
    </row>
    <row r="194">
      <c r="B194" s="61" t="s">
        <v>1621</v>
      </c>
      <c r="C194" s="45" t="s">
        <v>251</v>
      </c>
      <c r="D194" s="61" t="s">
        <v>1623</v>
      </c>
      <c r="E194" s="11" t="s">
        <v>33</v>
      </c>
    </row>
    <row r="195">
      <c r="B195" s="61" t="s">
        <v>66</v>
      </c>
      <c r="C195" s="45" t="s">
        <v>16</v>
      </c>
      <c r="D195" s="61" t="s">
        <v>1479</v>
      </c>
      <c r="E195" s="11" t="s">
        <v>29</v>
      </c>
    </row>
    <row r="196">
      <c r="B196" s="61" t="s">
        <v>1622</v>
      </c>
      <c r="C196" s="45" t="s">
        <v>344</v>
      </c>
      <c r="D196" s="61" t="s">
        <v>1621</v>
      </c>
      <c r="E196" s="11" t="s">
        <v>33</v>
      </c>
    </row>
    <row r="197">
      <c r="B197" s="61" t="s">
        <v>66</v>
      </c>
      <c r="C197" s="45" t="s">
        <v>208</v>
      </c>
      <c r="D197" s="61" t="s">
        <v>1623</v>
      </c>
      <c r="E197" s="11" t="s">
        <v>29</v>
      </c>
    </row>
    <row r="198">
      <c r="B198" s="61" t="s">
        <v>1479</v>
      </c>
      <c r="C198" s="45" t="s">
        <v>158</v>
      </c>
      <c r="D198" s="61" t="s">
        <v>1621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1626</v>
      </c>
      <c r="C201" s="45" t="s">
        <v>1619</v>
      </c>
      <c r="D201" s="61" t="s">
        <v>1627</v>
      </c>
      <c r="E201" s="11" t="s">
        <v>29</v>
      </c>
    </row>
    <row r="202">
      <c r="B202" s="61" t="s">
        <v>1628</v>
      </c>
      <c r="C202" s="45" t="s">
        <v>14</v>
      </c>
      <c r="D202" s="61" t="s">
        <v>1629</v>
      </c>
      <c r="E202" s="11" t="s">
        <v>33</v>
      </c>
    </row>
    <row r="203">
      <c r="B203" s="61" t="s">
        <v>1628</v>
      </c>
      <c r="C203" s="45" t="s">
        <v>357</v>
      </c>
      <c r="D203" s="61" t="s">
        <v>1627</v>
      </c>
      <c r="E203" s="11" t="s">
        <v>29</v>
      </c>
    </row>
    <row r="204">
      <c r="B204" s="61" t="s">
        <v>1630</v>
      </c>
      <c r="C204" s="45" t="s">
        <v>20</v>
      </c>
      <c r="D204" s="61" t="s">
        <v>1629</v>
      </c>
      <c r="E204" s="11" t="s">
        <v>33</v>
      </c>
    </row>
    <row r="205">
      <c r="B205" s="61" t="s">
        <v>1630</v>
      </c>
      <c r="C205" s="45" t="s">
        <v>227</v>
      </c>
      <c r="D205" s="61" t="s">
        <v>1628</v>
      </c>
      <c r="E205" s="11" t="s">
        <v>29</v>
      </c>
    </row>
    <row r="206">
      <c r="B206" s="61" t="s">
        <v>1629</v>
      </c>
      <c r="C206" s="45" t="s">
        <v>23</v>
      </c>
      <c r="D206" s="61" t="s">
        <v>1626</v>
      </c>
      <c r="E206" s="11" t="s">
        <v>33</v>
      </c>
    </row>
    <row r="207">
      <c r="B207" s="61" t="s">
        <v>1630</v>
      </c>
      <c r="C207" s="45" t="s">
        <v>327</v>
      </c>
      <c r="D207" s="61" t="s">
        <v>1627</v>
      </c>
      <c r="E207" s="11" t="s">
        <v>29</v>
      </c>
    </row>
    <row r="208">
      <c r="B208" s="61" t="s">
        <v>1626</v>
      </c>
      <c r="C208" s="45" t="s">
        <v>7</v>
      </c>
      <c r="D208" s="61" t="s">
        <v>1628</v>
      </c>
      <c r="E208" s="11" t="s">
        <v>33</v>
      </c>
    </row>
    <row r="209">
      <c r="B209" s="61" t="s">
        <v>1629</v>
      </c>
      <c r="C209" s="45" t="s">
        <v>19</v>
      </c>
      <c r="D209" s="61" t="s">
        <v>1627</v>
      </c>
      <c r="E209" s="11" t="s">
        <v>29</v>
      </c>
    </row>
    <row r="210">
      <c r="B210" s="61" t="s">
        <v>1626</v>
      </c>
      <c r="C210" s="45" t="s">
        <v>227</v>
      </c>
      <c r="D210" s="61" t="s">
        <v>1630</v>
      </c>
      <c r="E210" s="11" t="s">
        <v>33</v>
      </c>
    </row>
    <row r="211">
      <c r="B211" s="61" t="s">
        <v>1627</v>
      </c>
      <c r="C211" s="45" t="s">
        <v>158</v>
      </c>
      <c r="D211" s="61" t="s">
        <v>1626</v>
      </c>
      <c r="E211" s="92" t="s">
        <v>29</v>
      </c>
    </row>
    <row r="212">
      <c r="B212" s="61" t="s">
        <v>1629</v>
      </c>
      <c r="C212" s="45" t="s">
        <v>11</v>
      </c>
      <c r="D212" s="61" t="s">
        <v>1628</v>
      </c>
      <c r="E212" s="11" t="s">
        <v>33</v>
      </c>
    </row>
    <row r="213">
      <c r="B213" s="61" t="s">
        <v>1627</v>
      </c>
      <c r="C213" s="45" t="s">
        <v>244</v>
      </c>
      <c r="D213" s="61" t="s">
        <v>1628</v>
      </c>
      <c r="E213" s="11" t="s">
        <v>29</v>
      </c>
    </row>
    <row r="214">
      <c r="B214" s="61" t="s">
        <v>1629</v>
      </c>
      <c r="C214" s="45" t="s">
        <v>218</v>
      </c>
      <c r="D214" s="61" t="s">
        <v>1630</v>
      </c>
      <c r="E214" s="11" t="s">
        <v>33</v>
      </c>
    </row>
    <row r="215">
      <c r="B215" s="61" t="s">
        <v>1628</v>
      </c>
      <c r="C215" s="45" t="s">
        <v>162</v>
      </c>
      <c r="D215" s="61" t="s">
        <v>1630</v>
      </c>
      <c r="E215" s="11" t="s">
        <v>29</v>
      </c>
    </row>
    <row r="216">
      <c r="B216" s="61" t="s">
        <v>1626</v>
      </c>
      <c r="C216" s="45" t="s">
        <v>38</v>
      </c>
      <c r="D216" s="61" t="s">
        <v>1629</v>
      </c>
      <c r="E216" s="11" t="s">
        <v>33</v>
      </c>
    </row>
    <row r="217">
      <c r="B217" s="61" t="s">
        <v>1627</v>
      </c>
      <c r="C217" s="45" t="s">
        <v>1015</v>
      </c>
      <c r="D217" s="61" t="s">
        <v>1630</v>
      </c>
      <c r="E217" s="11" t="s">
        <v>29</v>
      </c>
    </row>
    <row r="218">
      <c r="B218" s="61" t="s">
        <v>1628</v>
      </c>
      <c r="C218" s="45" t="s">
        <v>195</v>
      </c>
      <c r="D218" s="61" t="s">
        <v>1626</v>
      </c>
      <c r="E218" s="11" t="s">
        <v>33</v>
      </c>
    </row>
    <row r="219">
      <c r="B219" s="61" t="s">
        <v>1627</v>
      </c>
      <c r="C219" s="45" t="s">
        <v>279</v>
      </c>
      <c r="D219" s="61" t="s">
        <v>1629</v>
      </c>
      <c r="E219" s="11" t="s">
        <v>29</v>
      </c>
    </row>
    <row r="220">
      <c r="B220" s="61" t="s">
        <v>1630</v>
      </c>
      <c r="C220" s="45" t="s">
        <v>208</v>
      </c>
      <c r="D220" s="61" t="s">
        <v>1626</v>
      </c>
      <c r="E220" s="11" t="s">
        <v>33</v>
      </c>
    </row>
    <row r="221">
      <c r="B221" s="52" t="s">
        <v>1560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1631</v>
      </c>
      <c r="C223" s="57" t="s">
        <v>162</v>
      </c>
      <c r="D223" s="62" t="s">
        <v>1632</v>
      </c>
      <c r="E223" s="11" t="s">
        <v>9</v>
      </c>
    </row>
    <row r="224">
      <c r="B224" s="62" t="s">
        <v>1633</v>
      </c>
      <c r="C224" s="57" t="s">
        <v>41</v>
      </c>
      <c r="D224" s="62" t="s">
        <v>1565</v>
      </c>
      <c r="E224" s="11" t="s">
        <v>13</v>
      </c>
    </row>
    <row r="225">
      <c r="B225" s="62" t="s">
        <v>1633</v>
      </c>
      <c r="C225" s="57" t="s">
        <v>292</v>
      </c>
      <c r="D225" s="62" t="s">
        <v>1632</v>
      </c>
      <c r="E225" s="11" t="s">
        <v>9</v>
      </c>
    </row>
    <row r="226">
      <c r="B226" s="56" t="s">
        <v>1634</v>
      </c>
      <c r="C226" s="57" t="s">
        <v>208</v>
      </c>
      <c r="D226" s="62" t="s">
        <v>1565</v>
      </c>
      <c r="E226" s="11" t="s">
        <v>13</v>
      </c>
    </row>
    <row r="227">
      <c r="B227" s="56" t="s">
        <v>1634</v>
      </c>
      <c r="C227" s="57" t="s">
        <v>155</v>
      </c>
      <c r="D227" s="62" t="s">
        <v>1633</v>
      </c>
      <c r="E227" s="11" t="s">
        <v>9</v>
      </c>
    </row>
    <row r="228">
      <c r="B228" s="62" t="s">
        <v>1565</v>
      </c>
      <c r="C228" s="57" t="s">
        <v>155</v>
      </c>
      <c r="D228" s="62" t="s">
        <v>1631</v>
      </c>
      <c r="E228" s="11" t="s">
        <v>13</v>
      </c>
    </row>
    <row r="229">
      <c r="B229" s="56" t="s">
        <v>1634</v>
      </c>
      <c r="C229" s="57" t="s">
        <v>233</v>
      </c>
      <c r="D229" s="62" t="s">
        <v>1632</v>
      </c>
      <c r="E229" s="11" t="s">
        <v>9</v>
      </c>
    </row>
    <row r="230">
      <c r="B230" s="62" t="s">
        <v>1631</v>
      </c>
      <c r="C230" s="57" t="s">
        <v>36</v>
      </c>
      <c r="D230" s="62" t="s">
        <v>1633</v>
      </c>
      <c r="E230" s="11" t="s">
        <v>13</v>
      </c>
    </row>
    <row r="231">
      <c r="B231" s="62" t="s">
        <v>1565</v>
      </c>
      <c r="C231" s="57" t="s">
        <v>176</v>
      </c>
      <c r="D231" s="62" t="s">
        <v>1632</v>
      </c>
      <c r="E231" s="11" t="s">
        <v>9</v>
      </c>
    </row>
    <row r="232">
      <c r="B232" s="62" t="s">
        <v>1631</v>
      </c>
      <c r="C232" s="57" t="s">
        <v>41</v>
      </c>
      <c r="D232" s="56" t="s">
        <v>1634</v>
      </c>
      <c r="E232" s="11" t="s">
        <v>13</v>
      </c>
    </row>
    <row r="233">
      <c r="B233" s="62" t="s">
        <v>1632</v>
      </c>
      <c r="C233" s="57" t="s">
        <v>162</v>
      </c>
      <c r="D233" s="62" t="s">
        <v>1631</v>
      </c>
      <c r="E233" s="11" t="s">
        <v>9</v>
      </c>
    </row>
    <row r="234">
      <c r="B234" s="62" t="s">
        <v>1565</v>
      </c>
      <c r="C234" s="57" t="s">
        <v>292</v>
      </c>
      <c r="D234" s="62" t="s">
        <v>1633</v>
      </c>
      <c r="E234" s="11" t="s">
        <v>13</v>
      </c>
    </row>
    <row r="235">
      <c r="B235" s="62" t="s">
        <v>1632</v>
      </c>
      <c r="C235" s="45" t="s">
        <v>210</v>
      </c>
      <c r="D235" s="62" t="s">
        <v>1633</v>
      </c>
      <c r="E235" s="11" t="s">
        <v>9</v>
      </c>
    </row>
    <row r="236">
      <c r="B236" s="62" t="s">
        <v>1565</v>
      </c>
      <c r="C236" s="45" t="s">
        <v>17</v>
      </c>
      <c r="D236" s="56" t="s">
        <v>1634</v>
      </c>
      <c r="E236" s="11" t="s">
        <v>13</v>
      </c>
    </row>
    <row r="237">
      <c r="B237" s="62" t="s">
        <v>1633</v>
      </c>
      <c r="C237" s="45" t="s">
        <v>301</v>
      </c>
      <c r="D237" s="56" t="s">
        <v>1634</v>
      </c>
      <c r="E237" s="11" t="s">
        <v>9</v>
      </c>
    </row>
    <row r="238">
      <c r="B238" s="62" t="s">
        <v>1631</v>
      </c>
      <c r="C238" s="45" t="s">
        <v>547</v>
      </c>
      <c r="D238" s="62" t="s">
        <v>1565</v>
      </c>
      <c r="E238" s="11" t="s">
        <v>13</v>
      </c>
    </row>
    <row r="239">
      <c r="B239" s="62" t="s">
        <v>1632</v>
      </c>
      <c r="C239" s="45" t="s">
        <v>278</v>
      </c>
      <c r="D239" s="56" t="s">
        <v>1634</v>
      </c>
      <c r="E239" s="11" t="s">
        <v>9</v>
      </c>
    </row>
    <row r="240">
      <c r="B240" s="62" t="s">
        <v>1633</v>
      </c>
      <c r="C240" s="45" t="s">
        <v>366</v>
      </c>
      <c r="D240" s="62" t="s">
        <v>1631</v>
      </c>
      <c r="E240" s="11" t="s">
        <v>13</v>
      </c>
    </row>
    <row r="241">
      <c r="B241" s="62" t="s">
        <v>1632</v>
      </c>
      <c r="C241" s="45" t="s">
        <v>351</v>
      </c>
      <c r="D241" s="62" t="s">
        <v>1565</v>
      </c>
      <c r="E241" s="11" t="s">
        <v>9</v>
      </c>
    </row>
    <row r="242">
      <c r="B242" s="56" t="s">
        <v>1634</v>
      </c>
      <c r="C242" s="45" t="s">
        <v>354</v>
      </c>
      <c r="D242" s="62" t="s">
        <v>1631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1635</v>
      </c>
      <c r="C245" s="45" t="s">
        <v>23</v>
      </c>
      <c r="D245" s="62" t="s">
        <v>1636</v>
      </c>
      <c r="E245" s="11" t="s">
        <v>9</v>
      </c>
    </row>
    <row r="246">
      <c r="B246" s="62" t="s">
        <v>1637</v>
      </c>
      <c r="C246" s="45" t="s">
        <v>7</v>
      </c>
      <c r="D246" s="62" t="s">
        <v>1638</v>
      </c>
      <c r="E246" s="11" t="s">
        <v>13</v>
      </c>
    </row>
    <row r="247">
      <c r="B247" s="62" t="s">
        <v>1637</v>
      </c>
      <c r="C247" s="45" t="s">
        <v>302</v>
      </c>
      <c r="D247" s="62" t="s">
        <v>1636</v>
      </c>
      <c r="E247" s="11" t="s">
        <v>9</v>
      </c>
    </row>
    <row r="248">
      <c r="B248" s="62" t="s">
        <v>1639</v>
      </c>
      <c r="C248" s="45" t="s">
        <v>18</v>
      </c>
      <c r="D248" s="62" t="s">
        <v>1638</v>
      </c>
      <c r="E248" s="11" t="s">
        <v>13</v>
      </c>
    </row>
    <row r="249">
      <c r="B249" s="62" t="s">
        <v>1639</v>
      </c>
      <c r="C249" s="45" t="s">
        <v>203</v>
      </c>
      <c r="D249" s="62" t="s">
        <v>1637</v>
      </c>
      <c r="E249" s="11" t="s">
        <v>9</v>
      </c>
    </row>
    <row r="250">
      <c r="B250" s="62" t="s">
        <v>1638</v>
      </c>
      <c r="C250" s="45" t="s">
        <v>158</v>
      </c>
      <c r="D250" s="62" t="s">
        <v>1635</v>
      </c>
      <c r="E250" s="11" t="s">
        <v>13</v>
      </c>
    </row>
    <row r="251">
      <c r="B251" s="62" t="s">
        <v>1639</v>
      </c>
      <c r="C251" s="45" t="s">
        <v>968</v>
      </c>
      <c r="D251" s="62" t="s">
        <v>1636</v>
      </c>
      <c r="E251" s="11" t="s">
        <v>9</v>
      </c>
    </row>
    <row r="252">
      <c r="B252" s="62" t="s">
        <v>1635</v>
      </c>
      <c r="C252" s="45" t="s">
        <v>43</v>
      </c>
      <c r="D252" s="62" t="s">
        <v>1637</v>
      </c>
      <c r="E252" s="11" t="s">
        <v>13</v>
      </c>
    </row>
    <row r="253">
      <c r="B253" s="62" t="s">
        <v>1638</v>
      </c>
      <c r="C253" s="45" t="s">
        <v>508</v>
      </c>
      <c r="D253" s="62" t="s">
        <v>1636</v>
      </c>
      <c r="E253" s="11" t="s">
        <v>9</v>
      </c>
    </row>
    <row r="254">
      <c r="B254" s="62" t="s">
        <v>1635</v>
      </c>
      <c r="C254" s="45" t="s">
        <v>166</v>
      </c>
      <c r="D254" s="62" t="s">
        <v>1639</v>
      </c>
      <c r="E254" s="11" t="s">
        <v>13</v>
      </c>
    </row>
    <row r="255">
      <c r="B255" s="62" t="s">
        <v>1636</v>
      </c>
      <c r="C255" s="45" t="s">
        <v>163</v>
      </c>
      <c r="D255" s="62" t="s">
        <v>1635</v>
      </c>
      <c r="E255" s="11" t="s">
        <v>9</v>
      </c>
    </row>
    <row r="256">
      <c r="B256" s="62" t="s">
        <v>1638</v>
      </c>
      <c r="C256" s="45" t="s">
        <v>16</v>
      </c>
      <c r="D256" s="62" t="s">
        <v>1637</v>
      </c>
      <c r="E256" s="11" t="s">
        <v>13</v>
      </c>
    </row>
    <row r="257">
      <c r="B257" s="62" t="s">
        <v>1636</v>
      </c>
      <c r="C257" s="45" t="s">
        <v>18</v>
      </c>
      <c r="D257" s="62" t="s">
        <v>1637</v>
      </c>
      <c r="E257" s="11" t="s">
        <v>9</v>
      </c>
    </row>
    <row r="258">
      <c r="B258" s="62" t="s">
        <v>1638</v>
      </c>
      <c r="C258" s="45" t="s">
        <v>163</v>
      </c>
      <c r="D258" s="62" t="s">
        <v>1639</v>
      </c>
      <c r="E258" s="11" t="s">
        <v>13</v>
      </c>
    </row>
    <row r="259">
      <c r="B259" s="62" t="s">
        <v>1637</v>
      </c>
      <c r="C259" s="45" t="s">
        <v>257</v>
      </c>
      <c r="D259" s="62" t="s">
        <v>1639</v>
      </c>
      <c r="E259" s="11" t="s">
        <v>9</v>
      </c>
    </row>
    <row r="260">
      <c r="B260" s="62" t="s">
        <v>1635</v>
      </c>
      <c r="C260" s="45" t="s">
        <v>351</v>
      </c>
      <c r="D260" s="62" t="s">
        <v>1638</v>
      </c>
      <c r="E260" s="11" t="s">
        <v>13</v>
      </c>
    </row>
    <row r="261">
      <c r="B261" s="62" t="s">
        <v>1636</v>
      </c>
      <c r="C261" s="45" t="s">
        <v>171</v>
      </c>
      <c r="D261" s="62" t="s">
        <v>1639</v>
      </c>
      <c r="E261" s="11" t="s">
        <v>9</v>
      </c>
    </row>
    <row r="262">
      <c r="B262" s="62" t="s">
        <v>1637</v>
      </c>
      <c r="C262" s="45" t="s">
        <v>38</v>
      </c>
      <c r="D262" s="62" t="s">
        <v>1635</v>
      </c>
      <c r="E262" s="11" t="s">
        <v>13</v>
      </c>
    </row>
    <row r="263">
      <c r="B263" s="62" t="s">
        <v>1636</v>
      </c>
      <c r="C263" s="45" t="s">
        <v>41</v>
      </c>
      <c r="D263" s="62" t="s">
        <v>1638</v>
      </c>
      <c r="E263" s="11" t="s">
        <v>9</v>
      </c>
    </row>
    <row r="264">
      <c r="B264" s="62" t="s">
        <v>1639</v>
      </c>
      <c r="C264" s="45" t="s">
        <v>164</v>
      </c>
      <c r="D264" s="62" t="s">
        <v>1635</v>
      </c>
      <c r="E264" s="11" t="s">
        <v>13</v>
      </c>
    </row>
    <row r="265">
      <c r="B265" s="52" t="s">
        <v>1573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1640</v>
      </c>
      <c r="C267" s="45" t="s">
        <v>171</v>
      </c>
      <c r="D267" s="62" t="s">
        <v>1577</v>
      </c>
      <c r="E267" s="11" t="s">
        <v>29</v>
      </c>
    </row>
    <row r="268">
      <c r="B268" s="62" t="s">
        <v>1641</v>
      </c>
      <c r="C268" s="45" t="s">
        <v>36</v>
      </c>
      <c r="D268" s="62" t="s">
        <v>806</v>
      </c>
      <c r="E268" s="11" t="s">
        <v>33</v>
      </c>
    </row>
    <row r="269">
      <c r="B269" s="62" t="s">
        <v>1641</v>
      </c>
      <c r="C269" s="45" t="s">
        <v>165</v>
      </c>
      <c r="D269" s="62" t="s">
        <v>1577</v>
      </c>
      <c r="E269" s="11" t="s">
        <v>29</v>
      </c>
    </row>
    <row r="270">
      <c r="B270" s="62" t="s">
        <v>1642</v>
      </c>
      <c r="C270" s="45" t="s">
        <v>18</v>
      </c>
      <c r="D270" s="62" t="s">
        <v>806</v>
      </c>
      <c r="E270" s="11" t="s">
        <v>33</v>
      </c>
    </row>
    <row r="271">
      <c r="B271" s="62" t="s">
        <v>1642</v>
      </c>
      <c r="C271" s="45" t="s">
        <v>573</v>
      </c>
      <c r="D271" s="62" t="s">
        <v>1641</v>
      </c>
      <c r="E271" s="11" t="s">
        <v>29</v>
      </c>
    </row>
    <row r="272">
      <c r="B272" s="62" t="s">
        <v>806</v>
      </c>
      <c r="C272" s="45" t="s">
        <v>43</v>
      </c>
      <c r="D272" s="62" t="s">
        <v>1640</v>
      </c>
      <c r="E272" s="11" t="s">
        <v>33</v>
      </c>
    </row>
    <row r="273">
      <c r="B273" s="62" t="s">
        <v>1642</v>
      </c>
      <c r="C273" s="45" t="s">
        <v>196</v>
      </c>
      <c r="D273" s="62" t="s">
        <v>1577</v>
      </c>
      <c r="E273" s="11" t="s">
        <v>29</v>
      </c>
    </row>
    <row r="274">
      <c r="B274" s="62" t="s">
        <v>1640</v>
      </c>
      <c r="C274" s="45" t="s">
        <v>163</v>
      </c>
      <c r="D274" s="62" t="s">
        <v>1641</v>
      </c>
      <c r="E274" s="11" t="s">
        <v>33</v>
      </c>
    </row>
    <row r="275">
      <c r="B275" s="62" t="s">
        <v>806</v>
      </c>
      <c r="C275" s="45" t="s">
        <v>264</v>
      </c>
      <c r="D275" s="62" t="s">
        <v>1577</v>
      </c>
      <c r="E275" s="11" t="s">
        <v>29</v>
      </c>
    </row>
    <row r="276">
      <c r="B276" s="62" t="s">
        <v>1640</v>
      </c>
      <c r="C276" s="45" t="s">
        <v>279</v>
      </c>
      <c r="D276" s="62" t="s">
        <v>1642</v>
      </c>
      <c r="E276" s="11" t="s">
        <v>33</v>
      </c>
    </row>
    <row r="277">
      <c r="B277" s="62" t="s">
        <v>1577</v>
      </c>
      <c r="C277" s="45" t="s">
        <v>196</v>
      </c>
      <c r="D277" s="62" t="s">
        <v>1640</v>
      </c>
      <c r="E277" s="11" t="s">
        <v>29</v>
      </c>
    </row>
    <row r="278">
      <c r="B278" s="62" t="s">
        <v>806</v>
      </c>
      <c r="C278" s="45" t="s">
        <v>292</v>
      </c>
      <c r="D278" s="62" t="s">
        <v>1641</v>
      </c>
      <c r="E278" s="11" t="s">
        <v>33</v>
      </c>
    </row>
    <row r="279">
      <c r="B279" s="62" t="s">
        <v>1577</v>
      </c>
      <c r="C279" s="45" t="s">
        <v>7</v>
      </c>
      <c r="D279" s="62" t="s">
        <v>1641</v>
      </c>
      <c r="E279" s="11" t="s">
        <v>29</v>
      </c>
    </row>
    <row r="280">
      <c r="B280" s="62" t="s">
        <v>806</v>
      </c>
      <c r="C280" s="45" t="s">
        <v>248</v>
      </c>
      <c r="D280" s="62" t="s">
        <v>1642</v>
      </c>
      <c r="E280" s="11" t="s">
        <v>33</v>
      </c>
    </row>
    <row r="281">
      <c r="B281" s="62" t="s">
        <v>1641</v>
      </c>
      <c r="C281" s="45" t="s">
        <v>194</v>
      </c>
      <c r="D281" s="62" t="s">
        <v>1642</v>
      </c>
      <c r="E281" s="11" t="s">
        <v>29</v>
      </c>
    </row>
    <row r="282">
      <c r="B282" s="62" t="s">
        <v>1640</v>
      </c>
      <c r="C282" s="45" t="s">
        <v>425</v>
      </c>
      <c r="D282" s="62" t="s">
        <v>806</v>
      </c>
      <c r="E282" s="11" t="s">
        <v>33</v>
      </c>
    </row>
    <row r="283">
      <c r="B283" s="62" t="s">
        <v>1577</v>
      </c>
      <c r="C283" s="45" t="s">
        <v>155</v>
      </c>
      <c r="D283" s="62" t="s">
        <v>1642</v>
      </c>
      <c r="E283" s="11" t="s">
        <v>29</v>
      </c>
    </row>
    <row r="284">
      <c r="B284" s="62" t="s">
        <v>1641</v>
      </c>
      <c r="C284" s="45" t="s">
        <v>264</v>
      </c>
      <c r="D284" s="62" t="s">
        <v>1640</v>
      </c>
      <c r="E284" s="11" t="s">
        <v>33</v>
      </c>
    </row>
    <row r="285">
      <c r="B285" s="62" t="s">
        <v>1577</v>
      </c>
      <c r="C285" s="45" t="s">
        <v>219</v>
      </c>
      <c r="D285" s="62" t="s">
        <v>806</v>
      </c>
      <c r="E285" s="11" t="s">
        <v>29</v>
      </c>
    </row>
    <row r="286">
      <c r="B286" s="62" t="s">
        <v>1642</v>
      </c>
      <c r="C286" s="45" t="s">
        <v>743</v>
      </c>
      <c r="D286" s="62" t="s">
        <v>1640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1643</v>
      </c>
      <c r="C289" s="45" t="s">
        <v>27</v>
      </c>
      <c r="D289" s="62" t="s">
        <v>1234</v>
      </c>
      <c r="E289" s="11" t="s">
        <v>29</v>
      </c>
    </row>
    <row r="290">
      <c r="B290" s="62" t="s">
        <v>1048</v>
      </c>
      <c r="C290" s="45" t="s">
        <v>421</v>
      </c>
      <c r="D290" s="62" t="s">
        <v>1377</v>
      </c>
      <c r="E290" s="11" t="s">
        <v>33</v>
      </c>
    </row>
    <row r="291">
      <c r="B291" s="62" t="s">
        <v>1048</v>
      </c>
      <c r="C291" s="45" t="s">
        <v>1644</v>
      </c>
      <c r="D291" s="62" t="s">
        <v>1234</v>
      </c>
      <c r="E291" s="11" t="s">
        <v>29</v>
      </c>
    </row>
    <row r="292">
      <c r="B292" s="62" t="s">
        <v>1645</v>
      </c>
      <c r="C292" s="45" t="s">
        <v>651</v>
      </c>
      <c r="D292" s="62" t="s">
        <v>1377</v>
      </c>
      <c r="E292" s="11" t="s">
        <v>33</v>
      </c>
    </row>
    <row r="293">
      <c r="B293" s="62" t="s">
        <v>1645</v>
      </c>
      <c r="C293" s="45" t="s">
        <v>301</v>
      </c>
      <c r="D293" s="62" t="s">
        <v>1048</v>
      </c>
      <c r="E293" s="11" t="s">
        <v>29</v>
      </c>
    </row>
    <row r="294">
      <c r="B294" s="62" t="s">
        <v>1377</v>
      </c>
      <c r="C294" s="45" t="s">
        <v>44</v>
      </c>
      <c r="D294" s="62" t="s">
        <v>1643</v>
      </c>
      <c r="E294" s="11" t="s">
        <v>33</v>
      </c>
    </row>
    <row r="295">
      <c r="B295" s="62" t="s">
        <v>1645</v>
      </c>
      <c r="C295" s="45" t="s">
        <v>640</v>
      </c>
      <c r="D295" s="62" t="s">
        <v>1234</v>
      </c>
      <c r="E295" s="11" t="s">
        <v>29</v>
      </c>
    </row>
    <row r="296">
      <c r="B296" s="62" t="s">
        <v>1643</v>
      </c>
      <c r="C296" s="45" t="s">
        <v>225</v>
      </c>
      <c r="D296" s="62" t="s">
        <v>1048</v>
      </c>
      <c r="E296" s="11" t="s">
        <v>33</v>
      </c>
    </row>
    <row r="297">
      <c r="B297" s="62" t="s">
        <v>1377</v>
      </c>
      <c r="C297" s="45" t="s">
        <v>554</v>
      </c>
      <c r="D297" s="62" t="s">
        <v>1234</v>
      </c>
      <c r="E297" s="11" t="s">
        <v>29</v>
      </c>
    </row>
    <row r="298">
      <c r="B298" s="62" t="s">
        <v>1643</v>
      </c>
      <c r="C298" s="45" t="s">
        <v>185</v>
      </c>
      <c r="D298" s="62" t="s">
        <v>1645</v>
      </c>
      <c r="E298" s="11" t="s">
        <v>33</v>
      </c>
    </row>
    <row r="299">
      <c r="B299" s="62" t="s">
        <v>1234</v>
      </c>
      <c r="C299" s="45" t="s">
        <v>36</v>
      </c>
      <c r="D299" s="62" t="s">
        <v>1643</v>
      </c>
      <c r="E299" s="11" t="s">
        <v>29</v>
      </c>
    </row>
    <row r="300">
      <c r="B300" s="62" t="s">
        <v>1377</v>
      </c>
      <c r="C300" s="45" t="s">
        <v>352</v>
      </c>
      <c r="D300" s="62" t="s">
        <v>1048</v>
      </c>
      <c r="E300" s="11" t="s">
        <v>33</v>
      </c>
    </row>
    <row r="301">
      <c r="B301" s="62" t="s">
        <v>1234</v>
      </c>
      <c r="C301" s="45" t="s">
        <v>344</v>
      </c>
      <c r="D301" s="62" t="s">
        <v>1048</v>
      </c>
      <c r="E301" s="11" t="s">
        <v>29</v>
      </c>
    </row>
    <row r="302">
      <c r="B302" s="62" t="s">
        <v>1377</v>
      </c>
      <c r="C302" s="45" t="s">
        <v>17</v>
      </c>
      <c r="D302" s="62" t="s">
        <v>1645</v>
      </c>
      <c r="E302" s="11" t="s">
        <v>33</v>
      </c>
    </row>
    <row r="303">
      <c r="B303" s="62" t="s">
        <v>1048</v>
      </c>
      <c r="C303" s="45" t="s">
        <v>193</v>
      </c>
      <c r="D303" s="62" t="s">
        <v>1645</v>
      </c>
      <c r="E303" s="11" t="s">
        <v>29</v>
      </c>
    </row>
    <row r="304">
      <c r="B304" s="62" t="s">
        <v>1643</v>
      </c>
      <c r="C304" s="45" t="s">
        <v>162</v>
      </c>
      <c r="D304" s="62" t="s">
        <v>1377</v>
      </c>
      <c r="E304" s="11" t="s">
        <v>33</v>
      </c>
    </row>
    <row r="305">
      <c r="B305" s="62" t="s">
        <v>1234</v>
      </c>
      <c r="C305" s="45" t="s">
        <v>251</v>
      </c>
      <c r="D305" s="62" t="s">
        <v>1645</v>
      </c>
      <c r="E305" s="11" t="s">
        <v>29</v>
      </c>
    </row>
    <row r="306">
      <c r="B306" s="62" t="s">
        <v>1048</v>
      </c>
      <c r="C306" s="45" t="s">
        <v>219</v>
      </c>
      <c r="D306" s="62" t="s">
        <v>1643</v>
      </c>
      <c r="E306" s="11" t="s">
        <v>33</v>
      </c>
    </row>
    <row r="307">
      <c r="B307" s="62" t="s">
        <v>1234</v>
      </c>
      <c r="C307" s="45" t="s">
        <v>196</v>
      </c>
      <c r="D307" s="62" t="s">
        <v>1377</v>
      </c>
      <c r="E307" s="11" t="s">
        <v>29</v>
      </c>
    </row>
    <row r="308">
      <c r="B308" s="62" t="s">
        <v>1645</v>
      </c>
      <c r="C308" s="45" t="s">
        <v>38</v>
      </c>
      <c r="D308" s="62" t="s">
        <v>1643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1646</v>
      </c>
      <c r="C311" s="57" t="s">
        <v>41</v>
      </c>
      <c r="D311" s="62" t="s">
        <v>1647</v>
      </c>
      <c r="E311" s="11" t="s">
        <v>9</v>
      </c>
    </row>
    <row r="312">
      <c r="B312" s="62" t="s">
        <v>1648</v>
      </c>
      <c r="C312" s="57" t="s">
        <v>181</v>
      </c>
      <c r="D312" s="62" t="s">
        <v>1649</v>
      </c>
      <c r="E312" s="11" t="s">
        <v>13</v>
      </c>
    </row>
    <row r="313">
      <c r="B313" s="62" t="s">
        <v>1648</v>
      </c>
      <c r="C313" s="57" t="s">
        <v>155</v>
      </c>
      <c r="D313" s="62" t="s">
        <v>1647</v>
      </c>
      <c r="E313" s="11" t="s">
        <v>9</v>
      </c>
    </row>
    <row r="314">
      <c r="B314" s="62" t="s">
        <v>1650</v>
      </c>
      <c r="C314" s="57" t="s">
        <v>219</v>
      </c>
      <c r="D314" s="62" t="s">
        <v>1649</v>
      </c>
      <c r="E314" s="11" t="s">
        <v>13</v>
      </c>
    </row>
    <row r="315">
      <c r="B315" s="62" t="s">
        <v>1650</v>
      </c>
      <c r="C315" s="57" t="s">
        <v>160</v>
      </c>
      <c r="D315" s="62" t="s">
        <v>1648</v>
      </c>
      <c r="E315" s="11" t="s">
        <v>9</v>
      </c>
    </row>
    <row r="316">
      <c r="B316" s="62" t="s">
        <v>1649</v>
      </c>
      <c r="C316" s="57" t="s">
        <v>220</v>
      </c>
      <c r="D316" s="62" t="s">
        <v>1646</v>
      </c>
      <c r="E316" s="11" t="s">
        <v>13</v>
      </c>
    </row>
    <row r="317">
      <c r="B317" s="62" t="s">
        <v>1650</v>
      </c>
      <c r="C317" s="57" t="s">
        <v>245</v>
      </c>
      <c r="D317" s="62" t="s">
        <v>1647</v>
      </c>
      <c r="E317" s="11" t="s">
        <v>9</v>
      </c>
    </row>
    <row r="318">
      <c r="B318" s="62" t="s">
        <v>1646</v>
      </c>
      <c r="C318" s="57" t="s">
        <v>161</v>
      </c>
      <c r="D318" s="62" t="s">
        <v>1648</v>
      </c>
      <c r="E318" s="11" t="s">
        <v>13</v>
      </c>
    </row>
    <row r="319">
      <c r="B319" s="62" t="s">
        <v>1649</v>
      </c>
      <c r="C319" s="57" t="s">
        <v>185</v>
      </c>
      <c r="D319" s="62" t="s">
        <v>1647</v>
      </c>
      <c r="E319" s="11" t="s">
        <v>9</v>
      </c>
    </row>
    <row r="320">
      <c r="B320" s="62" t="s">
        <v>1646</v>
      </c>
      <c r="C320" s="57" t="s">
        <v>158</v>
      </c>
      <c r="D320" s="62" t="s">
        <v>1650</v>
      </c>
      <c r="E320" s="11" t="s">
        <v>13</v>
      </c>
    </row>
    <row r="321">
      <c r="B321" s="62" t="s">
        <v>1647</v>
      </c>
      <c r="C321" s="57" t="s">
        <v>155</v>
      </c>
      <c r="D321" s="62" t="s">
        <v>1646</v>
      </c>
      <c r="E321" s="11" t="s">
        <v>9</v>
      </c>
    </row>
    <row r="322">
      <c r="B322" s="62" t="s">
        <v>1649</v>
      </c>
      <c r="C322" s="57" t="s">
        <v>324</v>
      </c>
      <c r="D322" s="62" t="s">
        <v>1648</v>
      </c>
      <c r="E322" s="11" t="s">
        <v>13</v>
      </c>
    </row>
    <row r="323">
      <c r="B323" s="62" t="s">
        <v>1647</v>
      </c>
      <c r="C323" s="45" t="s">
        <v>17</v>
      </c>
      <c r="D323" s="62" t="s">
        <v>1648</v>
      </c>
      <c r="E323" s="11" t="s">
        <v>9</v>
      </c>
    </row>
    <row r="324">
      <c r="B324" s="62" t="s">
        <v>1649</v>
      </c>
      <c r="C324" s="45" t="s">
        <v>173</v>
      </c>
      <c r="D324" s="62" t="s">
        <v>1650</v>
      </c>
      <c r="E324" s="11" t="s">
        <v>13</v>
      </c>
    </row>
    <row r="325">
      <c r="B325" s="62" t="s">
        <v>1648</v>
      </c>
      <c r="C325" s="45" t="s">
        <v>210</v>
      </c>
      <c r="D325" s="62" t="s">
        <v>1650</v>
      </c>
      <c r="E325" s="11" t="s">
        <v>9</v>
      </c>
    </row>
    <row r="326">
      <c r="B326" s="62" t="s">
        <v>1646</v>
      </c>
      <c r="C326" s="45" t="s">
        <v>507</v>
      </c>
      <c r="D326" s="62" t="s">
        <v>1649</v>
      </c>
      <c r="E326" s="11" t="s">
        <v>13</v>
      </c>
    </row>
    <row r="327">
      <c r="B327" s="62" t="s">
        <v>1647</v>
      </c>
      <c r="C327" s="45" t="s">
        <v>251</v>
      </c>
      <c r="D327" s="62" t="s">
        <v>1650</v>
      </c>
      <c r="E327" s="11" t="s">
        <v>9</v>
      </c>
    </row>
    <row r="328">
      <c r="B328" s="62" t="s">
        <v>1648</v>
      </c>
      <c r="C328" s="45" t="s">
        <v>185</v>
      </c>
      <c r="D328" s="62" t="s">
        <v>1646</v>
      </c>
      <c r="E328" s="11" t="s">
        <v>13</v>
      </c>
    </row>
    <row r="329">
      <c r="B329" s="62" t="s">
        <v>1647</v>
      </c>
      <c r="C329" s="45" t="s">
        <v>17</v>
      </c>
      <c r="D329" s="62" t="s">
        <v>1649</v>
      </c>
      <c r="E329" s="11" t="s">
        <v>9</v>
      </c>
    </row>
    <row r="330">
      <c r="B330" s="62" t="s">
        <v>1650</v>
      </c>
      <c r="C330" s="45" t="s">
        <v>20</v>
      </c>
      <c r="D330" s="62" t="s">
        <v>1646</v>
      </c>
      <c r="E330" s="11" t="s">
        <v>13</v>
      </c>
    </row>
    <row r="331">
      <c r="B331" s="52" t="s">
        <v>1588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912</v>
      </c>
      <c r="C333" s="45" t="s">
        <v>998</v>
      </c>
      <c r="D333" s="62" t="s">
        <v>494</v>
      </c>
      <c r="E333" s="11" t="s">
        <v>29</v>
      </c>
    </row>
    <row r="334">
      <c r="B334" s="62" t="s">
        <v>822</v>
      </c>
      <c r="C334" s="45" t="s">
        <v>250</v>
      </c>
      <c r="D334" s="62" t="s">
        <v>714</v>
      </c>
      <c r="E334" s="11" t="s">
        <v>33</v>
      </c>
    </row>
    <row r="335">
      <c r="B335" s="62" t="s">
        <v>822</v>
      </c>
      <c r="C335" s="45" t="s">
        <v>248</v>
      </c>
      <c r="D335" s="62" t="s">
        <v>494</v>
      </c>
      <c r="E335" s="11" t="s">
        <v>29</v>
      </c>
    </row>
    <row r="336">
      <c r="B336" s="62" t="s">
        <v>1651</v>
      </c>
      <c r="C336" s="45" t="s">
        <v>21</v>
      </c>
      <c r="D336" s="62" t="s">
        <v>714</v>
      </c>
      <c r="E336" s="11" t="s">
        <v>33</v>
      </c>
    </row>
    <row r="337">
      <c r="B337" s="62" t="s">
        <v>1651</v>
      </c>
      <c r="C337" s="45" t="s">
        <v>18</v>
      </c>
      <c r="D337" s="62" t="s">
        <v>822</v>
      </c>
      <c r="E337" s="11" t="s">
        <v>29</v>
      </c>
    </row>
    <row r="338">
      <c r="B338" s="62" t="s">
        <v>714</v>
      </c>
      <c r="C338" s="45" t="s">
        <v>250</v>
      </c>
      <c r="D338" s="62" t="s">
        <v>912</v>
      </c>
      <c r="E338" s="11" t="s">
        <v>33</v>
      </c>
    </row>
    <row r="339">
      <c r="B339" s="62" t="s">
        <v>1651</v>
      </c>
      <c r="C339" s="45" t="s">
        <v>940</v>
      </c>
      <c r="D339" s="62" t="s">
        <v>494</v>
      </c>
      <c r="E339" s="11" t="s">
        <v>29</v>
      </c>
    </row>
    <row r="340">
      <c r="B340" s="62" t="s">
        <v>912</v>
      </c>
      <c r="C340" s="45" t="s">
        <v>193</v>
      </c>
      <c r="D340" s="62" t="s">
        <v>822</v>
      </c>
      <c r="E340" s="11" t="s">
        <v>33</v>
      </c>
    </row>
    <row r="341">
      <c r="B341" s="62" t="s">
        <v>714</v>
      </c>
      <c r="C341" s="45" t="s">
        <v>1066</v>
      </c>
      <c r="D341" s="62" t="s">
        <v>494</v>
      </c>
      <c r="E341" s="11" t="s">
        <v>29</v>
      </c>
    </row>
    <row r="342">
      <c r="B342" s="62" t="s">
        <v>912</v>
      </c>
      <c r="C342" s="45" t="s">
        <v>225</v>
      </c>
      <c r="D342" s="62" t="s">
        <v>1651</v>
      </c>
      <c r="E342" s="11" t="s">
        <v>33</v>
      </c>
    </row>
    <row r="343">
      <c r="B343" s="62" t="s">
        <v>494</v>
      </c>
      <c r="C343" s="45" t="s">
        <v>281</v>
      </c>
      <c r="D343" s="62" t="s">
        <v>912</v>
      </c>
      <c r="E343" s="11" t="s">
        <v>29</v>
      </c>
    </row>
    <row r="344">
      <c r="B344" s="62" t="s">
        <v>714</v>
      </c>
      <c r="C344" s="45" t="s">
        <v>165</v>
      </c>
      <c r="D344" s="62" t="s">
        <v>822</v>
      </c>
      <c r="E344" s="11" t="s">
        <v>33</v>
      </c>
    </row>
    <row r="345">
      <c r="B345" s="62" t="s">
        <v>494</v>
      </c>
      <c r="C345" s="45" t="s">
        <v>1652</v>
      </c>
      <c r="D345" s="62" t="s">
        <v>822</v>
      </c>
      <c r="E345" s="11" t="s">
        <v>29</v>
      </c>
    </row>
    <row r="346">
      <c r="B346" s="62" t="s">
        <v>714</v>
      </c>
      <c r="C346" s="45" t="s">
        <v>248</v>
      </c>
      <c r="D346" s="62" t="s">
        <v>1651</v>
      </c>
      <c r="E346" s="11" t="s">
        <v>33</v>
      </c>
    </row>
    <row r="347">
      <c r="B347" s="62" t="s">
        <v>822</v>
      </c>
      <c r="C347" s="45" t="s">
        <v>23</v>
      </c>
      <c r="D347" s="62" t="s">
        <v>1651</v>
      </c>
      <c r="E347" s="11" t="s">
        <v>29</v>
      </c>
    </row>
    <row r="348">
      <c r="B348" s="62" t="s">
        <v>912</v>
      </c>
      <c r="C348" s="45" t="s">
        <v>44</v>
      </c>
      <c r="D348" s="62" t="s">
        <v>714</v>
      </c>
      <c r="E348" s="11" t="s">
        <v>33</v>
      </c>
    </row>
    <row r="349">
      <c r="B349" s="62" t="s">
        <v>494</v>
      </c>
      <c r="C349" s="45" t="s">
        <v>23</v>
      </c>
      <c r="D349" s="62" t="s">
        <v>1651</v>
      </c>
      <c r="E349" s="11" t="s">
        <v>29</v>
      </c>
    </row>
    <row r="350">
      <c r="B350" s="62" t="s">
        <v>822</v>
      </c>
      <c r="C350" s="45" t="s">
        <v>220</v>
      </c>
      <c r="D350" s="62" t="s">
        <v>912</v>
      </c>
      <c r="E350" s="11" t="s">
        <v>33</v>
      </c>
    </row>
    <row r="351">
      <c r="B351" s="62" t="s">
        <v>494</v>
      </c>
      <c r="C351" s="45" t="s">
        <v>464</v>
      </c>
      <c r="D351" s="62" t="s">
        <v>714</v>
      </c>
      <c r="E351" s="11" t="s">
        <v>29</v>
      </c>
    </row>
    <row r="352">
      <c r="B352" s="62" t="s">
        <v>1651</v>
      </c>
      <c r="C352" s="45" t="s">
        <v>43</v>
      </c>
      <c r="D352" s="62" t="s">
        <v>912</v>
      </c>
      <c r="E352" s="11" t="s">
        <v>33</v>
      </c>
    </row>
    <row r="353">
      <c r="B353" s="42"/>
      <c r="C353" s="42"/>
      <c r="D353" s="42"/>
      <c r="E353" s="42"/>
      <c r="I353" s="50" t="s">
        <v>514</v>
      </c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861</v>
      </c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6</v>
      </c>
      <c r="C3" s="45" t="s">
        <v>23</v>
      </c>
      <c r="D3" s="62" t="s">
        <v>1451</v>
      </c>
      <c r="E3" s="11" t="s">
        <v>29</v>
      </c>
    </row>
    <row r="4">
      <c r="A4" s="90"/>
      <c r="B4" s="61" t="s">
        <v>1127</v>
      </c>
      <c r="C4" s="45" t="s">
        <v>205</v>
      </c>
      <c r="D4" s="61" t="s">
        <v>1653</v>
      </c>
      <c r="E4" s="11" t="s">
        <v>33</v>
      </c>
    </row>
    <row r="5">
      <c r="A5" s="90"/>
      <c r="B5" s="62" t="s">
        <v>1128</v>
      </c>
      <c r="C5" s="45" t="s">
        <v>43</v>
      </c>
      <c r="D5" s="61" t="s">
        <v>6</v>
      </c>
      <c r="E5" s="11" t="s">
        <v>29</v>
      </c>
    </row>
    <row r="6">
      <c r="A6" s="90"/>
      <c r="B6" s="61" t="s">
        <v>1127</v>
      </c>
      <c r="C6" s="45" t="s">
        <v>245</v>
      </c>
      <c r="D6" s="62" t="s">
        <v>1451</v>
      </c>
      <c r="E6" s="11" t="s">
        <v>33</v>
      </c>
    </row>
    <row r="7">
      <c r="A7" s="90"/>
      <c r="B7" s="62" t="s">
        <v>1128</v>
      </c>
      <c r="C7" s="45" t="s">
        <v>180</v>
      </c>
      <c r="D7" s="61" t="s">
        <v>1653</v>
      </c>
      <c r="E7" s="11" t="s">
        <v>29</v>
      </c>
    </row>
    <row r="8">
      <c r="A8" s="90"/>
      <c r="B8" s="61" t="s">
        <v>1127</v>
      </c>
      <c r="C8" s="45" t="s">
        <v>908</v>
      </c>
      <c r="D8" s="61" t="s">
        <v>6</v>
      </c>
      <c r="E8" s="11" t="s">
        <v>33</v>
      </c>
    </row>
    <row r="9">
      <c r="A9" s="90"/>
      <c r="B9" s="62" t="s">
        <v>1128</v>
      </c>
      <c r="C9" s="45" t="s">
        <v>464</v>
      </c>
      <c r="D9" s="62" t="s">
        <v>1451</v>
      </c>
      <c r="E9" s="11" t="s">
        <v>29</v>
      </c>
    </row>
    <row r="10">
      <c r="A10" s="90"/>
      <c r="B10" s="61" t="s">
        <v>1653</v>
      </c>
      <c r="C10" s="45" t="s">
        <v>176</v>
      </c>
      <c r="D10" s="61" t="s">
        <v>6</v>
      </c>
      <c r="E10" s="11" t="s">
        <v>33</v>
      </c>
    </row>
    <row r="11">
      <c r="A11" s="90"/>
      <c r="B11" s="62" t="s">
        <v>1128</v>
      </c>
      <c r="C11" s="45" t="s">
        <v>193</v>
      </c>
      <c r="D11" s="61" t="s">
        <v>1127</v>
      </c>
      <c r="E11" s="11" t="s">
        <v>29</v>
      </c>
    </row>
    <row r="12">
      <c r="A12" s="90"/>
      <c r="B12" s="61" t="s">
        <v>1653</v>
      </c>
      <c r="C12" s="45" t="s">
        <v>531</v>
      </c>
      <c r="D12" s="62" t="s">
        <v>1451</v>
      </c>
      <c r="E12" s="11" t="s">
        <v>33</v>
      </c>
    </row>
    <row r="13">
      <c r="A13" s="90"/>
      <c r="B13" s="62" t="s">
        <v>1451</v>
      </c>
      <c r="C13" s="45" t="s">
        <v>158</v>
      </c>
      <c r="D13" s="61" t="s">
        <v>6</v>
      </c>
      <c r="E13" s="11" t="s">
        <v>29</v>
      </c>
    </row>
    <row r="14">
      <c r="A14" s="90"/>
      <c r="B14" s="61" t="s">
        <v>1653</v>
      </c>
      <c r="C14" s="45" t="s">
        <v>43</v>
      </c>
      <c r="D14" s="61" t="s">
        <v>1127</v>
      </c>
      <c r="E14" s="11" t="s">
        <v>33</v>
      </c>
    </row>
    <row r="15">
      <c r="A15" s="90"/>
      <c r="B15" s="61" t="s">
        <v>6</v>
      </c>
      <c r="C15" s="45" t="s">
        <v>164</v>
      </c>
      <c r="D15" s="62" t="s">
        <v>1128</v>
      </c>
      <c r="E15" s="11" t="s">
        <v>29</v>
      </c>
    </row>
    <row r="16">
      <c r="A16" s="90"/>
      <c r="B16" s="62" t="s">
        <v>1451</v>
      </c>
      <c r="C16" s="45" t="s">
        <v>208</v>
      </c>
      <c r="D16" s="61" t="s">
        <v>1127</v>
      </c>
      <c r="E16" s="11" t="s">
        <v>33</v>
      </c>
    </row>
    <row r="17">
      <c r="A17" s="90"/>
      <c r="B17" s="61" t="s">
        <v>1653</v>
      </c>
      <c r="C17" s="45" t="s">
        <v>549</v>
      </c>
      <c r="D17" s="62" t="s">
        <v>1128</v>
      </c>
      <c r="E17" s="11" t="s">
        <v>29</v>
      </c>
    </row>
    <row r="18">
      <c r="A18" s="90"/>
      <c r="B18" s="61" t="s">
        <v>6</v>
      </c>
      <c r="C18" s="45" t="s">
        <v>225</v>
      </c>
      <c r="D18" s="61" t="s">
        <v>1127</v>
      </c>
      <c r="E18" s="11" t="s">
        <v>33</v>
      </c>
    </row>
    <row r="19">
      <c r="A19" s="90"/>
      <c r="B19" s="62" t="s">
        <v>1451</v>
      </c>
      <c r="C19" s="45" t="s">
        <v>354</v>
      </c>
      <c r="D19" s="62" t="s">
        <v>1128</v>
      </c>
      <c r="E19" s="11" t="s">
        <v>29</v>
      </c>
    </row>
    <row r="20">
      <c r="A20" s="90"/>
      <c r="B20" s="61" t="s">
        <v>6</v>
      </c>
      <c r="C20" s="45" t="s">
        <v>42</v>
      </c>
      <c r="D20" s="61" t="s">
        <v>1653</v>
      </c>
      <c r="E20" s="11" t="s">
        <v>33</v>
      </c>
    </row>
    <row r="21">
      <c r="A21" s="90"/>
      <c r="B21" s="61" t="s">
        <v>1127</v>
      </c>
      <c r="C21" s="45" t="s">
        <v>231</v>
      </c>
      <c r="D21" s="62" t="s">
        <v>1128</v>
      </c>
      <c r="E21" s="11" t="s">
        <v>29</v>
      </c>
    </row>
    <row r="22">
      <c r="A22" s="90"/>
      <c r="B22" s="62" t="s">
        <v>1451</v>
      </c>
      <c r="C22" s="45" t="s">
        <v>517</v>
      </c>
      <c r="D22" s="61" t="s">
        <v>1653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1654</v>
      </c>
      <c r="C25" s="57" t="s">
        <v>184</v>
      </c>
      <c r="D25" s="61" t="s">
        <v>1655</v>
      </c>
      <c r="E25" s="11" t="s">
        <v>9</v>
      </c>
    </row>
    <row r="26">
      <c r="A26" s="90"/>
      <c r="B26" s="61" t="s">
        <v>1656</v>
      </c>
      <c r="C26" s="57" t="s">
        <v>362</v>
      </c>
      <c r="D26" s="61" t="s">
        <v>1515</v>
      </c>
      <c r="E26" s="11" t="s">
        <v>13</v>
      </c>
    </row>
    <row r="27">
      <c r="A27" s="90"/>
      <c r="B27" s="62" t="s">
        <v>1657</v>
      </c>
      <c r="C27" s="57" t="s">
        <v>776</v>
      </c>
      <c r="D27" s="62" t="s">
        <v>1654</v>
      </c>
      <c r="E27" s="11" t="s">
        <v>9</v>
      </c>
    </row>
    <row r="28">
      <c r="A28" s="90"/>
      <c r="B28" s="61" t="s">
        <v>1656</v>
      </c>
      <c r="C28" s="57" t="s">
        <v>158</v>
      </c>
      <c r="D28" s="61" t="s">
        <v>1655</v>
      </c>
      <c r="E28" s="11" t="s">
        <v>13</v>
      </c>
    </row>
    <row r="29">
      <c r="A29" s="90"/>
      <c r="B29" s="62" t="s">
        <v>1657</v>
      </c>
      <c r="C29" s="57" t="s">
        <v>302</v>
      </c>
      <c r="D29" s="61" t="s">
        <v>1515</v>
      </c>
      <c r="E29" s="11" t="s">
        <v>9</v>
      </c>
    </row>
    <row r="30">
      <c r="A30" s="90"/>
      <c r="B30" s="61" t="s">
        <v>1656</v>
      </c>
      <c r="C30" s="57" t="s">
        <v>218</v>
      </c>
      <c r="D30" s="62" t="s">
        <v>1654</v>
      </c>
      <c r="E30" s="11" t="s">
        <v>13</v>
      </c>
    </row>
    <row r="31">
      <c r="A31" s="90"/>
      <c r="B31" s="62" t="s">
        <v>1657</v>
      </c>
      <c r="C31" s="57" t="s">
        <v>271</v>
      </c>
      <c r="D31" s="61" t="s">
        <v>1655</v>
      </c>
      <c r="E31" s="11" t="s">
        <v>9</v>
      </c>
    </row>
    <row r="32">
      <c r="A32" s="90"/>
      <c r="B32" s="61" t="s">
        <v>1515</v>
      </c>
      <c r="C32" s="57" t="s">
        <v>194</v>
      </c>
      <c r="D32" s="62" t="s">
        <v>1654</v>
      </c>
      <c r="E32" s="11" t="s">
        <v>13</v>
      </c>
    </row>
    <row r="33">
      <c r="A33" s="90"/>
      <c r="B33" s="62" t="s">
        <v>1657</v>
      </c>
      <c r="C33" s="57" t="s">
        <v>293</v>
      </c>
      <c r="D33" s="61" t="s">
        <v>1656</v>
      </c>
      <c r="E33" s="11" t="s">
        <v>9</v>
      </c>
    </row>
    <row r="34">
      <c r="A34" s="90"/>
      <c r="B34" s="61" t="s">
        <v>1515</v>
      </c>
      <c r="C34" s="57" t="s">
        <v>155</v>
      </c>
      <c r="D34" s="61" t="s">
        <v>1655</v>
      </c>
      <c r="E34" s="11" t="s">
        <v>13</v>
      </c>
    </row>
    <row r="35">
      <c r="A35" s="90"/>
      <c r="B35" s="61" t="s">
        <v>1655</v>
      </c>
      <c r="C35" s="57" t="s">
        <v>298</v>
      </c>
      <c r="D35" s="62" t="s">
        <v>1654</v>
      </c>
      <c r="E35" s="11" t="s">
        <v>9</v>
      </c>
    </row>
    <row r="36">
      <c r="A36" s="90"/>
      <c r="B36" s="61" t="s">
        <v>1515</v>
      </c>
      <c r="C36" s="57" t="s">
        <v>281</v>
      </c>
      <c r="D36" s="61" t="s">
        <v>1656</v>
      </c>
      <c r="E36" s="11" t="s">
        <v>13</v>
      </c>
    </row>
    <row r="37">
      <c r="A37" s="90"/>
      <c r="B37" s="62" t="s">
        <v>1654</v>
      </c>
      <c r="C37" s="45" t="s">
        <v>7</v>
      </c>
      <c r="D37" s="62" t="s">
        <v>1657</v>
      </c>
      <c r="E37" s="11" t="s">
        <v>9</v>
      </c>
    </row>
    <row r="38">
      <c r="A38" s="90"/>
      <c r="B38" s="61" t="s">
        <v>1655</v>
      </c>
      <c r="C38" s="45" t="s">
        <v>181</v>
      </c>
      <c r="D38" s="61" t="s">
        <v>1656</v>
      </c>
      <c r="E38" s="11" t="s">
        <v>13</v>
      </c>
    </row>
    <row r="39">
      <c r="A39" s="90"/>
      <c r="B39" s="61" t="s">
        <v>1515</v>
      </c>
      <c r="C39" s="45" t="s">
        <v>507</v>
      </c>
      <c r="D39" s="62" t="s">
        <v>1657</v>
      </c>
      <c r="E39" s="11" t="s">
        <v>9</v>
      </c>
    </row>
    <row r="40">
      <c r="A40" s="90"/>
      <c r="B40" s="62" t="s">
        <v>1654</v>
      </c>
      <c r="C40" s="45" t="s">
        <v>336</v>
      </c>
      <c r="D40" s="61" t="s">
        <v>1656</v>
      </c>
      <c r="E40" s="11" t="s">
        <v>13</v>
      </c>
    </row>
    <row r="41">
      <c r="A41" s="90"/>
      <c r="B41" s="61" t="s">
        <v>1655</v>
      </c>
      <c r="C41" s="45" t="s">
        <v>164</v>
      </c>
      <c r="D41" s="62" t="s">
        <v>1657</v>
      </c>
      <c r="E41" s="11" t="s">
        <v>9</v>
      </c>
    </row>
    <row r="42">
      <c r="A42" s="90"/>
      <c r="B42" s="62" t="s">
        <v>1654</v>
      </c>
      <c r="C42" s="45" t="s">
        <v>554</v>
      </c>
      <c r="D42" s="61" t="s">
        <v>1515</v>
      </c>
      <c r="E42" s="11" t="s">
        <v>13</v>
      </c>
    </row>
    <row r="43">
      <c r="A43" s="90"/>
      <c r="B43" s="61" t="s">
        <v>1656</v>
      </c>
      <c r="C43" s="45" t="s">
        <v>291</v>
      </c>
      <c r="D43" s="62" t="s">
        <v>1657</v>
      </c>
      <c r="E43" s="11" t="s">
        <v>9</v>
      </c>
    </row>
    <row r="44">
      <c r="A44" s="91"/>
      <c r="B44" s="61" t="s">
        <v>1655</v>
      </c>
      <c r="C44" s="45" t="s">
        <v>344</v>
      </c>
      <c r="D44" s="61" t="s">
        <v>1515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1520</v>
      </c>
      <c r="C47" s="45" t="s">
        <v>18</v>
      </c>
      <c r="D47" s="61" t="s">
        <v>1658</v>
      </c>
      <c r="E47" s="11" t="s">
        <v>29</v>
      </c>
    </row>
    <row r="48">
      <c r="B48" s="61" t="s">
        <v>1659</v>
      </c>
      <c r="C48" s="45" t="s">
        <v>187</v>
      </c>
      <c r="D48" s="61" t="s">
        <v>305</v>
      </c>
      <c r="E48" s="11" t="s">
        <v>33</v>
      </c>
    </row>
    <row r="49">
      <c r="B49" s="61" t="s">
        <v>1660</v>
      </c>
      <c r="C49" s="45" t="s">
        <v>194</v>
      </c>
      <c r="D49" s="61" t="s">
        <v>1520</v>
      </c>
      <c r="E49" s="11" t="s">
        <v>29</v>
      </c>
    </row>
    <row r="50">
      <c r="B50" s="61" t="s">
        <v>1659</v>
      </c>
      <c r="C50" s="45" t="s">
        <v>195</v>
      </c>
      <c r="D50" s="61" t="s">
        <v>1658</v>
      </c>
      <c r="E50" s="11" t="s">
        <v>33</v>
      </c>
    </row>
    <row r="51">
      <c r="B51" s="61" t="s">
        <v>1660</v>
      </c>
      <c r="C51" s="45" t="s">
        <v>41</v>
      </c>
      <c r="D51" s="61" t="s">
        <v>305</v>
      </c>
      <c r="E51" s="11" t="s">
        <v>29</v>
      </c>
    </row>
    <row r="52">
      <c r="B52" s="61" t="s">
        <v>1659</v>
      </c>
      <c r="C52" s="45" t="s">
        <v>37</v>
      </c>
      <c r="D52" s="61" t="s">
        <v>1520</v>
      </c>
      <c r="E52" s="11" t="s">
        <v>33</v>
      </c>
    </row>
    <row r="53">
      <c r="B53" s="61" t="s">
        <v>1660</v>
      </c>
      <c r="C53" s="45" t="s">
        <v>163</v>
      </c>
      <c r="D53" s="61" t="s">
        <v>1658</v>
      </c>
      <c r="E53" s="11" t="s">
        <v>29</v>
      </c>
    </row>
    <row r="54">
      <c r="B54" s="61" t="s">
        <v>305</v>
      </c>
      <c r="C54" s="45" t="s">
        <v>1066</v>
      </c>
      <c r="D54" s="61" t="s">
        <v>1520</v>
      </c>
      <c r="E54" s="11" t="s">
        <v>33</v>
      </c>
    </row>
    <row r="55">
      <c r="B55" s="61" t="s">
        <v>1660</v>
      </c>
      <c r="C55" s="45" t="s">
        <v>177</v>
      </c>
      <c r="D55" s="61" t="s">
        <v>1659</v>
      </c>
      <c r="E55" s="11" t="s">
        <v>29</v>
      </c>
    </row>
    <row r="56">
      <c r="B56" s="61" t="s">
        <v>305</v>
      </c>
      <c r="C56" s="45" t="s">
        <v>177</v>
      </c>
      <c r="D56" s="61" t="s">
        <v>1658</v>
      </c>
      <c r="E56" s="11" t="s">
        <v>33</v>
      </c>
    </row>
    <row r="57">
      <c r="B57" s="61" t="s">
        <v>1658</v>
      </c>
      <c r="C57" s="45" t="s">
        <v>163</v>
      </c>
      <c r="D57" s="61" t="s">
        <v>1520</v>
      </c>
      <c r="E57" s="11" t="s">
        <v>29</v>
      </c>
    </row>
    <row r="58">
      <c r="B58" s="61" t="s">
        <v>305</v>
      </c>
      <c r="C58" s="45" t="s">
        <v>184</v>
      </c>
      <c r="D58" s="61" t="s">
        <v>1659</v>
      </c>
      <c r="E58" s="11" t="s">
        <v>33</v>
      </c>
    </row>
    <row r="59">
      <c r="B59" s="61" t="s">
        <v>1520</v>
      </c>
      <c r="C59" s="45" t="s">
        <v>545</v>
      </c>
      <c r="D59" s="61" t="s">
        <v>1660</v>
      </c>
      <c r="E59" s="11" t="s">
        <v>29</v>
      </c>
    </row>
    <row r="60">
      <c r="B60" s="61" t="s">
        <v>1658</v>
      </c>
      <c r="C60" s="45" t="s">
        <v>164</v>
      </c>
      <c r="D60" s="61" t="s">
        <v>1659</v>
      </c>
      <c r="E60" s="11" t="s">
        <v>33</v>
      </c>
    </row>
    <row r="61">
      <c r="B61" s="61" t="s">
        <v>305</v>
      </c>
      <c r="C61" s="45" t="s">
        <v>23</v>
      </c>
      <c r="D61" s="61" t="s">
        <v>1660</v>
      </c>
      <c r="E61" s="11" t="s">
        <v>29</v>
      </c>
    </row>
    <row r="62">
      <c r="B62" s="61" t="s">
        <v>1520</v>
      </c>
      <c r="C62" s="45" t="s">
        <v>1079</v>
      </c>
      <c r="D62" s="61" t="s">
        <v>1659</v>
      </c>
      <c r="E62" s="11" t="s">
        <v>33</v>
      </c>
    </row>
    <row r="63">
      <c r="B63" s="61" t="s">
        <v>1658</v>
      </c>
      <c r="C63" s="45" t="s">
        <v>42</v>
      </c>
      <c r="D63" s="61" t="s">
        <v>1660</v>
      </c>
      <c r="E63" s="11" t="s">
        <v>29</v>
      </c>
    </row>
    <row r="64">
      <c r="B64" s="61" t="s">
        <v>1520</v>
      </c>
      <c r="C64" s="45" t="s">
        <v>1330</v>
      </c>
      <c r="D64" s="61" t="s">
        <v>305</v>
      </c>
      <c r="E64" s="11" t="s">
        <v>33</v>
      </c>
    </row>
    <row r="65">
      <c r="B65" s="61" t="s">
        <v>1659</v>
      </c>
      <c r="C65" s="45" t="s">
        <v>222</v>
      </c>
      <c r="D65" s="61" t="s">
        <v>1660</v>
      </c>
      <c r="E65" s="11" t="s">
        <v>29</v>
      </c>
    </row>
    <row r="66">
      <c r="B66" s="61" t="s">
        <v>1658</v>
      </c>
      <c r="C66" s="45" t="s">
        <v>1661</v>
      </c>
      <c r="D66" s="61" t="s">
        <v>305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1662</v>
      </c>
      <c r="C69" s="57" t="s">
        <v>208</v>
      </c>
      <c r="D69" s="61" t="s">
        <v>1524</v>
      </c>
      <c r="E69" s="11" t="s">
        <v>9</v>
      </c>
    </row>
    <row r="70">
      <c r="B70" s="61" t="s">
        <v>1663</v>
      </c>
      <c r="C70" s="57" t="s">
        <v>344</v>
      </c>
      <c r="D70" s="61" t="s">
        <v>1664</v>
      </c>
      <c r="E70" s="11" t="s">
        <v>13</v>
      </c>
    </row>
    <row r="71">
      <c r="B71" s="61" t="s">
        <v>1665</v>
      </c>
      <c r="C71" s="57" t="s">
        <v>271</v>
      </c>
      <c r="D71" s="61" t="s">
        <v>1662</v>
      </c>
      <c r="E71" s="11" t="s">
        <v>9</v>
      </c>
    </row>
    <row r="72">
      <c r="B72" s="61" t="s">
        <v>1663</v>
      </c>
      <c r="C72" s="57" t="s">
        <v>292</v>
      </c>
      <c r="D72" s="61" t="s">
        <v>1524</v>
      </c>
      <c r="E72" s="11" t="s">
        <v>13</v>
      </c>
    </row>
    <row r="73">
      <c r="B73" s="61" t="s">
        <v>1665</v>
      </c>
      <c r="C73" s="57" t="s">
        <v>184</v>
      </c>
      <c r="D73" s="61" t="s">
        <v>1664</v>
      </c>
      <c r="E73" s="11" t="s">
        <v>9</v>
      </c>
    </row>
    <row r="74">
      <c r="B74" s="61" t="s">
        <v>1663</v>
      </c>
      <c r="C74" s="57" t="s">
        <v>162</v>
      </c>
      <c r="D74" s="61" t="s">
        <v>1662</v>
      </c>
      <c r="E74" s="11" t="s">
        <v>13</v>
      </c>
    </row>
    <row r="75">
      <c r="B75" s="61" t="s">
        <v>1665</v>
      </c>
      <c r="C75" s="57" t="s">
        <v>301</v>
      </c>
      <c r="D75" s="61" t="s">
        <v>1524</v>
      </c>
      <c r="E75" s="11" t="s">
        <v>9</v>
      </c>
    </row>
    <row r="76">
      <c r="B76" s="61" t="s">
        <v>1664</v>
      </c>
      <c r="C76" s="57" t="s">
        <v>16</v>
      </c>
      <c r="D76" s="61" t="s">
        <v>1662</v>
      </c>
      <c r="E76" s="11" t="s">
        <v>13</v>
      </c>
    </row>
    <row r="77">
      <c r="B77" s="61" t="s">
        <v>1665</v>
      </c>
      <c r="C77" s="57" t="s">
        <v>464</v>
      </c>
      <c r="D77" s="61" t="s">
        <v>1663</v>
      </c>
      <c r="E77" s="11" t="s">
        <v>9</v>
      </c>
    </row>
    <row r="78">
      <c r="B78" s="61" t="s">
        <v>1664</v>
      </c>
      <c r="C78" s="57" t="s">
        <v>158</v>
      </c>
      <c r="D78" s="61" t="s">
        <v>1524</v>
      </c>
      <c r="E78" s="11" t="s">
        <v>13</v>
      </c>
    </row>
    <row r="79">
      <c r="B79" s="61" t="s">
        <v>1524</v>
      </c>
      <c r="C79" s="57" t="s">
        <v>248</v>
      </c>
      <c r="D79" s="61" t="s">
        <v>1662</v>
      </c>
      <c r="E79" s="11" t="s">
        <v>9</v>
      </c>
    </row>
    <row r="80">
      <c r="B80" s="61" t="s">
        <v>1664</v>
      </c>
      <c r="C80" s="57" t="s">
        <v>220</v>
      </c>
      <c r="D80" s="61" t="s">
        <v>1663</v>
      </c>
      <c r="E80" s="11" t="s">
        <v>13</v>
      </c>
    </row>
    <row r="81">
      <c r="B81" s="61" t="s">
        <v>1662</v>
      </c>
      <c r="C81" s="45" t="s">
        <v>1015</v>
      </c>
      <c r="D81" s="61" t="s">
        <v>1665</v>
      </c>
      <c r="E81" s="11" t="s">
        <v>9</v>
      </c>
    </row>
    <row r="82">
      <c r="B82" s="61" t="s">
        <v>1524</v>
      </c>
      <c r="C82" s="45" t="s">
        <v>41</v>
      </c>
      <c r="D82" s="61" t="s">
        <v>1663</v>
      </c>
      <c r="E82" s="11" t="s">
        <v>13</v>
      </c>
    </row>
    <row r="83">
      <c r="B83" s="61" t="s">
        <v>1664</v>
      </c>
      <c r="C83" s="45" t="s">
        <v>425</v>
      </c>
      <c r="D83" s="61" t="s">
        <v>1665</v>
      </c>
      <c r="E83" s="11" t="s">
        <v>9</v>
      </c>
    </row>
    <row r="84">
      <c r="B84" s="61" t="s">
        <v>1662</v>
      </c>
      <c r="C84" s="45" t="s">
        <v>196</v>
      </c>
      <c r="D84" s="61" t="s">
        <v>1663</v>
      </c>
      <c r="E84" s="11" t="s">
        <v>13</v>
      </c>
    </row>
    <row r="85">
      <c r="B85" s="61" t="s">
        <v>1524</v>
      </c>
      <c r="C85" s="45" t="s">
        <v>459</v>
      </c>
      <c r="D85" s="61" t="s">
        <v>1665</v>
      </c>
      <c r="E85" s="11" t="s">
        <v>9</v>
      </c>
    </row>
    <row r="86">
      <c r="B86" s="61" t="s">
        <v>1662</v>
      </c>
      <c r="C86" s="45" t="s">
        <v>196</v>
      </c>
      <c r="D86" s="61" t="s">
        <v>1664</v>
      </c>
      <c r="E86" s="11" t="s">
        <v>13</v>
      </c>
    </row>
    <row r="87">
      <c r="B87" s="61" t="s">
        <v>1663</v>
      </c>
      <c r="C87" s="45" t="s">
        <v>508</v>
      </c>
      <c r="D87" s="61" t="s">
        <v>1665</v>
      </c>
      <c r="E87" s="11" t="s">
        <v>9</v>
      </c>
    </row>
    <row r="88">
      <c r="B88" s="61" t="s">
        <v>1524</v>
      </c>
      <c r="C88" s="45" t="s">
        <v>164</v>
      </c>
      <c r="D88" s="61" t="s">
        <v>1664</v>
      </c>
      <c r="E88" s="11" t="s">
        <v>13</v>
      </c>
    </row>
    <row r="89">
      <c r="B89" s="1" t="s">
        <v>1526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1666</v>
      </c>
      <c r="C91" s="45" t="s">
        <v>24</v>
      </c>
      <c r="D91" s="61" t="s">
        <v>1401</v>
      </c>
      <c r="E91" s="11" t="s">
        <v>9</v>
      </c>
    </row>
    <row r="92">
      <c r="B92" s="61" t="s">
        <v>1667</v>
      </c>
      <c r="C92" s="45" t="s">
        <v>301</v>
      </c>
      <c r="D92" s="61" t="s">
        <v>1469</v>
      </c>
      <c r="E92" s="11" t="s">
        <v>13</v>
      </c>
    </row>
    <row r="93">
      <c r="B93" s="61" t="s">
        <v>1668</v>
      </c>
      <c r="C93" s="45" t="s">
        <v>218</v>
      </c>
      <c r="D93" s="61" t="s">
        <v>1666</v>
      </c>
      <c r="E93" s="11" t="s">
        <v>9</v>
      </c>
    </row>
    <row r="94">
      <c r="B94" s="61" t="s">
        <v>1667</v>
      </c>
      <c r="C94" s="45" t="s">
        <v>302</v>
      </c>
      <c r="D94" s="61" t="s">
        <v>1401</v>
      </c>
      <c r="E94" s="11" t="s">
        <v>13</v>
      </c>
    </row>
    <row r="95">
      <c r="B95" s="61" t="s">
        <v>1668</v>
      </c>
      <c r="C95" s="45" t="s">
        <v>16</v>
      </c>
      <c r="D95" s="61" t="s">
        <v>1469</v>
      </c>
      <c r="E95" s="11" t="s">
        <v>9</v>
      </c>
    </row>
    <row r="96">
      <c r="B96" s="61" t="s">
        <v>1667</v>
      </c>
      <c r="C96" s="45" t="s">
        <v>487</v>
      </c>
      <c r="D96" s="61" t="s">
        <v>1666</v>
      </c>
      <c r="E96" s="11" t="s">
        <v>13</v>
      </c>
    </row>
    <row r="97">
      <c r="B97" s="61" t="s">
        <v>1668</v>
      </c>
      <c r="C97" s="45" t="s">
        <v>155</v>
      </c>
      <c r="D97" s="61" t="s">
        <v>1401</v>
      </c>
      <c r="E97" s="11" t="s">
        <v>9</v>
      </c>
    </row>
    <row r="98">
      <c r="B98" s="61" t="s">
        <v>1469</v>
      </c>
      <c r="C98" s="45" t="s">
        <v>1669</v>
      </c>
      <c r="D98" s="61" t="s">
        <v>1666</v>
      </c>
      <c r="E98" s="11" t="s">
        <v>13</v>
      </c>
    </row>
    <row r="99">
      <c r="B99" s="61" t="s">
        <v>1668</v>
      </c>
      <c r="C99" s="45" t="s">
        <v>181</v>
      </c>
      <c r="D99" s="61" t="s">
        <v>1667</v>
      </c>
      <c r="E99" s="11" t="s">
        <v>9</v>
      </c>
    </row>
    <row r="100">
      <c r="B100" s="61" t="s">
        <v>1469</v>
      </c>
      <c r="C100" s="45" t="s">
        <v>42</v>
      </c>
      <c r="D100" s="61" t="s">
        <v>1401</v>
      </c>
      <c r="E100" s="11" t="s">
        <v>13</v>
      </c>
    </row>
    <row r="101">
      <c r="B101" s="61" t="s">
        <v>1401</v>
      </c>
      <c r="C101" s="45" t="s">
        <v>426</v>
      </c>
      <c r="D101" s="61" t="s">
        <v>1666</v>
      </c>
      <c r="E101" s="11" t="s">
        <v>9</v>
      </c>
    </row>
    <row r="102">
      <c r="B102" s="61" t="s">
        <v>1469</v>
      </c>
      <c r="C102" s="45" t="s">
        <v>155</v>
      </c>
      <c r="D102" s="61" t="s">
        <v>1667</v>
      </c>
      <c r="E102" s="11" t="s">
        <v>13</v>
      </c>
    </row>
    <row r="103">
      <c r="B103" s="61" t="s">
        <v>1666</v>
      </c>
      <c r="C103" s="45" t="s">
        <v>316</v>
      </c>
      <c r="D103" s="61" t="s">
        <v>1668</v>
      </c>
      <c r="E103" s="11" t="s">
        <v>9</v>
      </c>
    </row>
    <row r="104">
      <c r="B104" s="61" t="s">
        <v>1401</v>
      </c>
      <c r="C104" s="45" t="s">
        <v>158</v>
      </c>
      <c r="D104" s="61" t="s">
        <v>1667</v>
      </c>
      <c r="E104" s="11" t="s">
        <v>13</v>
      </c>
    </row>
    <row r="105">
      <c r="B105" s="61" t="s">
        <v>1469</v>
      </c>
      <c r="C105" s="45" t="s">
        <v>181</v>
      </c>
      <c r="D105" s="61" t="s">
        <v>1668</v>
      </c>
      <c r="E105" s="11" t="s">
        <v>9</v>
      </c>
    </row>
    <row r="106">
      <c r="B106" s="61" t="s">
        <v>1666</v>
      </c>
      <c r="C106" s="45" t="s">
        <v>225</v>
      </c>
      <c r="D106" s="61" t="s">
        <v>1667</v>
      </c>
      <c r="E106" s="11" t="s">
        <v>13</v>
      </c>
    </row>
    <row r="107">
      <c r="B107" s="61" t="s">
        <v>1401</v>
      </c>
      <c r="C107" s="45" t="s">
        <v>177</v>
      </c>
      <c r="D107" s="61" t="s">
        <v>1668</v>
      </c>
      <c r="E107" s="11" t="s">
        <v>9</v>
      </c>
    </row>
    <row r="108">
      <c r="B108" s="61" t="s">
        <v>1666</v>
      </c>
      <c r="C108" s="45" t="s">
        <v>208</v>
      </c>
      <c r="D108" s="61" t="s">
        <v>1469</v>
      </c>
      <c r="E108" s="11" t="s">
        <v>13</v>
      </c>
    </row>
    <row r="109">
      <c r="B109" s="61" t="s">
        <v>1667</v>
      </c>
      <c r="C109" s="45" t="s">
        <v>208</v>
      </c>
      <c r="D109" s="61" t="s">
        <v>1668</v>
      </c>
      <c r="E109" s="11" t="s">
        <v>9</v>
      </c>
    </row>
    <row r="110">
      <c r="B110" s="61" t="s">
        <v>1401</v>
      </c>
      <c r="C110" s="45" t="s">
        <v>216</v>
      </c>
      <c r="D110" s="61" t="s">
        <v>1469</v>
      </c>
      <c r="E110" s="11" t="s">
        <v>13</v>
      </c>
    </row>
    <row r="111">
      <c r="B111" s="1" t="s">
        <v>1532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530</v>
      </c>
      <c r="C113" s="57" t="s">
        <v>7</v>
      </c>
      <c r="D113" s="61" t="s">
        <v>1670</v>
      </c>
      <c r="E113" s="11" t="s">
        <v>9</v>
      </c>
    </row>
    <row r="114">
      <c r="B114" s="61" t="s">
        <v>526</v>
      </c>
      <c r="C114" s="57" t="s">
        <v>7</v>
      </c>
      <c r="D114" s="61" t="s">
        <v>1355</v>
      </c>
      <c r="E114" s="11" t="s">
        <v>13</v>
      </c>
    </row>
    <row r="115">
      <c r="B115" s="61" t="s">
        <v>529</v>
      </c>
      <c r="C115" s="57" t="s">
        <v>291</v>
      </c>
      <c r="D115" s="61" t="s">
        <v>530</v>
      </c>
      <c r="E115" s="11" t="s">
        <v>9</v>
      </c>
    </row>
    <row r="116">
      <c r="B116" s="61" t="s">
        <v>526</v>
      </c>
      <c r="C116" s="57" t="s">
        <v>181</v>
      </c>
      <c r="D116" s="61" t="s">
        <v>1670</v>
      </c>
      <c r="E116" s="11" t="s">
        <v>13</v>
      </c>
    </row>
    <row r="117">
      <c r="B117" s="61" t="s">
        <v>529</v>
      </c>
      <c r="C117" s="57" t="s">
        <v>18</v>
      </c>
      <c r="D117" s="61" t="s">
        <v>1355</v>
      </c>
      <c r="E117" s="11" t="s">
        <v>9</v>
      </c>
    </row>
    <row r="118">
      <c r="B118" s="61" t="s">
        <v>526</v>
      </c>
      <c r="C118" s="57" t="s">
        <v>237</v>
      </c>
      <c r="D118" s="61" t="s">
        <v>530</v>
      </c>
      <c r="E118" s="11" t="s">
        <v>13</v>
      </c>
    </row>
    <row r="119">
      <c r="B119" s="61" t="s">
        <v>529</v>
      </c>
      <c r="C119" s="57" t="s">
        <v>744</v>
      </c>
      <c r="D119" s="61" t="s">
        <v>1670</v>
      </c>
      <c r="E119" s="11" t="s">
        <v>9</v>
      </c>
    </row>
    <row r="120">
      <c r="B120" s="61" t="s">
        <v>1355</v>
      </c>
      <c r="C120" s="57" t="s">
        <v>383</v>
      </c>
      <c r="D120" s="61" t="s">
        <v>530</v>
      </c>
      <c r="E120" s="11" t="s">
        <v>13</v>
      </c>
    </row>
    <row r="121">
      <c r="B121" s="61" t="s">
        <v>529</v>
      </c>
      <c r="C121" s="57" t="s">
        <v>158</v>
      </c>
      <c r="D121" s="61" t="s">
        <v>526</v>
      </c>
      <c r="E121" s="11" t="s">
        <v>9</v>
      </c>
    </row>
    <row r="122">
      <c r="B122" s="61" t="s">
        <v>1355</v>
      </c>
      <c r="C122" s="57" t="s">
        <v>182</v>
      </c>
      <c r="D122" s="61" t="s">
        <v>1670</v>
      </c>
      <c r="E122" s="11" t="s">
        <v>13</v>
      </c>
    </row>
    <row r="123">
      <c r="B123" s="61" t="s">
        <v>1670</v>
      </c>
      <c r="C123" s="57" t="s">
        <v>158</v>
      </c>
      <c r="D123" s="61" t="s">
        <v>530</v>
      </c>
      <c r="E123" s="11" t="s">
        <v>9</v>
      </c>
    </row>
    <row r="124">
      <c r="B124" s="61" t="s">
        <v>1355</v>
      </c>
      <c r="C124" s="57" t="s">
        <v>161</v>
      </c>
      <c r="D124" s="61" t="s">
        <v>526</v>
      </c>
      <c r="E124" s="11" t="s">
        <v>13</v>
      </c>
    </row>
    <row r="125">
      <c r="B125" s="61" t="s">
        <v>530</v>
      </c>
      <c r="C125" s="45" t="s">
        <v>18</v>
      </c>
      <c r="D125" s="61" t="s">
        <v>529</v>
      </c>
      <c r="E125" s="11" t="s">
        <v>9</v>
      </c>
    </row>
    <row r="126">
      <c r="B126" s="61" t="s">
        <v>1670</v>
      </c>
      <c r="C126" s="45" t="s">
        <v>155</v>
      </c>
      <c r="D126" s="61" t="s">
        <v>526</v>
      </c>
      <c r="E126" s="11" t="s">
        <v>13</v>
      </c>
    </row>
    <row r="127">
      <c r="B127" s="61" t="s">
        <v>1355</v>
      </c>
      <c r="C127" s="45" t="s">
        <v>209</v>
      </c>
      <c r="D127" s="61" t="s">
        <v>529</v>
      </c>
      <c r="E127" s="11" t="s">
        <v>9</v>
      </c>
    </row>
    <row r="128">
      <c r="B128" s="61" t="s">
        <v>530</v>
      </c>
      <c r="C128" s="45" t="s">
        <v>185</v>
      </c>
      <c r="D128" s="61" t="s">
        <v>526</v>
      </c>
      <c r="E128" s="11" t="s">
        <v>13</v>
      </c>
    </row>
    <row r="129">
      <c r="B129" s="61" t="s">
        <v>1670</v>
      </c>
      <c r="C129" s="45" t="s">
        <v>162</v>
      </c>
      <c r="D129" s="61" t="s">
        <v>529</v>
      </c>
      <c r="E129" s="11" t="s">
        <v>9</v>
      </c>
    </row>
    <row r="130">
      <c r="B130" s="61" t="s">
        <v>530</v>
      </c>
      <c r="C130" s="45" t="s">
        <v>21</v>
      </c>
      <c r="D130" s="61" t="s">
        <v>1355</v>
      </c>
      <c r="E130" s="11" t="s">
        <v>13</v>
      </c>
    </row>
    <row r="131">
      <c r="B131" s="61" t="s">
        <v>526</v>
      </c>
      <c r="C131" s="45" t="s">
        <v>173</v>
      </c>
      <c r="D131" s="61" t="s">
        <v>529</v>
      </c>
      <c r="E131" s="11" t="s">
        <v>9</v>
      </c>
    </row>
    <row r="132">
      <c r="B132" s="61" t="s">
        <v>1670</v>
      </c>
      <c r="C132" s="45" t="s">
        <v>162</v>
      </c>
      <c r="D132" s="61" t="s">
        <v>1355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1671</v>
      </c>
      <c r="C135" s="57" t="s">
        <v>155</v>
      </c>
      <c r="D135" s="61" t="s">
        <v>1237</v>
      </c>
      <c r="E135" s="11" t="s">
        <v>29</v>
      </c>
    </row>
    <row r="136">
      <c r="B136" s="61" t="s">
        <v>1672</v>
      </c>
      <c r="C136" s="57" t="s">
        <v>279</v>
      </c>
      <c r="D136" s="61" t="s">
        <v>1673</v>
      </c>
      <c r="E136" s="11" t="s">
        <v>33</v>
      </c>
    </row>
    <row r="137">
      <c r="B137" s="61" t="s">
        <v>1674</v>
      </c>
      <c r="C137" s="57" t="s">
        <v>570</v>
      </c>
      <c r="D137" s="61" t="s">
        <v>1671</v>
      </c>
      <c r="E137" s="11" t="s">
        <v>29</v>
      </c>
    </row>
    <row r="138">
      <c r="B138" s="61" t="s">
        <v>1672</v>
      </c>
      <c r="C138" s="57" t="s">
        <v>194</v>
      </c>
      <c r="D138" s="61" t="s">
        <v>1237</v>
      </c>
      <c r="E138" s="11" t="s">
        <v>33</v>
      </c>
    </row>
    <row r="139">
      <c r="B139" s="61" t="s">
        <v>1674</v>
      </c>
      <c r="C139" s="57" t="s">
        <v>7</v>
      </c>
      <c r="D139" s="61" t="s">
        <v>1673</v>
      </c>
      <c r="E139" s="11" t="s">
        <v>29</v>
      </c>
    </row>
    <row r="140">
      <c r="B140" s="61" t="s">
        <v>1672</v>
      </c>
      <c r="C140" s="57" t="s">
        <v>194</v>
      </c>
      <c r="D140" s="61" t="s">
        <v>1671</v>
      </c>
      <c r="E140" s="11" t="s">
        <v>33</v>
      </c>
    </row>
    <row r="141">
      <c r="B141" s="61" t="s">
        <v>1674</v>
      </c>
      <c r="C141" s="57" t="s">
        <v>209</v>
      </c>
      <c r="D141" s="61" t="s">
        <v>1237</v>
      </c>
      <c r="E141" s="11" t="s">
        <v>29</v>
      </c>
    </row>
    <row r="142">
      <c r="B142" s="61" t="s">
        <v>1673</v>
      </c>
      <c r="C142" s="57" t="s">
        <v>177</v>
      </c>
      <c r="D142" s="61" t="s">
        <v>1671</v>
      </c>
      <c r="E142" s="11" t="s">
        <v>33</v>
      </c>
    </row>
    <row r="143">
      <c r="B143" s="61" t="s">
        <v>1674</v>
      </c>
      <c r="C143" s="57" t="s">
        <v>16</v>
      </c>
      <c r="D143" s="61" t="s">
        <v>1672</v>
      </c>
      <c r="E143" s="11" t="s">
        <v>29</v>
      </c>
    </row>
    <row r="144">
      <c r="B144" s="61" t="s">
        <v>1673</v>
      </c>
      <c r="C144" s="57" t="s">
        <v>38</v>
      </c>
      <c r="D144" s="61" t="s">
        <v>1237</v>
      </c>
      <c r="E144" s="11" t="s">
        <v>33</v>
      </c>
    </row>
    <row r="145">
      <c r="B145" s="61" t="s">
        <v>1237</v>
      </c>
      <c r="C145" s="57" t="s">
        <v>1675</v>
      </c>
      <c r="D145" s="61" t="s">
        <v>1671</v>
      </c>
      <c r="E145" s="11" t="s">
        <v>29</v>
      </c>
    </row>
    <row r="146">
      <c r="B146" s="61" t="s">
        <v>1673</v>
      </c>
      <c r="C146" s="57" t="s">
        <v>163</v>
      </c>
      <c r="D146" s="61" t="s">
        <v>1672</v>
      </c>
      <c r="E146" s="11" t="s">
        <v>33</v>
      </c>
    </row>
    <row r="147">
      <c r="B147" s="61" t="s">
        <v>1671</v>
      </c>
      <c r="C147" s="57" t="s">
        <v>23</v>
      </c>
      <c r="D147" s="61" t="s">
        <v>1674</v>
      </c>
      <c r="E147" s="11" t="s">
        <v>29</v>
      </c>
    </row>
    <row r="148">
      <c r="B148" s="61" t="s">
        <v>1237</v>
      </c>
      <c r="C148" s="57" t="s">
        <v>209</v>
      </c>
      <c r="D148" s="61" t="s">
        <v>1672</v>
      </c>
      <c r="E148" s="11" t="s">
        <v>33</v>
      </c>
    </row>
    <row r="149">
      <c r="B149" s="61" t="s">
        <v>1673</v>
      </c>
      <c r="C149" s="57" t="s">
        <v>549</v>
      </c>
      <c r="D149" s="61" t="s">
        <v>1674</v>
      </c>
      <c r="E149" s="11" t="s">
        <v>29</v>
      </c>
    </row>
    <row r="150">
      <c r="B150" s="61" t="s">
        <v>1671</v>
      </c>
      <c r="C150" s="57" t="s">
        <v>18</v>
      </c>
      <c r="D150" s="61" t="s">
        <v>1672</v>
      </c>
      <c r="E150" s="11" t="s">
        <v>33</v>
      </c>
    </row>
    <row r="151">
      <c r="B151" s="61" t="s">
        <v>1237</v>
      </c>
      <c r="C151" s="57" t="s">
        <v>43</v>
      </c>
      <c r="D151" s="61" t="s">
        <v>1674</v>
      </c>
      <c r="E151" s="11" t="s">
        <v>29</v>
      </c>
    </row>
    <row r="152">
      <c r="B152" s="61" t="s">
        <v>1671</v>
      </c>
      <c r="C152" s="57" t="s">
        <v>44</v>
      </c>
      <c r="D152" s="61" t="s">
        <v>1673</v>
      </c>
      <c r="E152" s="11" t="s">
        <v>33</v>
      </c>
    </row>
    <row r="153">
      <c r="B153" s="61" t="s">
        <v>1672</v>
      </c>
      <c r="C153" s="57" t="s">
        <v>712</v>
      </c>
      <c r="D153" s="61" t="s">
        <v>1674</v>
      </c>
      <c r="E153" s="11" t="s">
        <v>29</v>
      </c>
    </row>
    <row r="154">
      <c r="B154" s="61" t="s">
        <v>1237</v>
      </c>
      <c r="C154" s="57" t="s">
        <v>163</v>
      </c>
      <c r="D154" s="61" t="s">
        <v>1673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1676</v>
      </c>
      <c r="C157" s="45" t="s">
        <v>11</v>
      </c>
      <c r="D157" s="61" t="s">
        <v>1677</v>
      </c>
      <c r="E157" s="11" t="s">
        <v>9</v>
      </c>
    </row>
    <row r="158">
      <c r="B158" s="61" t="s">
        <v>1678</v>
      </c>
      <c r="C158" s="45" t="s">
        <v>394</v>
      </c>
      <c r="D158" s="61" t="s">
        <v>1679</v>
      </c>
      <c r="E158" s="11" t="s">
        <v>13</v>
      </c>
    </row>
    <row r="159">
      <c r="B159" s="61" t="s">
        <v>1680</v>
      </c>
      <c r="C159" s="45" t="s">
        <v>549</v>
      </c>
      <c r="D159" s="61" t="s">
        <v>1676</v>
      </c>
      <c r="E159" s="11" t="s">
        <v>9</v>
      </c>
    </row>
    <row r="160">
      <c r="B160" s="61" t="s">
        <v>1678</v>
      </c>
      <c r="C160" s="45" t="s">
        <v>20</v>
      </c>
      <c r="D160" s="61" t="s">
        <v>1677</v>
      </c>
      <c r="E160" s="11" t="s">
        <v>13</v>
      </c>
    </row>
    <row r="161">
      <c r="B161" s="61" t="s">
        <v>1680</v>
      </c>
      <c r="C161" s="45" t="s">
        <v>14</v>
      </c>
      <c r="D161" s="61" t="s">
        <v>1679</v>
      </c>
      <c r="E161" s="11" t="s">
        <v>9</v>
      </c>
    </row>
    <row r="162">
      <c r="B162" s="61" t="s">
        <v>1678</v>
      </c>
      <c r="C162" s="45" t="s">
        <v>43</v>
      </c>
      <c r="D162" s="61" t="s">
        <v>1676</v>
      </c>
      <c r="E162" s="11" t="s">
        <v>13</v>
      </c>
      <c r="H162" s="50" t="s">
        <v>861</v>
      </c>
    </row>
    <row r="163">
      <c r="B163" s="61" t="s">
        <v>1680</v>
      </c>
      <c r="C163" s="45" t="s">
        <v>24</v>
      </c>
      <c r="D163" s="61" t="s">
        <v>1677</v>
      </c>
      <c r="E163" s="11" t="s">
        <v>9</v>
      </c>
    </row>
    <row r="164">
      <c r="B164" s="61" t="s">
        <v>1679</v>
      </c>
      <c r="C164" s="45" t="s">
        <v>162</v>
      </c>
      <c r="D164" s="61" t="s">
        <v>1676</v>
      </c>
      <c r="E164" s="11" t="s">
        <v>13</v>
      </c>
    </row>
    <row r="165">
      <c r="B165" s="61" t="s">
        <v>1680</v>
      </c>
      <c r="C165" s="45" t="s">
        <v>16</v>
      </c>
      <c r="D165" s="61" t="s">
        <v>1678</v>
      </c>
      <c r="E165" s="11" t="s">
        <v>9</v>
      </c>
    </row>
    <row r="166">
      <c r="B166" s="61" t="s">
        <v>1679</v>
      </c>
      <c r="C166" s="45" t="s">
        <v>7</v>
      </c>
      <c r="D166" s="61" t="s">
        <v>1677</v>
      </c>
      <c r="E166" s="11" t="s">
        <v>13</v>
      </c>
    </row>
    <row r="167">
      <c r="B167" s="61" t="s">
        <v>1677</v>
      </c>
      <c r="C167" s="45" t="s">
        <v>208</v>
      </c>
      <c r="D167" s="61" t="s">
        <v>1676</v>
      </c>
      <c r="E167" s="11" t="s">
        <v>9</v>
      </c>
    </row>
    <row r="168">
      <c r="B168" s="61" t="s">
        <v>1679</v>
      </c>
      <c r="C168" s="45" t="s">
        <v>534</v>
      </c>
      <c r="D168" s="61" t="s">
        <v>1678</v>
      </c>
      <c r="E168" s="11" t="s">
        <v>13</v>
      </c>
    </row>
    <row r="169">
      <c r="B169" s="61" t="s">
        <v>1676</v>
      </c>
      <c r="C169" s="45" t="s">
        <v>41</v>
      </c>
      <c r="D169" s="61" t="s">
        <v>1680</v>
      </c>
      <c r="E169" s="11" t="s">
        <v>9</v>
      </c>
    </row>
    <row r="170">
      <c r="B170" s="61" t="s">
        <v>1677</v>
      </c>
      <c r="C170" s="45" t="s">
        <v>41</v>
      </c>
      <c r="D170" s="61" t="s">
        <v>1678</v>
      </c>
      <c r="E170" s="11" t="s">
        <v>13</v>
      </c>
    </row>
    <row r="171">
      <c r="B171" s="61" t="s">
        <v>1679</v>
      </c>
      <c r="C171" s="45" t="s">
        <v>545</v>
      </c>
      <c r="D171" s="61" t="s">
        <v>1680</v>
      </c>
      <c r="E171" s="11" t="s">
        <v>9</v>
      </c>
    </row>
    <row r="172">
      <c r="B172" s="61" t="s">
        <v>1676</v>
      </c>
      <c r="C172" s="45" t="s">
        <v>582</v>
      </c>
      <c r="D172" s="61" t="s">
        <v>1678</v>
      </c>
      <c r="E172" s="11" t="s">
        <v>13</v>
      </c>
    </row>
    <row r="173">
      <c r="B173" s="61" t="s">
        <v>1677</v>
      </c>
      <c r="C173" s="45" t="s">
        <v>220</v>
      </c>
      <c r="D173" s="61" t="s">
        <v>1680</v>
      </c>
      <c r="E173" s="11" t="s">
        <v>9</v>
      </c>
    </row>
    <row r="174">
      <c r="B174" s="61" t="s">
        <v>1676</v>
      </c>
      <c r="C174" s="45" t="s">
        <v>181</v>
      </c>
      <c r="D174" s="61" t="s">
        <v>1679</v>
      </c>
      <c r="E174" s="11" t="s">
        <v>13</v>
      </c>
    </row>
    <row r="175">
      <c r="B175" s="61" t="s">
        <v>1678</v>
      </c>
      <c r="C175" s="45" t="s">
        <v>164</v>
      </c>
      <c r="D175" s="61" t="s">
        <v>1680</v>
      </c>
      <c r="E175" s="11" t="s">
        <v>9</v>
      </c>
    </row>
    <row r="176">
      <c r="B176" s="61" t="s">
        <v>1677</v>
      </c>
      <c r="C176" s="45" t="s">
        <v>1681</v>
      </c>
      <c r="D176" s="61" t="s">
        <v>1679</v>
      </c>
      <c r="E176" s="11" t="s">
        <v>13</v>
      </c>
    </row>
    <row r="177">
      <c r="B177" s="1" t="s">
        <v>78</v>
      </c>
      <c r="C177" s="2"/>
      <c r="D177" s="3"/>
      <c r="E177" s="4"/>
      <c r="G177" s="50" t="s">
        <v>861</v>
      </c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928</v>
      </c>
      <c r="C179" s="57" t="s">
        <v>18</v>
      </c>
      <c r="D179" s="61" t="s">
        <v>1682</v>
      </c>
      <c r="E179" s="11" t="s">
        <v>29</v>
      </c>
    </row>
    <row r="180">
      <c r="B180" s="61" t="s">
        <v>84</v>
      </c>
      <c r="C180" s="57" t="s">
        <v>14</v>
      </c>
      <c r="D180" s="61" t="s">
        <v>1683</v>
      </c>
      <c r="E180" s="11" t="s">
        <v>33</v>
      </c>
    </row>
    <row r="181">
      <c r="B181" s="61" t="s">
        <v>1684</v>
      </c>
      <c r="C181" s="57" t="s">
        <v>433</v>
      </c>
      <c r="D181" s="61" t="s">
        <v>928</v>
      </c>
      <c r="E181" s="11" t="s">
        <v>29</v>
      </c>
    </row>
    <row r="182">
      <c r="B182" s="61" t="s">
        <v>84</v>
      </c>
      <c r="C182" s="57" t="s">
        <v>278</v>
      </c>
      <c r="D182" s="61" t="s">
        <v>1682</v>
      </c>
      <c r="E182" s="11" t="s">
        <v>33</v>
      </c>
    </row>
    <row r="183">
      <c r="B183" s="61" t="s">
        <v>1684</v>
      </c>
      <c r="C183" s="57" t="s">
        <v>709</v>
      </c>
      <c r="D183" s="61" t="s">
        <v>1683</v>
      </c>
      <c r="E183" s="11" t="s">
        <v>29</v>
      </c>
    </row>
    <row r="184">
      <c r="B184" s="61" t="s">
        <v>84</v>
      </c>
      <c r="C184" s="57" t="s">
        <v>394</v>
      </c>
      <c r="D184" s="61" t="s">
        <v>928</v>
      </c>
      <c r="E184" s="11" t="s">
        <v>33</v>
      </c>
    </row>
    <row r="185">
      <c r="B185" s="61" t="s">
        <v>1684</v>
      </c>
      <c r="C185" s="57" t="s">
        <v>477</v>
      </c>
      <c r="D185" s="61" t="s">
        <v>1682</v>
      </c>
      <c r="E185" s="11" t="s">
        <v>29</v>
      </c>
    </row>
    <row r="186">
      <c r="B186" s="61" t="s">
        <v>1683</v>
      </c>
      <c r="C186" s="57" t="s">
        <v>38</v>
      </c>
      <c r="D186" s="61" t="s">
        <v>928</v>
      </c>
      <c r="E186" s="11" t="s">
        <v>33</v>
      </c>
    </row>
    <row r="187">
      <c r="B187" s="61" t="s">
        <v>1684</v>
      </c>
      <c r="C187" s="57" t="s">
        <v>166</v>
      </c>
      <c r="D187" s="61" t="s">
        <v>84</v>
      </c>
      <c r="E187" s="11" t="s">
        <v>29</v>
      </c>
    </row>
    <row r="188">
      <c r="B188" s="61" t="s">
        <v>1683</v>
      </c>
      <c r="C188" s="57" t="s">
        <v>193</v>
      </c>
      <c r="D188" s="61" t="s">
        <v>1682</v>
      </c>
      <c r="E188" s="11" t="s">
        <v>33</v>
      </c>
    </row>
    <row r="189">
      <c r="B189" s="61" t="s">
        <v>1682</v>
      </c>
      <c r="C189" s="57" t="s">
        <v>231</v>
      </c>
      <c r="D189" s="61" t="s">
        <v>928</v>
      </c>
      <c r="E189" s="11" t="s">
        <v>29</v>
      </c>
    </row>
    <row r="190">
      <c r="B190" s="61" t="s">
        <v>1683</v>
      </c>
      <c r="C190" s="57" t="s">
        <v>44</v>
      </c>
      <c r="D190" s="61" t="s">
        <v>84</v>
      </c>
      <c r="E190" s="11" t="s">
        <v>33</v>
      </c>
    </row>
    <row r="191">
      <c r="B191" s="61" t="s">
        <v>928</v>
      </c>
      <c r="C191" s="45" t="s">
        <v>41</v>
      </c>
      <c r="D191" s="61" t="s">
        <v>1684</v>
      </c>
      <c r="E191" s="11" t="s">
        <v>29</v>
      </c>
    </row>
    <row r="192">
      <c r="B192" s="61" t="s">
        <v>1682</v>
      </c>
      <c r="C192" s="45" t="s">
        <v>209</v>
      </c>
      <c r="D192" s="61" t="s">
        <v>84</v>
      </c>
      <c r="E192" s="11" t="s">
        <v>33</v>
      </c>
    </row>
    <row r="193">
      <c r="B193" s="61" t="s">
        <v>1683</v>
      </c>
      <c r="C193" s="45" t="s">
        <v>162</v>
      </c>
      <c r="D193" s="61" t="s">
        <v>1684</v>
      </c>
      <c r="E193" s="11" t="s">
        <v>29</v>
      </c>
    </row>
    <row r="194">
      <c r="B194" s="61" t="s">
        <v>928</v>
      </c>
      <c r="C194" s="45" t="s">
        <v>24</v>
      </c>
      <c r="D194" s="61" t="s">
        <v>84</v>
      </c>
      <c r="E194" s="11" t="s">
        <v>33</v>
      </c>
    </row>
    <row r="195">
      <c r="B195" s="61" t="s">
        <v>1682</v>
      </c>
      <c r="C195" s="45" t="s">
        <v>38</v>
      </c>
      <c r="D195" s="61" t="s">
        <v>1684</v>
      </c>
      <c r="E195" s="11" t="s">
        <v>29</v>
      </c>
    </row>
    <row r="196">
      <c r="B196" s="61" t="s">
        <v>928</v>
      </c>
      <c r="C196" s="45" t="s">
        <v>34</v>
      </c>
      <c r="D196" s="61" t="s">
        <v>1683</v>
      </c>
      <c r="E196" s="11" t="s">
        <v>33</v>
      </c>
    </row>
    <row r="197">
      <c r="B197" s="61" t="s">
        <v>84</v>
      </c>
      <c r="C197" s="45" t="s">
        <v>14</v>
      </c>
      <c r="D197" s="61" t="s">
        <v>1684</v>
      </c>
      <c r="E197" s="11" t="s">
        <v>29</v>
      </c>
    </row>
    <row r="198">
      <c r="B198" s="61" t="s">
        <v>1682</v>
      </c>
      <c r="C198" s="45" t="s">
        <v>383</v>
      </c>
      <c r="D198" s="61" t="s">
        <v>1683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1685</v>
      </c>
      <c r="C201" s="45" t="s">
        <v>7</v>
      </c>
      <c r="D201" s="61" t="s">
        <v>1628</v>
      </c>
      <c r="E201" s="11" t="s">
        <v>29</v>
      </c>
    </row>
    <row r="202">
      <c r="B202" s="56" t="s">
        <v>1686</v>
      </c>
      <c r="C202" s="45" t="s">
        <v>18</v>
      </c>
      <c r="D202" s="61" t="s">
        <v>1687</v>
      </c>
      <c r="E202" s="11" t="s">
        <v>33</v>
      </c>
    </row>
    <row r="203">
      <c r="B203" s="61" t="s">
        <v>1688</v>
      </c>
      <c r="C203" s="45" t="s">
        <v>163</v>
      </c>
      <c r="D203" s="61" t="s">
        <v>1685</v>
      </c>
      <c r="E203" s="11" t="s">
        <v>29</v>
      </c>
    </row>
    <row r="204">
      <c r="B204" s="56" t="s">
        <v>1686</v>
      </c>
      <c r="C204" s="45" t="s">
        <v>41</v>
      </c>
      <c r="D204" s="61" t="s">
        <v>1628</v>
      </c>
      <c r="E204" s="11" t="s">
        <v>33</v>
      </c>
    </row>
    <row r="205">
      <c r="B205" s="61" t="s">
        <v>1688</v>
      </c>
      <c r="C205" s="45" t="s">
        <v>239</v>
      </c>
      <c r="D205" s="61" t="s">
        <v>1687</v>
      </c>
      <c r="E205" s="11" t="s">
        <v>29</v>
      </c>
    </row>
    <row r="206">
      <c r="B206" s="56" t="s">
        <v>1686</v>
      </c>
      <c r="C206" s="45" t="s">
        <v>16</v>
      </c>
      <c r="D206" s="61" t="s">
        <v>1685</v>
      </c>
      <c r="E206" s="11" t="s">
        <v>33</v>
      </c>
    </row>
    <row r="207">
      <c r="B207" s="61" t="s">
        <v>1688</v>
      </c>
      <c r="C207" s="45" t="s">
        <v>166</v>
      </c>
      <c r="D207" s="61" t="s">
        <v>1628</v>
      </c>
      <c r="E207" s="11" t="s">
        <v>29</v>
      </c>
    </row>
    <row r="208">
      <c r="B208" s="61" t="s">
        <v>1687</v>
      </c>
      <c r="C208" s="45" t="s">
        <v>193</v>
      </c>
      <c r="D208" s="61" t="s">
        <v>1685</v>
      </c>
      <c r="E208" s="11" t="s">
        <v>33</v>
      </c>
    </row>
    <row r="209">
      <c r="B209" s="61" t="s">
        <v>1688</v>
      </c>
      <c r="C209" s="45" t="s">
        <v>264</v>
      </c>
      <c r="D209" s="56" t="s">
        <v>1686</v>
      </c>
      <c r="E209" s="11" t="s">
        <v>29</v>
      </c>
    </row>
    <row r="210">
      <c r="B210" s="61" t="s">
        <v>1687</v>
      </c>
      <c r="C210" s="45" t="s">
        <v>279</v>
      </c>
      <c r="D210" s="61" t="s">
        <v>1628</v>
      </c>
      <c r="E210" s="11" t="s">
        <v>33</v>
      </c>
    </row>
    <row r="211">
      <c r="B211" s="61" t="s">
        <v>1628</v>
      </c>
      <c r="C211" s="45" t="s">
        <v>440</v>
      </c>
      <c r="D211" s="61" t="s">
        <v>1685</v>
      </c>
      <c r="E211" s="11" t="s">
        <v>29</v>
      </c>
    </row>
    <row r="212">
      <c r="B212" s="61" t="s">
        <v>1687</v>
      </c>
      <c r="C212" s="45" t="s">
        <v>18</v>
      </c>
      <c r="D212" s="56" t="s">
        <v>1686</v>
      </c>
      <c r="E212" s="11" t="s">
        <v>33</v>
      </c>
    </row>
    <row r="213">
      <c r="B213" s="61" t="s">
        <v>1685</v>
      </c>
      <c r="C213" s="45" t="s">
        <v>394</v>
      </c>
      <c r="D213" s="61" t="s">
        <v>1688</v>
      </c>
      <c r="E213" s="11" t="s">
        <v>29</v>
      </c>
    </row>
    <row r="214">
      <c r="B214" s="61" t="s">
        <v>1628</v>
      </c>
      <c r="C214" s="45" t="s">
        <v>38</v>
      </c>
      <c r="D214" s="56" t="s">
        <v>1686</v>
      </c>
      <c r="E214" s="11" t="s">
        <v>33</v>
      </c>
    </row>
    <row r="215">
      <c r="B215" s="61" t="s">
        <v>1687</v>
      </c>
      <c r="C215" s="45" t="s">
        <v>426</v>
      </c>
      <c r="D215" s="61" t="s">
        <v>1688</v>
      </c>
      <c r="E215" s="11" t="s">
        <v>29</v>
      </c>
    </row>
    <row r="216">
      <c r="B216" s="61" t="s">
        <v>1685</v>
      </c>
      <c r="C216" s="45" t="s">
        <v>291</v>
      </c>
      <c r="D216" s="56" t="s">
        <v>1686</v>
      </c>
      <c r="E216" s="11" t="s">
        <v>33</v>
      </c>
    </row>
    <row r="217">
      <c r="B217" s="61" t="s">
        <v>1628</v>
      </c>
      <c r="C217" s="45" t="s">
        <v>449</v>
      </c>
      <c r="D217" s="61" t="s">
        <v>1688</v>
      </c>
      <c r="E217" s="11" t="s">
        <v>29</v>
      </c>
    </row>
    <row r="218">
      <c r="B218" s="61" t="s">
        <v>1685</v>
      </c>
      <c r="C218" s="45" t="s">
        <v>251</v>
      </c>
      <c r="D218" s="61" t="s">
        <v>1687</v>
      </c>
      <c r="E218" s="11" t="s">
        <v>33</v>
      </c>
    </row>
    <row r="219">
      <c r="B219" s="56" t="s">
        <v>1686</v>
      </c>
      <c r="C219" s="45" t="s">
        <v>229</v>
      </c>
      <c r="D219" s="61" t="s">
        <v>1688</v>
      </c>
      <c r="E219" s="11" t="s">
        <v>29</v>
      </c>
    </row>
    <row r="220">
      <c r="B220" s="61" t="s">
        <v>1628</v>
      </c>
      <c r="C220" s="45" t="s">
        <v>36</v>
      </c>
      <c r="D220" s="61" t="s">
        <v>1687</v>
      </c>
      <c r="E220" s="11" t="s">
        <v>33</v>
      </c>
    </row>
    <row r="221">
      <c r="B221" s="52" t="s">
        <v>1560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738</v>
      </c>
      <c r="C223" s="57" t="s">
        <v>161</v>
      </c>
      <c r="D223" s="62" t="s">
        <v>971</v>
      </c>
      <c r="E223" s="11" t="s">
        <v>9</v>
      </c>
    </row>
    <row r="224">
      <c r="B224" s="62" t="s">
        <v>367</v>
      </c>
      <c r="C224" s="57" t="s">
        <v>194</v>
      </c>
      <c r="D224" s="62" t="s">
        <v>1562</v>
      </c>
      <c r="E224" s="11" t="s">
        <v>13</v>
      </c>
    </row>
    <row r="225">
      <c r="B225" s="62" t="s">
        <v>1167</v>
      </c>
      <c r="C225" s="57" t="s">
        <v>219</v>
      </c>
      <c r="D225" s="62" t="s">
        <v>738</v>
      </c>
      <c r="E225" s="11" t="s">
        <v>9</v>
      </c>
    </row>
    <row r="226">
      <c r="B226" s="62" t="s">
        <v>367</v>
      </c>
      <c r="C226" s="57" t="s">
        <v>18</v>
      </c>
      <c r="D226" s="62" t="s">
        <v>971</v>
      </c>
      <c r="E226" s="11" t="s">
        <v>13</v>
      </c>
    </row>
    <row r="227">
      <c r="B227" s="62" t="s">
        <v>1167</v>
      </c>
      <c r="C227" s="57" t="s">
        <v>164</v>
      </c>
      <c r="D227" s="62" t="s">
        <v>1562</v>
      </c>
      <c r="E227" s="11" t="s">
        <v>9</v>
      </c>
    </row>
    <row r="228">
      <c r="B228" s="62" t="s">
        <v>367</v>
      </c>
      <c r="C228" s="57" t="s">
        <v>194</v>
      </c>
      <c r="D228" s="62" t="s">
        <v>738</v>
      </c>
      <c r="E228" s="11" t="s">
        <v>13</v>
      </c>
    </row>
    <row r="229">
      <c r="B229" s="62" t="s">
        <v>1167</v>
      </c>
      <c r="C229" s="57" t="s">
        <v>162</v>
      </c>
      <c r="D229" s="62" t="s">
        <v>971</v>
      </c>
      <c r="E229" s="11" t="s">
        <v>9</v>
      </c>
    </row>
    <row r="230">
      <c r="B230" s="62" t="s">
        <v>1562</v>
      </c>
      <c r="C230" s="57" t="s">
        <v>1689</v>
      </c>
      <c r="D230" s="62" t="s">
        <v>738</v>
      </c>
      <c r="E230" s="11" t="s">
        <v>13</v>
      </c>
    </row>
    <row r="231">
      <c r="B231" s="62" t="s">
        <v>1167</v>
      </c>
      <c r="C231" s="57" t="s">
        <v>233</v>
      </c>
      <c r="D231" s="62" t="s">
        <v>367</v>
      </c>
      <c r="E231" s="11" t="s">
        <v>9</v>
      </c>
    </row>
    <row r="232">
      <c r="B232" s="62" t="s">
        <v>1562</v>
      </c>
      <c r="C232" s="57" t="s">
        <v>42</v>
      </c>
      <c r="D232" s="62" t="s">
        <v>971</v>
      </c>
      <c r="E232" s="11" t="s">
        <v>13</v>
      </c>
    </row>
    <row r="233">
      <c r="B233" s="62" t="s">
        <v>971</v>
      </c>
      <c r="C233" s="57" t="s">
        <v>195</v>
      </c>
      <c r="D233" s="62" t="s">
        <v>738</v>
      </c>
      <c r="E233" s="11" t="s">
        <v>9</v>
      </c>
    </row>
    <row r="234">
      <c r="B234" s="62" t="s">
        <v>1562</v>
      </c>
      <c r="C234" s="57" t="s">
        <v>250</v>
      </c>
      <c r="D234" s="62" t="s">
        <v>367</v>
      </c>
      <c r="E234" s="11" t="s">
        <v>13</v>
      </c>
    </row>
    <row r="235">
      <c r="B235" s="62" t="s">
        <v>738</v>
      </c>
      <c r="C235" s="45" t="s">
        <v>208</v>
      </c>
      <c r="D235" s="62" t="s">
        <v>1167</v>
      </c>
      <c r="E235" s="11" t="s">
        <v>9</v>
      </c>
    </row>
    <row r="236">
      <c r="B236" s="62" t="s">
        <v>971</v>
      </c>
      <c r="C236" s="45" t="s">
        <v>163</v>
      </c>
      <c r="D236" s="62" t="s">
        <v>367</v>
      </c>
      <c r="E236" s="11" t="s">
        <v>13</v>
      </c>
    </row>
    <row r="237">
      <c r="B237" s="62" t="s">
        <v>1562</v>
      </c>
      <c r="C237" s="45" t="s">
        <v>517</v>
      </c>
      <c r="D237" s="62" t="s">
        <v>1167</v>
      </c>
      <c r="E237" s="11" t="s">
        <v>9</v>
      </c>
    </row>
    <row r="238">
      <c r="B238" s="62" t="s">
        <v>738</v>
      </c>
      <c r="C238" s="45" t="s">
        <v>302</v>
      </c>
      <c r="D238" s="62" t="s">
        <v>367</v>
      </c>
      <c r="E238" s="11" t="s">
        <v>13</v>
      </c>
    </row>
    <row r="239">
      <c r="B239" s="62" t="s">
        <v>971</v>
      </c>
      <c r="C239" s="45" t="s">
        <v>18</v>
      </c>
      <c r="D239" s="62" t="s">
        <v>1167</v>
      </c>
      <c r="E239" s="11" t="s">
        <v>9</v>
      </c>
    </row>
    <row r="240">
      <c r="B240" s="62" t="s">
        <v>738</v>
      </c>
      <c r="C240" s="45" t="s">
        <v>158</v>
      </c>
      <c r="D240" s="62" t="s">
        <v>1562</v>
      </c>
      <c r="E240" s="11" t="s">
        <v>13</v>
      </c>
    </row>
    <row r="241">
      <c r="B241" s="62" t="s">
        <v>367</v>
      </c>
      <c r="C241" s="45" t="s">
        <v>181</v>
      </c>
      <c r="D241" s="62" t="s">
        <v>1167</v>
      </c>
      <c r="E241" s="11" t="s">
        <v>9</v>
      </c>
    </row>
    <row r="242">
      <c r="B242" s="62" t="s">
        <v>971</v>
      </c>
      <c r="C242" s="45" t="s">
        <v>177</v>
      </c>
      <c r="D242" s="62" t="s">
        <v>1562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1690</v>
      </c>
      <c r="C245" s="45" t="s">
        <v>41</v>
      </c>
      <c r="D245" s="62" t="s">
        <v>1691</v>
      </c>
      <c r="E245" s="11" t="s">
        <v>9</v>
      </c>
    </row>
    <row r="246">
      <c r="B246" s="62" t="s">
        <v>1692</v>
      </c>
      <c r="C246" s="45" t="s">
        <v>790</v>
      </c>
      <c r="D246" s="62" t="s">
        <v>1693</v>
      </c>
      <c r="E246" s="11" t="s">
        <v>13</v>
      </c>
    </row>
    <row r="247">
      <c r="B247" s="62" t="s">
        <v>1635</v>
      </c>
      <c r="C247" s="45" t="s">
        <v>168</v>
      </c>
      <c r="D247" s="62" t="s">
        <v>1690</v>
      </c>
      <c r="E247" s="11" t="s">
        <v>9</v>
      </c>
    </row>
    <row r="248">
      <c r="B248" s="62" t="s">
        <v>1692</v>
      </c>
      <c r="C248" s="45" t="s">
        <v>16</v>
      </c>
      <c r="D248" s="62" t="s">
        <v>1691</v>
      </c>
      <c r="E248" s="11" t="s">
        <v>13</v>
      </c>
    </row>
    <row r="249">
      <c r="B249" s="62" t="s">
        <v>1635</v>
      </c>
      <c r="C249" s="45" t="s">
        <v>158</v>
      </c>
      <c r="D249" s="62" t="s">
        <v>1693</v>
      </c>
      <c r="E249" s="11" t="s">
        <v>9</v>
      </c>
    </row>
    <row r="250">
      <c r="B250" s="62" t="s">
        <v>1692</v>
      </c>
      <c r="C250" s="45" t="s">
        <v>163</v>
      </c>
      <c r="D250" s="62" t="s">
        <v>1690</v>
      </c>
      <c r="E250" s="11" t="s">
        <v>13</v>
      </c>
    </row>
    <row r="251">
      <c r="B251" s="62" t="s">
        <v>1635</v>
      </c>
      <c r="C251" s="45" t="s">
        <v>23</v>
      </c>
      <c r="D251" s="62" t="s">
        <v>1691</v>
      </c>
      <c r="E251" s="11" t="s">
        <v>9</v>
      </c>
    </row>
    <row r="252">
      <c r="B252" s="62" t="s">
        <v>1693</v>
      </c>
      <c r="C252" s="45" t="s">
        <v>786</v>
      </c>
      <c r="D252" s="62" t="s">
        <v>1690</v>
      </c>
      <c r="E252" s="11" t="s">
        <v>13</v>
      </c>
    </row>
    <row r="253">
      <c r="B253" s="62" t="s">
        <v>1635</v>
      </c>
      <c r="C253" s="45" t="s">
        <v>18</v>
      </c>
      <c r="D253" s="62" t="s">
        <v>1692</v>
      </c>
      <c r="E253" s="11" t="s">
        <v>9</v>
      </c>
    </row>
    <row r="254">
      <c r="B254" s="62" t="s">
        <v>1693</v>
      </c>
      <c r="C254" s="45" t="s">
        <v>194</v>
      </c>
      <c r="D254" s="62" t="s">
        <v>1691</v>
      </c>
      <c r="E254" s="11" t="s">
        <v>13</v>
      </c>
    </row>
    <row r="255">
      <c r="B255" s="62" t="s">
        <v>1691</v>
      </c>
      <c r="C255" s="45" t="s">
        <v>27</v>
      </c>
      <c r="D255" s="62" t="s">
        <v>1690</v>
      </c>
      <c r="E255" s="11" t="s">
        <v>9</v>
      </c>
    </row>
    <row r="256">
      <c r="B256" s="62" t="s">
        <v>1693</v>
      </c>
      <c r="C256" s="45" t="s">
        <v>1472</v>
      </c>
      <c r="D256" s="62" t="s">
        <v>1692</v>
      </c>
      <c r="E256" s="11" t="s">
        <v>13</v>
      </c>
    </row>
    <row r="257">
      <c r="B257" s="62" t="s">
        <v>1690</v>
      </c>
      <c r="C257" s="45" t="s">
        <v>18</v>
      </c>
      <c r="D257" s="62" t="s">
        <v>1635</v>
      </c>
      <c r="E257" s="11" t="s">
        <v>9</v>
      </c>
    </row>
    <row r="258">
      <c r="B258" s="62" t="s">
        <v>1691</v>
      </c>
      <c r="C258" s="45" t="s">
        <v>159</v>
      </c>
      <c r="D258" s="62" t="s">
        <v>1692</v>
      </c>
      <c r="E258" s="11" t="s">
        <v>13</v>
      </c>
    </row>
    <row r="259">
      <c r="B259" s="62" t="s">
        <v>1693</v>
      </c>
      <c r="C259" s="45" t="s">
        <v>158</v>
      </c>
      <c r="D259" s="62" t="s">
        <v>1635</v>
      </c>
      <c r="E259" s="11" t="s">
        <v>9</v>
      </c>
    </row>
    <row r="260">
      <c r="B260" s="62" t="s">
        <v>1690</v>
      </c>
      <c r="C260" s="45" t="s">
        <v>536</v>
      </c>
      <c r="D260" s="62" t="s">
        <v>1692</v>
      </c>
      <c r="E260" s="11" t="s">
        <v>13</v>
      </c>
    </row>
    <row r="261">
      <c r="B261" s="62" t="s">
        <v>1691</v>
      </c>
      <c r="C261" s="45" t="s">
        <v>203</v>
      </c>
      <c r="D261" s="62" t="s">
        <v>1635</v>
      </c>
      <c r="E261" s="11" t="s">
        <v>9</v>
      </c>
    </row>
    <row r="262">
      <c r="B262" s="62" t="s">
        <v>1690</v>
      </c>
      <c r="C262" s="45" t="s">
        <v>324</v>
      </c>
      <c r="D262" s="62" t="s">
        <v>1693</v>
      </c>
      <c r="E262" s="11" t="s">
        <v>13</v>
      </c>
    </row>
    <row r="263">
      <c r="B263" s="62" t="s">
        <v>1692</v>
      </c>
      <c r="C263" s="45" t="s">
        <v>19</v>
      </c>
      <c r="D263" s="62" t="s">
        <v>1635</v>
      </c>
      <c r="E263" s="11" t="s">
        <v>9</v>
      </c>
    </row>
    <row r="264">
      <c r="B264" s="62" t="s">
        <v>1691</v>
      </c>
      <c r="C264" s="45" t="s">
        <v>220</v>
      </c>
      <c r="D264" s="62" t="s">
        <v>1693</v>
      </c>
      <c r="E264" s="11" t="s">
        <v>13</v>
      </c>
    </row>
    <row r="265">
      <c r="B265" s="52" t="s">
        <v>1573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1694</v>
      </c>
      <c r="C267" s="45" t="s">
        <v>220</v>
      </c>
      <c r="D267" s="62" t="s">
        <v>1695</v>
      </c>
      <c r="E267" s="11" t="s">
        <v>29</v>
      </c>
    </row>
    <row r="268">
      <c r="B268" s="56" t="s">
        <v>1696</v>
      </c>
      <c r="C268" s="45" t="s">
        <v>278</v>
      </c>
      <c r="D268" s="62" t="s">
        <v>1697</v>
      </c>
      <c r="E268" s="11" t="s">
        <v>33</v>
      </c>
    </row>
    <row r="269">
      <c r="B269" s="62" t="s">
        <v>1642</v>
      </c>
      <c r="C269" s="45" t="s">
        <v>209</v>
      </c>
      <c r="D269" s="62" t="s">
        <v>1694</v>
      </c>
      <c r="E269" s="11" t="s">
        <v>29</v>
      </c>
    </row>
    <row r="270">
      <c r="B270" s="56" t="s">
        <v>1696</v>
      </c>
      <c r="C270" s="45" t="s">
        <v>155</v>
      </c>
      <c r="D270" s="62" t="s">
        <v>1695</v>
      </c>
      <c r="E270" s="11" t="s">
        <v>33</v>
      </c>
    </row>
    <row r="271">
      <c r="B271" s="62" t="s">
        <v>1642</v>
      </c>
      <c r="C271" s="45" t="s">
        <v>185</v>
      </c>
      <c r="D271" s="62" t="s">
        <v>1697</v>
      </c>
      <c r="E271" s="11" t="s">
        <v>29</v>
      </c>
    </row>
    <row r="272">
      <c r="B272" s="56" t="s">
        <v>1696</v>
      </c>
      <c r="C272" s="45" t="s">
        <v>1120</v>
      </c>
      <c r="D272" s="62" t="s">
        <v>1694</v>
      </c>
      <c r="E272" s="11" t="s">
        <v>33</v>
      </c>
    </row>
    <row r="273">
      <c r="B273" s="62" t="s">
        <v>1642</v>
      </c>
      <c r="C273" s="45" t="s">
        <v>231</v>
      </c>
      <c r="D273" s="62" t="s">
        <v>1695</v>
      </c>
      <c r="E273" s="11" t="s">
        <v>29</v>
      </c>
    </row>
    <row r="274">
      <c r="B274" s="62" t="s">
        <v>1697</v>
      </c>
      <c r="C274" s="45" t="s">
        <v>301</v>
      </c>
      <c r="D274" s="62" t="s">
        <v>1694</v>
      </c>
      <c r="E274" s="11" t="s">
        <v>33</v>
      </c>
    </row>
    <row r="275">
      <c r="B275" s="62" t="s">
        <v>1642</v>
      </c>
      <c r="C275" s="45" t="s">
        <v>7</v>
      </c>
      <c r="D275" s="56" t="s">
        <v>1696</v>
      </c>
      <c r="E275" s="11" t="s">
        <v>29</v>
      </c>
    </row>
    <row r="276">
      <c r="B276" s="62" t="s">
        <v>1697</v>
      </c>
      <c r="C276" s="45" t="s">
        <v>20</v>
      </c>
      <c r="D276" s="62" t="s">
        <v>1695</v>
      </c>
      <c r="E276" s="11" t="s">
        <v>33</v>
      </c>
    </row>
    <row r="277">
      <c r="B277" s="62" t="s">
        <v>1695</v>
      </c>
      <c r="C277" s="45" t="s">
        <v>16</v>
      </c>
      <c r="D277" s="62" t="s">
        <v>1694</v>
      </c>
      <c r="E277" s="11" t="s">
        <v>29</v>
      </c>
    </row>
    <row r="278">
      <c r="B278" s="62" t="s">
        <v>1697</v>
      </c>
      <c r="C278" s="45" t="s">
        <v>443</v>
      </c>
      <c r="D278" s="56" t="s">
        <v>1696</v>
      </c>
      <c r="E278" s="11" t="s">
        <v>33</v>
      </c>
    </row>
    <row r="279">
      <c r="B279" s="62" t="s">
        <v>1694</v>
      </c>
      <c r="C279" s="45" t="s">
        <v>1675</v>
      </c>
      <c r="D279" s="62" t="s">
        <v>1642</v>
      </c>
      <c r="E279" s="11" t="s">
        <v>29</v>
      </c>
    </row>
    <row r="280">
      <c r="B280" s="62" t="s">
        <v>1695</v>
      </c>
      <c r="C280" s="45" t="s">
        <v>165</v>
      </c>
      <c r="D280" s="56" t="s">
        <v>1696</v>
      </c>
      <c r="E280" s="11" t="s">
        <v>33</v>
      </c>
    </row>
    <row r="281">
      <c r="B281" s="62" t="s">
        <v>1697</v>
      </c>
      <c r="C281" s="45" t="s">
        <v>517</v>
      </c>
      <c r="D281" s="62" t="s">
        <v>1642</v>
      </c>
      <c r="E281" s="11" t="s">
        <v>29</v>
      </c>
    </row>
    <row r="282">
      <c r="B282" s="62" t="s">
        <v>1694</v>
      </c>
      <c r="C282" s="45" t="s">
        <v>394</v>
      </c>
      <c r="D282" s="56" t="s">
        <v>1696</v>
      </c>
      <c r="E282" s="11" t="s">
        <v>33</v>
      </c>
    </row>
    <row r="283">
      <c r="B283" s="62" t="s">
        <v>1695</v>
      </c>
      <c r="C283" s="45" t="s">
        <v>251</v>
      </c>
      <c r="D283" s="62" t="s">
        <v>1642</v>
      </c>
      <c r="E283" s="11" t="s">
        <v>29</v>
      </c>
    </row>
    <row r="284">
      <c r="B284" s="62" t="s">
        <v>1694</v>
      </c>
      <c r="C284" s="45" t="s">
        <v>177</v>
      </c>
      <c r="D284" s="62" t="s">
        <v>1697</v>
      </c>
      <c r="E284" s="11" t="s">
        <v>33</v>
      </c>
    </row>
    <row r="285">
      <c r="B285" s="56" t="s">
        <v>1696</v>
      </c>
      <c r="C285" s="45" t="s">
        <v>319</v>
      </c>
      <c r="D285" s="62" t="s">
        <v>1642</v>
      </c>
      <c r="E285" s="11" t="s">
        <v>29</v>
      </c>
    </row>
    <row r="286">
      <c r="B286" s="62" t="s">
        <v>1695</v>
      </c>
      <c r="C286" s="45" t="s">
        <v>7</v>
      </c>
      <c r="D286" s="62" t="s">
        <v>1697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1698</v>
      </c>
      <c r="C289" s="45" t="s">
        <v>24</v>
      </c>
      <c r="D289" s="62" t="s">
        <v>453</v>
      </c>
      <c r="E289" s="11" t="s">
        <v>29</v>
      </c>
    </row>
    <row r="290">
      <c r="B290" s="56" t="s">
        <v>1699</v>
      </c>
      <c r="C290" s="45" t="s">
        <v>14</v>
      </c>
      <c r="D290" s="62" t="s">
        <v>1376</v>
      </c>
      <c r="E290" s="11" t="s">
        <v>33</v>
      </c>
    </row>
    <row r="291">
      <c r="B291" s="62" t="s">
        <v>1700</v>
      </c>
      <c r="C291" s="45" t="s">
        <v>218</v>
      </c>
      <c r="D291" s="62" t="s">
        <v>1698</v>
      </c>
      <c r="E291" s="11" t="s">
        <v>29</v>
      </c>
    </row>
    <row r="292">
      <c r="B292" s="56" t="s">
        <v>1699</v>
      </c>
      <c r="C292" s="45" t="s">
        <v>219</v>
      </c>
      <c r="D292" s="62" t="s">
        <v>453</v>
      </c>
      <c r="E292" s="11" t="s">
        <v>33</v>
      </c>
    </row>
    <row r="293">
      <c r="B293" s="62" t="s">
        <v>1700</v>
      </c>
      <c r="C293" s="45" t="s">
        <v>290</v>
      </c>
      <c r="D293" s="62" t="s">
        <v>1376</v>
      </c>
      <c r="E293" s="11" t="s">
        <v>29</v>
      </c>
    </row>
    <row r="294">
      <c r="B294" s="56" t="s">
        <v>1699</v>
      </c>
      <c r="C294" s="45" t="s">
        <v>545</v>
      </c>
      <c r="D294" s="62" t="s">
        <v>1698</v>
      </c>
      <c r="E294" s="11" t="s">
        <v>33</v>
      </c>
    </row>
    <row r="295">
      <c r="B295" s="62" t="s">
        <v>1700</v>
      </c>
      <c r="C295" s="45" t="s">
        <v>239</v>
      </c>
      <c r="D295" s="62" t="s">
        <v>453</v>
      </c>
      <c r="E295" s="11" t="s">
        <v>29</v>
      </c>
    </row>
    <row r="296">
      <c r="B296" s="62" t="s">
        <v>1376</v>
      </c>
      <c r="C296" s="45" t="s">
        <v>1701</v>
      </c>
      <c r="D296" s="62" t="s">
        <v>1698</v>
      </c>
      <c r="E296" s="11" t="s">
        <v>33</v>
      </c>
    </row>
    <row r="297">
      <c r="B297" s="62" t="s">
        <v>1700</v>
      </c>
      <c r="C297" s="45" t="s">
        <v>545</v>
      </c>
      <c r="D297" s="56" t="s">
        <v>1699</v>
      </c>
      <c r="E297" s="11" t="s">
        <v>29</v>
      </c>
    </row>
    <row r="298">
      <c r="B298" s="62" t="s">
        <v>1376</v>
      </c>
      <c r="C298" s="45" t="s">
        <v>291</v>
      </c>
      <c r="D298" s="62" t="s">
        <v>453</v>
      </c>
      <c r="E298" s="11" t="s">
        <v>33</v>
      </c>
    </row>
    <row r="299">
      <c r="B299" s="62" t="s">
        <v>453</v>
      </c>
      <c r="C299" s="45" t="s">
        <v>1079</v>
      </c>
      <c r="D299" s="62" t="s">
        <v>1698</v>
      </c>
      <c r="E299" s="11" t="s">
        <v>29</v>
      </c>
    </row>
    <row r="300">
      <c r="B300" s="62" t="s">
        <v>1376</v>
      </c>
      <c r="C300" s="45" t="s">
        <v>185</v>
      </c>
      <c r="D300" s="56" t="s">
        <v>1699</v>
      </c>
      <c r="E300" s="11" t="s">
        <v>33</v>
      </c>
    </row>
    <row r="301">
      <c r="B301" s="62" t="s">
        <v>1698</v>
      </c>
      <c r="C301" s="45" t="s">
        <v>162</v>
      </c>
      <c r="D301" s="62" t="s">
        <v>1700</v>
      </c>
      <c r="E301" s="11" t="s">
        <v>29</v>
      </c>
    </row>
    <row r="302">
      <c r="B302" s="62" t="s">
        <v>453</v>
      </c>
      <c r="C302" s="45" t="s">
        <v>198</v>
      </c>
      <c r="D302" s="56" t="s">
        <v>1699</v>
      </c>
      <c r="E302" s="11" t="s">
        <v>33</v>
      </c>
    </row>
    <row r="303">
      <c r="B303" s="62" t="s">
        <v>1376</v>
      </c>
      <c r="C303" s="45" t="s">
        <v>41</v>
      </c>
      <c r="D303" s="62" t="s">
        <v>1700</v>
      </c>
      <c r="E303" s="11" t="s">
        <v>29</v>
      </c>
    </row>
    <row r="304">
      <c r="B304" s="62" t="s">
        <v>1698</v>
      </c>
      <c r="C304" s="45" t="s">
        <v>181</v>
      </c>
      <c r="D304" s="56" t="s">
        <v>1699</v>
      </c>
      <c r="E304" s="11" t="s">
        <v>33</v>
      </c>
    </row>
    <row r="305">
      <c r="B305" s="62" t="s">
        <v>453</v>
      </c>
      <c r="C305" s="45" t="s">
        <v>418</v>
      </c>
      <c r="D305" s="62" t="s">
        <v>1700</v>
      </c>
      <c r="E305" s="11" t="s">
        <v>29</v>
      </c>
    </row>
    <row r="306">
      <c r="B306" s="62" t="s">
        <v>1698</v>
      </c>
      <c r="C306" s="45" t="s">
        <v>20</v>
      </c>
      <c r="D306" s="62" t="s">
        <v>1376</v>
      </c>
      <c r="E306" s="11" t="s">
        <v>33</v>
      </c>
    </row>
    <row r="307">
      <c r="B307" s="56" t="s">
        <v>1699</v>
      </c>
      <c r="C307" s="45" t="s">
        <v>219</v>
      </c>
      <c r="D307" s="62" t="s">
        <v>1700</v>
      </c>
      <c r="E307" s="11" t="s">
        <v>29</v>
      </c>
    </row>
    <row r="308">
      <c r="B308" s="62" t="s">
        <v>453</v>
      </c>
      <c r="C308" s="45" t="s">
        <v>39</v>
      </c>
      <c r="D308" s="62" t="s">
        <v>1376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1702</v>
      </c>
      <c r="C311" s="57" t="s">
        <v>195</v>
      </c>
      <c r="D311" s="62" t="s">
        <v>1703</v>
      </c>
      <c r="E311" s="11" t="s">
        <v>9</v>
      </c>
    </row>
    <row r="312">
      <c r="B312" s="62" t="s">
        <v>1704</v>
      </c>
      <c r="C312" s="57" t="s">
        <v>1402</v>
      </c>
      <c r="D312" s="62" t="s">
        <v>1705</v>
      </c>
      <c r="E312" s="11" t="s">
        <v>13</v>
      </c>
    </row>
    <row r="313">
      <c r="B313" s="62" t="s">
        <v>1646</v>
      </c>
      <c r="C313" s="57" t="s">
        <v>181</v>
      </c>
      <c r="D313" s="62" t="s">
        <v>1702</v>
      </c>
      <c r="E313" s="11" t="s">
        <v>9</v>
      </c>
    </row>
    <row r="314">
      <c r="B314" s="62" t="s">
        <v>1704</v>
      </c>
      <c r="C314" s="57" t="s">
        <v>173</v>
      </c>
      <c r="D314" s="62" t="s">
        <v>1703</v>
      </c>
      <c r="E314" s="11" t="s">
        <v>13</v>
      </c>
    </row>
    <row r="315">
      <c r="B315" s="62" t="s">
        <v>1646</v>
      </c>
      <c r="C315" s="57" t="s">
        <v>898</v>
      </c>
      <c r="D315" s="62" t="s">
        <v>1705</v>
      </c>
      <c r="E315" s="11" t="s">
        <v>9</v>
      </c>
    </row>
    <row r="316">
      <c r="B316" s="62" t="s">
        <v>1704</v>
      </c>
      <c r="C316" s="57" t="s">
        <v>219</v>
      </c>
      <c r="D316" s="62" t="s">
        <v>1702</v>
      </c>
      <c r="E316" s="11" t="s">
        <v>13</v>
      </c>
    </row>
    <row r="317">
      <c r="B317" s="62" t="s">
        <v>1646</v>
      </c>
      <c r="C317" s="57" t="s">
        <v>38</v>
      </c>
      <c r="D317" s="62" t="s">
        <v>1703</v>
      </c>
      <c r="E317" s="11" t="s">
        <v>9</v>
      </c>
    </row>
    <row r="318">
      <c r="B318" s="62" t="s">
        <v>1705</v>
      </c>
      <c r="C318" s="57" t="s">
        <v>464</v>
      </c>
      <c r="D318" s="62" t="s">
        <v>1702</v>
      </c>
      <c r="E318" s="11" t="s">
        <v>13</v>
      </c>
    </row>
    <row r="319">
      <c r="B319" s="62" t="s">
        <v>1646</v>
      </c>
      <c r="C319" s="57" t="s">
        <v>195</v>
      </c>
      <c r="D319" s="62" t="s">
        <v>1704</v>
      </c>
      <c r="E319" s="11" t="s">
        <v>9</v>
      </c>
    </row>
    <row r="320">
      <c r="B320" s="62" t="s">
        <v>1705</v>
      </c>
      <c r="C320" s="57" t="s">
        <v>336</v>
      </c>
      <c r="D320" s="62" t="s">
        <v>1703</v>
      </c>
      <c r="E320" s="11" t="s">
        <v>13</v>
      </c>
    </row>
    <row r="321">
      <c r="B321" s="62" t="s">
        <v>1703</v>
      </c>
      <c r="C321" s="57" t="s">
        <v>344</v>
      </c>
      <c r="D321" s="62" t="s">
        <v>1702</v>
      </c>
      <c r="E321" s="11" t="s">
        <v>9</v>
      </c>
    </row>
    <row r="322">
      <c r="B322" s="62" t="s">
        <v>1705</v>
      </c>
      <c r="C322" s="57" t="s">
        <v>38</v>
      </c>
      <c r="D322" s="62" t="s">
        <v>1704</v>
      </c>
      <c r="E322" s="11" t="s">
        <v>13</v>
      </c>
    </row>
    <row r="323">
      <c r="B323" s="62" t="s">
        <v>1702</v>
      </c>
      <c r="C323" s="45" t="s">
        <v>193</v>
      </c>
      <c r="D323" s="62" t="s">
        <v>1646</v>
      </c>
      <c r="E323" s="11" t="s">
        <v>9</v>
      </c>
    </row>
    <row r="324">
      <c r="B324" s="62" t="s">
        <v>1703</v>
      </c>
      <c r="C324" s="45" t="s">
        <v>464</v>
      </c>
      <c r="D324" s="62" t="s">
        <v>1704</v>
      </c>
      <c r="E324" s="11" t="s">
        <v>13</v>
      </c>
    </row>
    <row r="325">
      <c r="B325" s="62" t="s">
        <v>1705</v>
      </c>
      <c r="C325" s="45" t="s">
        <v>183</v>
      </c>
      <c r="D325" s="62" t="s">
        <v>1646</v>
      </c>
      <c r="E325" s="11" t="s">
        <v>9</v>
      </c>
    </row>
    <row r="326">
      <c r="B326" s="62" t="s">
        <v>1702</v>
      </c>
      <c r="C326" s="45" t="s">
        <v>16</v>
      </c>
      <c r="D326" s="62" t="s">
        <v>1704</v>
      </c>
      <c r="E326" s="11" t="s">
        <v>13</v>
      </c>
    </row>
    <row r="327">
      <c r="B327" s="62" t="s">
        <v>1703</v>
      </c>
      <c r="C327" s="45" t="s">
        <v>196</v>
      </c>
      <c r="D327" s="62" t="s">
        <v>1646</v>
      </c>
      <c r="E327" s="11" t="s">
        <v>9</v>
      </c>
    </row>
    <row r="328">
      <c r="B328" s="62" t="s">
        <v>1702</v>
      </c>
      <c r="C328" s="45" t="s">
        <v>1706</v>
      </c>
      <c r="D328" s="62" t="s">
        <v>1705</v>
      </c>
      <c r="E328" s="11" t="s">
        <v>13</v>
      </c>
    </row>
    <row r="329">
      <c r="B329" s="62" t="s">
        <v>1704</v>
      </c>
      <c r="C329" s="45" t="s">
        <v>155</v>
      </c>
      <c r="D329" s="62" t="s">
        <v>1646</v>
      </c>
      <c r="E329" s="11" t="s">
        <v>9</v>
      </c>
    </row>
    <row r="330">
      <c r="B330" s="62" t="s">
        <v>1703</v>
      </c>
      <c r="C330" s="45" t="s">
        <v>279</v>
      </c>
      <c r="D330" s="62" t="s">
        <v>1705</v>
      </c>
      <c r="E330" s="11" t="s">
        <v>13</v>
      </c>
    </row>
    <row r="331">
      <c r="B331" s="52" t="s">
        <v>1588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1707</v>
      </c>
      <c r="C333" s="45" t="s">
        <v>251</v>
      </c>
      <c r="D333" s="62" t="s">
        <v>1708</v>
      </c>
      <c r="E333" s="11" t="s">
        <v>29</v>
      </c>
    </row>
    <row r="334">
      <c r="B334" s="62" t="s">
        <v>992</v>
      </c>
      <c r="C334" s="45" t="s">
        <v>218</v>
      </c>
      <c r="D334" s="62" t="s">
        <v>821</v>
      </c>
      <c r="E334" s="11" t="s">
        <v>33</v>
      </c>
    </row>
    <row r="335">
      <c r="B335" s="62" t="s">
        <v>495</v>
      </c>
      <c r="C335" s="45" t="s">
        <v>354</v>
      </c>
      <c r="D335" s="62" t="s">
        <v>1707</v>
      </c>
      <c r="E335" s="11" t="s">
        <v>29</v>
      </c>
    </row>
    <row r="336">
      <c r="B336" s="62" t="s">
        <v>992</v>
      </c>
      <c r="C336" s="45" t="s">
        <v>23</v>
      </c>
      <c r="D336" s="62" t="s">
        <v>1708</v>
      </c>
      <c r="E336" s="11" t="s">
        <v>33</v>
      </c>
    </row>
    <row r="337">
      <c r="B337" s="62" t="s">
        <v>495</v>
      </c>
      <c r="C337" s="45" t="s">
        <v>23</v>
      </c>
      <c r="D337" s="62" t="s">
        <v>821</v>
      </c>
      <c r="E337" s="11" t="s">
        <v>29</v>
      </c>
    </row>
    <row r="338">
      <c r="B338" s="62" t="s">
        <v>992</v>
      </c>
      <c r="C338" s="45" t="s">
        <v>534</v>
      </c>
      <c r="D338" s="62" t="s">
        <v>1707</v>
      </c>
      <c r="E338" s="11" t="s">
        <v>33</v>
      </c>
    </row>
    <row r="339">
      <c r="B339" s="62" t="s">
        <v>495</v>
      </c>
      <c r="C339" s="45" t="s">
        <v>158</v>
      </c>
      <c r="D339" s="62" t="s">
        <v>1708</v>
      </c>
      <c r="E339" s="11" t="s">
        <v>29</v>
      </c>
    </row>
    <row r="340">
      <c r="B340" s="62" t="s">
        <v>821</v>
      </c>
      <c r="C340" s="45" t="s">
        <v>225</v>
      </c>
      <c r="D340" s="62" t="s">
        <v>1707</v>
      </c>
      <c r="E340" s="11" t="s">
        <v>33</v>
      </c>
    </row>
    <row r="341">
      <c r="B341" s="62" t="s">
        <v>495</v>
      </c>
      <c r="C341" s="45" t="s">
        <v>574</v>
      </c>
      <c r="D341" s="62" t="s">
        <v>992</v>
      </c>
      <c r="E341" s="11" t="s">
        <v>29</v>
      </c>
    </row>
    <row r="342">
      <c r="B342" s="62" t="s">
        <v>821</v>
      </c>
      <c r="C342" s="45" t="s">
        <v>395</v>
      </c>
      <c r="D342" s="62" t="s">
        <v>1708</v>
      </c>
      <c r="E342" s="11" t="s">
        <v>33</v>
      </c>
    </row>
    <row r="343">
      <c r="B343" s="62" t="s">
        <v>1708</v>
      </c>
      <c r="C343" s="45" t="s">
        <v>357</v>
      </c>
      <c r="D343" s="62" t="s">
        <v>1707</v>
      </c>
      <c r="E343" s="11" t="s">
        <v>29</v>
      </c>
    </row>
    <row r="344">
      <c r="B344" s="62" t="s">
        <v>821</v>
      </c>
      <c r="C344" s="45" t="s">
        <v>155</v>
      </c>
      <c r="D344" s="62" t="s">
        <v>992</v>
      </c>
      <c r="E344" s="11" t="s">
        <v>33</v>
      </c>
    </row>
    <row r="345">
      <c r="B345" s="62" t="s">
        <v>1707</v>
      </c>
      <c r="C345" s="45" t="s">
        <v>185</v>
      </c>
      <c r="D345" s="62" t="s">
        <v>495</v>
      </c>
      <c r="E345" s="11" t="s">
        <v>29</v>
      </c>
    </row>
    <row r="346">
      <c r="B346" s="62" t="s">
        <v>1708</v>
      </c>
      <c r="C346" s="45" t="s">
        <v>250</v>
      </c>
      <c r="D346" s="62" t="s">
        <v>992</v>
      </c>
      <c r="E346" s="11" t="s">
        <v>33</v>
      </c>
    </row>
    <row r="347">
      <c r="B347" s="62" t="s">
        <v>821</v>
      </c>
      <c r="C347" s="45" t="s">
        <v>477</v>
      </c>
      <c r="D347" s="62" t="s">
        <v>495</v>
      </c>
      <c r="E347" s="11" t="s">
        <v>29</v>
      </c>
    </row>
    <row r="348">
      <c r="B348" s="62" t="s">
        <v>1707</v>
      </c>
      <c r="C348" s="45" t="s">
        <v>162</v>
      </c>
      <c r="D348" s="62" t="s">
        <v>992</v>
      </c>
      <c r="E348" s="11" t="s">
        <v>33</v>
      </c>
    </row>
    <row r="349">
      <c r="B349" s="62" t="s">
        <v>1708</v>
      </c>
      <c r="C349" s="45" t="s">
        <v>426</v>
      </c>
      <c r="D349" s="62" t="s">
        <v>495</v>
      </c>
      <c r="E349" s="11" t="s">
        <v>29</v>
      </c>
    </row>
    <row r="350">
      <c r="B350" s="62" t="s">
        <v>1707</v>
      </c>
      <c r="C350" s="45" t="s">
        <v>232</v>
      </c>
      <c r="D350" s="62" t="s">
        <v>821</v>
      </c>
      <c r="E350" s="11" t="s">
        <v>33</v>
      </c>
    </row>
    <row r="351">
      <c r="B351" s="62" t="s">
        <v>992</v>
      </c>
      <c r="C351" s="45" t="s">
        <v>248</v>
      </c>
      <c r="D351" s="62" t="s">
        <v>495</v>
      </c>
      <c r="E351" s="11" t="s">
        <v>29</v>
      </c>
    </row>
    <row r="352">
      <c r="B352" s="62" t="s">
        <v>1708</v>
      </c>
      <c r="C352" s="45" t="s">
        <v>464</v>
      </c>
      <c r="D352" s="62" t="s">
        <v>821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861</v>
      </c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56" t="s">
        <v>154</v>
      </c>
      <c r="C3" s="45" t="s">
        <v>233</v>
      </c>
      <c r="D3" s="62" t="s">
        <v>1709</v>
      </c>
      <c r="E3" s="11" t="s">
        <v>29</v>
      </c>
    </row>
    <row r="4">
      <c r="A4" s="90"/>
      <c r="B4" s="61" t="s">
        <v>1126</v>
      </c>
      <c r="C4" s="45" t="s">
        <v>301</v>
      </c>
      <c r="D4" s="61" t="s">
        <v>1710</v>
      </c>
      <c r="E4" s="11" t="s">
        <v>33</v>
      </c>
    </row>
    <row r="5">
      <c r="A5" s="90"/>
      <c r="B5" s="62" t="s">
        <v>134</v>
      </c>
      <c r="C5" s="45" t="s">
        <v>173</v>
      </c>
      <c r="D5" s="56" t="s">
        <v>154</v>
      </c>
      <c r="E5" s="11" t="s">
        <v>29</v>
      </c>
    </row>
    <row r="6">
      <c r="A6" s="90"/>
      <c r="B6" s="61" t="s">
        <v>1126</v>
      </c>
      <c r="C6" s="45" t="s">
        <v>163</v>
      </c>
      <c r="D6" s="62" t="s">
        <v>1709</v>
      </c>
      <c r="E6" s="11" t="s">
        <v>33</v>
      </c>
    </row>
    <row r="7">
      <c r="A7" s="90"/>
      <c r="B7" s="62" t="s">
        <v>134</v>
      </c>
      <c r="C7" s="45" t="s">
        <v>173</v>
      </c>
      <c r="D7" s="61" t="s">
        <v>1710</v>
      </c>
      <c r="E7" s="11" t="s">
        <v>29</v>
      </c>
    </row>
    <row r="8">
      <c r="A8" s="90"/>
      <c r="B8" s="61" t="s">
        <v>1126</v>
      </c>
      <c r="C8" s="45" t="s">
        <v>158</v>
      </c>
      <c r="D8" s="56" t="s">
        <v>154</v>
      </c>
      <c r="E8" s="11" t="s">
        <v>33</v>
      </c>
    </row>
    <row r="9">
      <c r="A9" s="90"/>
      <c r="B9" s="62" t="s">
        <v>134</v>
      </c>
      <c r="C9" s="45" t="s">
        <v>16</v>
      </c>
      <c r="D9" s="62" t="s">
        <v>1709</v>
      </c>
      <c r="E9" s="11" t="s">
        <v>29</v>
      </c>
    </row>
    <row r="10">
      <c r="A10" s="90"/>
      <c r="B10" s="61" t="s">
        <v>1710</v>
      </c>
      <c r="C10" s="45" t="s">
        <v>162</v>
      </c>
      <c r="D10" s="56" t="s">
        <v>154</v>
      </c>
      <c r="E10" s="11" t="s">
        <v>33</v>
      </c>
    </row>
    <row r="11">
      <c r="A11" s="90"/>
      <c r="B11" s="62" t="s">
        <v>134</v>
      </c>
      <c r="C11" s="45" t="s">
        <v>23</v>
      </c>
      <c r="D11" s="61" t="s">
        <v>1126</v>
      </c>
      <c r="E11" s="11" t="s">
        <v>29</v>
      </c>
    </row>
    <row r="12">
      <c r="A12" s="90"/>
      <c r="B12" s="61" t="s">
        <v>1710</v>
      </c>
      <c r="C12" s="45" t="s">
        <v>404</v>
      </c>
      <c r="D12" s="62" t="s">
        <v>1709</v>
      </c>
      <c r="E12" s="11" t="s">
        <v>33</v>
      </c>
    </row>
    <row r="13">
      <c r="A13" s="90"/>
      <c r="B13" s="62" t="s">
        <v>1709</v>
      </c>
      <c r="C13" s="45" t="s">
        <v>18</v>
      </c>
      <c r="D13" s="56" t="s">
        <v>154</v>
      </c>
      <c r="E13" s="11" t="s">
        <v>29</v>
      </c>
    </row>
    <row r="14">
      <c r="A14" s="90"/>
      <c r="B14" s="61" t="s">
        <v>1710</v>
      </c>
      <c r="C14" s="45" t="s">
        <v>208</v>
      </c>
      <c r="D14" s="61" t="s">
        <v>1126</v>
      </c>
      <c r="E14" s="11" t="s">
        <v>33</v>
      </c>
    </row>
    <row r="15">
      <c r="A15" s="90"/>
      <c r="B15" s="56" t="s">
        <v>154</v>
      </c>
      <c r="C15" s="45" t="s">
        <v>18</v>
      </c>
      <c r="D15" s="62" t="s">
        <v>134</v>
      </c>
      <c r="E15" s="11" t="s">
        <v>29</v>
      </c>
    </row>
    <row r="16">
      <c r="A16" s="90"/>
      <c r="B16" s="62" t="s">
        <v>1709</v>
      </c>
      <c r="C16" s="45" t="s">
        <v>18</v>
      </c>
      <c r="D16" s="61" t="s">
        <v>1126</v>
      </c>
      <c r="E16" s="11" t="s">
        <v>33</v>
      </c>
    </row>
    <row r="17">
      <c r="A17" s="90"/>
      <c r="B17" s="61" t="s">
        <v>1710</v>
      </c>
      <c r="C17" s="45" t="s">
        <v>162</v>
      </c>
      <c r="D17" s="62" t="s">
        <v>134</v>
      </c>
      <c r="E17" s="11" t="s">
        <v>29</v>
      </c>
    </row>
    <row r="18">
      <c r="A18" s="90"/>
      <c r="B18" s="56" t="s">
        <v>154</v>
      </c>
      <c r="C18" s="45" t="s">
        <v>184</v>
      </c>
      <c r="D18" s="61" t="s">
        <v>1126</v>
      </c>
      <c r="E18" s="11" t="s">
        <v>33</v>
      </c>
    </row>
    <row r="19">
      <c r="A19" s="90"/>
      <c r="B19" s="62" t="s">
        <v>1709</v>
      </c>
      <c r="C19" s="45" t="s">
        <v>18</v>
      </c>
      <c r="D19" s="62" t="s">
        <v>134</v>
      </c>
      <c r="E19" s="11" t="s">
        <v>29</v>
      </c>
    </row>
    <row r="20">
      <c r="A20" s="90"/>
      <c r="B20" s="56" t="s">
        <v>154</v>
      </c>
      <c r="C20" s="45" t="s">
        <v>313</v>
      </c>
      <c r="D20" s="61" t="s">
        <v>1710</v>
      </c>
      <c r="E20" s="11" t="s">
        <v>33</v>
      </c>
    </row>
    <row r="21">
      <c r="A21" s="90"/>
      <c r="B21" s="61" t="s">
        <v>1126</v>
      </c>
      <c r="C21" s="45" t="s">
        <v>21</v>
      </c>
      <c r="D21" s="62" t="s">
        <v>134</v>
      </c>
      <c r="E21" s="11" t="s">
        <v>29</v>
      </c>
    </row>
    <row r="22">
      <c r="A22" s="90"/>
      <c r="B22" s="62" t="s">
        <v>1709</v>
      </c>
      <c r="C22" s="45" t="s">
        <v>286</v>
      </c>
      <c r="D22" s="61" t="s">
        <v>1710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1518</v>
      </c>
      <c r="C25" s="57" t="s">
        <v>23</v>
      </c>
      <c r="D25" s="61" t="s">
        <v>1711</v>
      </c>
      <c r="E25" s="11" t="s">
        <v>9</v>
      </c>
    </row>
    <row r="26">
      <c r="A26" s="90"/>
      <c r="B26" s="61" t="s">
        <v>1654</v>
      </c>
      <c r="C26" s="57" t="s">
        <v>464</v>
      </c>
      <c r="D26" s="61" t="s">
        <v>1593</v>
      </c>
      <c r="E26" s="11" t="s">
        <v>13</v>
      </c>
    </row>
    <row r="27">
      <c r="A27" s="90"/>
      <c r="B27" s="62" t="s">
        <v>1595</v>
      </c>
      <c r="C27" s="57" t="s">
        <v>208</v>
      </c>
      <c r="D27" s="62" t="s">
        <v>1518</v>
      </c>
      <c r="E27" s="11" t="s">
        <v>9</v>
      </c>
    </row>
    <row r="28">
      <c r="A28" s="90"/>
      <c r="B28" s="61" t="s">
        <v>1654</v>
      </c>
      <c r="C28" s="57" t="s">
        <v>18</v>
      </c>
      <c r="D28" s="61" t="s">
        <v>1711</v>
      </c>
      <c r="E28" s="11" t="s">
        <v>13</v>
      </c>
    </row>
    <row r="29">
      <c r="A29" s="90"/>
      <c r="B29" s="62" t="s">
        <v>1595</v>
      </c>
      <c r="C29" s="57" t="s">
        <v>303</v>
      </c>
      <c r="D29" s="61" t="s">
        <v>1593</v>
      </c>
      <c r="E29" s="11" t="s">
        <v>9</v>
      </c>
    </row>
    <row r="30">
      <c r="A30" s="90"/>
      <c r="B30" s="61" t="s">
        <v>1654</v>
      </c>
      <c r="C30" s="57" t="s">
        <v>219</v>
      </c>
      <c r="D30" s="62" t="s">
        <v>1518</v>
      </c>
      <c r="E30" s="11" t="s">
        <v>13</v>
      </c>
    </row>
    <row r="31">
      <c r="A31" s="90"/>
      <c r="B31" s="62" t="s">
        <v>1595</v>
      </c>
      <c r="C31" s="57" t="s">
        <v>177</v>
      </c>
      <c r="D31" s="61" t="s">
        <v>1711</v>
      </c>
      <c r="E31" s="11" t="s">
        <v>9</v>
      </c>
    </row>
    <row r="32">
      <c r="A32" s="90"/>
      <c r="B32" s="61" t="s">
        <v>1593</v>
      </c>
      <c r="C32" s="57" t="s">
        <v>182</v>
      </c>
      <c r="D32" s="62" t="s">
        <v>1518</v>
      </c>
      <c r="E32" s="11" t="s">
        <v>13</v>
      </c>
    </row>
    <row r="33">
      <c r="A33" s="90"/>
      <c r="B33" s="62" t="s">
        <v>1595</v>
      </c>
      <c r="C33" s="57" t="s">
        <v>418</v>
      </c>
      <c r="D33" s="61" t="s">
        <v>1654</v>
      </c>
      <c r="E33" s="11" t="s">
        <v>9</v>
      </c>
    </row>
    <row r="34">
      <c r="A34" s="90"/>
      <c r="B34" s="61" t="s">
        <v>1593</v>
      </c>
      <c r="C34" s="57" t="s">
        <v>195</v>
      </c>
      <c r="D34" s="61" t="s">
        <v>1711</v>
      </c>
      <c r="E34" s="11" t="s">
        <v>13</v>
      </c>
    </row>
    <row r="35">
      <c r="A35" s="90"/>
      <c r="B35" s="61" t="s">
        <v>1711</v>
      </c>
      <c r="C35" s="57" t="s">
        <v>302</v>
      </c>
      <c r="D35" s="62" t="s">
        <v>1518</v>
      </c>
      <c r="E35" s="11" t="s">
        <v>9</v>
      </c>
    </row>
    <row r="36">
      <c r="A36" s="90"/>
      <c r="B36" s="61" t="s">
        <v>1593</v>
      </c>
      <c r="C36" s="57" t="s">
        <v>218</v>
      </c>
      <c r="D36" s="61" t="s">
        <v>1654</v>
      </c>
      <c r="E36" s="11" t="s">
        <v>13</v>
      </c>
    </row>
    <row r="37">
      <c r="A37" s="90"/>
      <c r="B37" s="62" t="s">
        <v>1518</v>
      </c>
      <c r="C37" s="45" t="s">
        <v>164</v>
      </c>
      <c r="D37" s="62" t="s">
        <v>1595</v>
      </c>
      <c r="E37" s="11" t="s">
        <v>9</v>
      </c>
    </row>
    <row r="38">
      <c r="A38" s="90"/>
      <c r="B38" s="61" t="s">
        <v>1711</v>
      </c>
      <c r="C38" s="45" t="s">
        <v>351</v>
      </c>
      <c r="D38" s="61" t="s">
        <v>1654</v>
      </c>
      <c r="E38" s="11" t="s">
        <v>13</v>
      </c>
    </row>
    <row r="39">
      <c r="A39" s="90"/>
      <c r="B39" s="61" t="s">
        <v>1593</v>
      </c>
      <c r="C39" s="45" t="s">
        <v>41</v>
      </c>
      <c r="D39" s="62" t="s">
        <v>1595</v>
      </c>
      <c r="E39" s="11" t="s">
        <v>9</v>
      </c>
    </row>
    <row r="40">
      <c r="A40" s="90"/>
      <c r="B40" s="62" t="s">
        <v>1518</v>
      </c>
      <c r="C40" s="45" t="s">
        <v>640</v>
      </c>
      <c r="D40" s="61" t="s">
        <v>1654</v>
      </c>
      <c r="E40" s="11" t="s">
        <v>13</v>
      </c>
    </row>
    <row r="41">
      <c r="A41" s="90"/>
      <c r="B41" s="61" t="s">
        <v>1711</v>
      </c>
      <c r="C41" s="45" t="s">
        <v>36</v>
      </c>
      <c r="D41" s="62" t="s">
        <v>1595</v>
      </c>
      <c r="E41" s="11" t="s">
        <v>9</v>
      </c>
    </row>
    <row r="42">
      <c r="A42" s="90"/>
      <c r="B42" s="62" t="s">
        <v>1518</v>
      </c>
      <c r="C42" s="45" t="s">
        <v>194</v>
      </c>
      <c r="D42" s="61" t="s">
        <v>1593</v>
      </c>
      <c r="E42" s="11" t="s">
        <v>13</v>
      </c>
    </row>
    <row r="43">
      <c r="A43" s="90"/>
      <c r="B43" s="61" t="s">
        <v>1654</v>
      </c>
      <c r="C43" s="45" t="s">
        <v>352</v>
      </c>
      <c r="D43" s="62" t="s">
        <v>1595</v>
      </c>
      <c r="E43" s="11" t="s">
        <v>9</v>
      </c>
    </row>
    <row r="44">
      <c r="A44" s="91"/>
      <c r="B44" s="61" t="s">
        <v>1711</v>
      </c>
      <c r="C44" s="45" t="s">
        <v>18</v>
      </c>
      <c r="D44" s="61" t="s">
        <v>1593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56" t="s">
        <v>1521</v>
      </c>
      <c r="C47" s="45" t="s">
        <v>185</v>
      </c>
      <c r="D47" s="61" t="s">
        <v>1712</v>
      </c>
      <c r="E47" s="11" t="s">
        <v>29</v>
      </c>
    </row>
    <row r="48">
      <c r="B48" s="61" t="s">
        <v>781</v>
      </c>
      <c r="C48" s="45" t="s">
        <v>23</v>
      </c>
      <c r="D48" s="61" t="s">
        <v>1713</v>
      </c>
      <c r="E48" s="11" t="s">
        <v>33</v>
      </c>
    </row>
    <row r="49">
      <c r="B49" s="61" t="s">
        <v>1459</v>
      </c>
      <c r="C49" s="45" t="s">
        <v>209</v>
      </c>
      <c r="D49" s="56" t="s">
        <v>1521</v>
      </c>
      <c r="E49" s="11" t="s">
        <v>29</v>
      </c>
    </row>
    <row r="50">
      <c r="B50" s="61" t="s">
        <v>781</v>
      </c>
      <c r="C50" s="45" t="s">
        <v>581</v>
      </c>
      <c r="D50" s="61" t="s">
        <v>1712</v>
      </c>
      <c r="E50" s="11" t="s">
        <v>33</v>
      </c>
    </row>
    <row r="51">
      <c r="B51" s="61" t="s">
        <v>1459</v>
      </c>
      <c r="C51" s="45" t="s">
        <v>17</v>
      </c>
      <c r="D51" s="61" t="s">
        <v>1713</v>
      </c>
      <c r="E51" s="11" t="s">
        <v>29</v>
      </c>
    </row>
    <row r="52">
      <c r="B52" s="61" t="s">
        <v>781</v>
      </c>
      <c r="C52" s="45" t="s">
        <v>290</v>
      </c>
      <c r="D52" s="56" t="s">
        <v>1521</v>
      </c>
      <c r="E52" s="11" t="s">
        <v>33</v>
      </c>
    </row>
    <row r="53">
      <c r="B53" s="61" t="s">
        <v>1459</v>
      </c>
      <c r="C53" s="45" t="s">
        <v>362</v>
      </c>
      <c r="D53" s="61" t="s">
        <v>1712</v>
      </c>
      <c r="E53" s="11" t="s">
        <v>29</v>
      </c>
    </row>
    <row r="54">
      <c r="B54" s="61" t="s">
        <v>1713</v>
      </c>
      <c r="C54" s="45" t="s">
        <v>196</v>
      </c>
      <c r="D54" s="56" t="s">
        <v>1521</v>
      </c>
      <c r="E54" s="11" t="s">
        <v>33</v>
      </c>
    </row>
    <row r="55">
      <c r="B55" s="61" t="s">
        <v>1459</v>
      </c>
      <c r="C55" s="45" t="s">
        <v>487</v>
      </c>
      <c r="D55" s="61" t="s">
        <v>781</v>
      </c>
      <c r="E55" s="11" t="s">
        <v>29</v>
      </c>
    </row>
    <row r="56">
      <c r="B56" s="61" t="s">
        <v>1713</v>
      </c>
      <c r="C56" s="45" t="s">
        <v>1714</v>
      </c>
      <c r="D56" s="61" t="s">
        <v>1712</v>
      </c>
      <c r="E56" s="11" t="s">
        <v>33</v>
      </c>
    </row>
    <row r="57">
      <c r="B57" s="61" t="s">
        <v>1712</v>
      </c>
      <c r="C57" s="45" t="s">
        <v>383</v>
      </c>
      <c r="D57" s="56" t="s">
        <v>1521</v>
      </c>
      <c r="E57" s="11" t="s">
        <v>29</v>
      </c>
    </row>
    <row r="58">
      <c r="B58" s="61" t="s">
        <v>1713</v>
      </c>
      <c r="C58" s="45" t="s">
        <v>291</v>
      </c>
      <c r="D58" s="61" t="s">
        <v>781</v>
      </c>
      <c r="E58" s="11" t="s">
        <v>33</v>
      </c>
    </row>
    <row r="59">
      <c r="B59" s="56" t="s">
        <v>1521</v>
      </c>
      <c r="C59" s="45" t="s">
        <v>198</v>
      </c>
      <c r="D59" s="61" t="s">
        <v>1459</v>
      </c>
      <c r="E59" s="11" t="s">
        <v>29</v>
      </c>
    </row>
    <row r="60">
      <c r="B60" s="61" t="s">
        <v>1712</v>
      </c>
      <c r="C60" s="45" t="s">
        <v>688</v>
      </c>
      <c r="D60" s="61" t="s">
        <v>781</v>
      </c>
      <c r="E60" s="11" t="s">
        <v>33</v>
      </c>
    </row>
    <row r="61">
      <c r="B61" s="61" t="s">
        <v>1713</v>
      </c>
      <c r="C61" s="45" t="s">
        <v>195</v>
      </c>
      <c r="D61" s="61" t="s">
        <v>1459</v>
      </c>
      <c r="E61" s="11" t="s">
        <v>29</v>
      </c>
    </row>
    <row r="62">
      <c r="B62" s="56" t="s">
        <v>1521</v>
      </c>
      <c r="C62" s="45" t="s">
        <v>220</v>
      </c>
      <c r="D62" s="61" t="s">
        <v>781</v>
      </c>
      <c r="E62" s="11" t="s">
        <v>33</v>
      </c>
    </row>
    <row r="63">
      <c r="B63" s="61" t="s">
        <v>1712</v>
      </c>
      <c r="C63" s="45" t="s">
        <v>18</v>
      </c>
      <c r="D63" s="61" t="s">
        <v>1459</v>
      </c>
      <c r="E63" s="11" t="s">
        <v>29</v>
      </c>
    </row>
    <row r="64">
      <c r="B64" s="56" t="s">
        <v>1521</v>
      </c>
      <c r="C64" s="45" t="s">
        <v>20</v>
      </c>
      <c r="D64" s="61" t="s">
        <v>1713</v>
      </c>
      <c r="E64" s="11" t="s">
        <v>33</v>
      </c>
    </row>
    <row r="65">
      <c r="B65" s="61" t="s">
        <v>781</v>
      </c>
      <c r="C65" s="45" t="s">
        <v>203</v>
      </c>
      <c r="D65" s="61" t="s">
        <v>1459</v>
      </c>
      <c r="E65" s="11" t="s">
        <v>29</v>
      </c>
    </row>
    <row r="66">
      <c r="B66" s="61" t="s">
        <v>1712</v>
      </c>
      <c r="C66" s="45" t="s">
        <v>187</v>
      </c>
      <c r="D66" s="61" t="s">
        <v>1713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1715</v>
      </c>
      <c r="C69" s="57" t="s">
        <v>23</v>
      </c>
      <c r="D69" s="61" t="s">
        <v>1716</v>
      </c>
      <c r="E69" s="11" t="s">
        <v>9</v>
      </c>
    </row>
    <row r="70">
      <c r="B70" s="61" t="s">
        <v>1717</v>
      </c>
      <c r="C70" s="57" t="s">
        <v>1121</v>
      </c>
      <c r="D70" s="61" t="s">
        <v>1718</v>
      </c>
      <c r="E70" s="11" t="s">
        <v>13</v>
      </c>
    </row>
    <row r="71">
      <c r="B71" s="61" t="s">
        <v>1719</v>
      </c>
      <c r="C71" s="57" t="s">
        <v>14</v>
      </c>
      <c r="D71" s="61" t="s">
        <v>1715</v>
      </c>
      <c r="E71" s="11" t="s">
        <v>9</v>
      </c>
    </row>
    <row r="72">
      <c r="B72" s="61" t="s">
        <v>1717</v>
      </c>
      <c r="C72" s="57" t="s">
        <v>210</v>
      </c>
      <c r="D72" s="61" t="s">
        <v>1716</v>
      </c>
      <c r="E72" s="11" t="s">
        <v>13</v>
      </c>
    </row>
    <row r="73">
      <c r="B73" s="61" t="s">
        <v>1719</v>
      </c>
      <c r="C73" s="57" t="s">
        <v>18</v>
      </c>
      <c r="D73" s="61" t="s">
        <v>1718</v>
      </c>
      <c r="E73" s="11" t="s">
        <v>9</v>
      </c>
    </row>
    <row r="74">
      <c r="B74" s="61" t="s">
        <v>1717</v>
      </c>
      <c r="C74" s="57" t="s">
        <v>209</v>
      </c>
      <c r="D74" s="61" t="s">
        <v>1715</v>
      </c>
      <c r="E74" s="11" t="s">
        <v>13</v>
      </c>
    </row>
    <row r="75">
      <c r="B75" s="61" t="s">
        <v>1719</v>
      </c>
      <c r="C75" s="57" t="s">
        <v>315</v>
      </c>
      <c r="D75" s="61" t="s">
        <v>1716</v>
      </c>
      <c r="E75" s="11" t="s">
        <v>9</v>
      </c>
    </row>
    <row r="76">
      <c r="B76" s="61" t="s">
        <v>1718</v>
      </c>
      <c r="C76" s="57" t="s">
        <v>210</v>
      </c>
      <c r="D76" s="61" t="s">
        <v>1715</v>
      </c>
      <c r="E76" s="11" t="s">
        <v>13</v>
      </c>
    </row>
    <row r="77">
      <c r="B77" s="61" t="s">
        <v>1719</v>
      </c>
      <c r="C77" s="57" t="s">
        <v>43</v>
      </c>
      <c r="D77" s="61" t="s">
        <v>1717</v>
      </c>
      <c r="E77" s="11" t="s">
        <v>9</v>
      </c>
    </row>
    <row r="78">
      <c r="B78" s="61" t="s">
        <v>1718</v>
      </c>
      <c r="C78" s="57" t="s">
        <v>24</v>
      </c>
      <c r="D78" s="61" t="s">
        <v>1716</v>
      </c>
      <c r="E78" s="11" t="s">
        <v>13</v>
      </c>
    </row>
    <row r="79">
      <c r="B79" s="61" t="s">
        <v>1716</v>
      </c>
      <c r="C79" s="57" t="s">
        <v>173</v>
      </c>
      <c r="D79" s="61" t="s">
        <v>1715</v>
      </c>
      <c r="E79" s="11" t="s">
        <v>9</v>
      </c>
    </row>
    <row r="80">
      <c r="B80" s="61" t="s">
        <v>1718</v>
      </c>
      <c r="C80" s="57" t="s">
        <v>209</v>
      </c>
      <c r="D80" s="61" t="s">
        <v>1717</v>
      </c>
      <c r="E80" s="11" t="s">
        <v>13</v>
      </c>
    </row>
    <row r="81">
      <c r="B81" s="61" t="s">
        <v>1715</v>
      </c>
      <c r="C81" s="45" t="s">
        <v>14</v>
      </c>
      <c r="D81" s="61" t="s">
        <v>1719</v>
      </c>
      <c r="E81" s="11" t="s">
        <v>9</v>
      </c>
    </row>
    <row r="82">
      <c r="B82" s="61" t="s">
        <v>1716</v>
      </c>
      <c r="C82" s="45" t="s">
        <v>23</v>
      </c>
      <c r="D82" s="61" t="s">
        <v>1717</v>
      </c>
      <c r="E82" s="11" t="s">
        <v>13</v>
      </c>
    </row>
    <row r="83">
      <c r="B83" s="61" t="s">
        <v>1718</v>
      </c>
      <c r="C83" s="45" t="s">
        <v>16</v>
      </c>
      <c r="D83" s="61" t="s">
        <v>1719</v>
      </c>
      <c r="E83" s="11" t="s">
        <v>9</v>
      </c>
    </row>
    <row r="84">
      <c r="B84" s="61" t="s">
        <v>1715</v>
      </c>
      <c r="C84" s="45" t="s">
        <v>1153</v>
      </c>
      <c r="D84" s="61" t="s">
        <v>1717</v>
      </c>
      <c r="E84" s="11" t="s">
        <v>13</v>
      </c>
    </row>
    <row r="85">
      <c r="B85" s="61" t="s">
        <v>1716</v>
      </c>
      <c r="C85" s="45" t="s">
        <v>688</v>
      </c>
      <c r="D85" s="61" t="s">
        <v>1719</v>
      </c>
      <c r="E85" s="11" t="s">
        <v>9</v>
      </c>
    </row>
    <row r="86">
      <c r="B86" s="61" t="s">
        <v>1715</v>
      </c>
      <c r="C86" s="45" t="s">
        <v>220</v>
      </c>
      <c r="D86" s="61" t="s">
        <v>1718</v>
      </c>
      <c r="E86" s="11" t="s">
        <v>13</v>
      </c>
    </row>
    <row r="87">
      <c r="B87" s="61" t="s">
        <v>1717</v>
      </c>
      <c r="C87" s="45" t="s">
        <v>751</v>
      </c>
      <c r="D87" s="61" t="s">
        <v>1719</v>
      </c>
      <c r="E87" s="11" t="s">
        <v>9</v>
      </c>
    </row>
    <row r="88">
      <c r="B88" s="61" t="s">
        <v>1716</v>
      </c>
      <c r="C88" s="45" t="s">
        <v>19</v>
      </c>
      <c r="D88" s="61" t="s">
        <v>1718</v>
      </c>
      <c r="E88" s="11" t="s">
        <v>13</v>
      </c>
    </row>
    <row r="89">
      <c r="B89" s="1" t="s">
        <v>1526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1529</v>
      </c>
      <c r="C91" s="45" t="s">
        <v>181</v>
      </c>
      <c r="D91" s="61" t="s">
        <v>1720</v>
      </c>
      <c r="E91" s="11" t="s">
        <v>9</v>
      </c>
    </row>
    <row r="92">
      <c r="B92" s="61" t="s">
        <v>1530</v>
      </c>
      <c r="C92" s="45" t="s">
        <v>173</v>
      </c>
      <c r="D92" s="61" t="s">
        <v>1209</v>
      </c>
      <c r="E92" s="11" t="s">
        <v>13</v>
      </c>
    </row>
    <row r="93">
      <c r="B93" s="61" t="s">
        <v>1721</v>
      </c>
      <c r="C93" s="45" t="s">
        <v>181</v>
      </c>
      <c r="D93" s="61" t="s">
        <v>1529</v>
      </c>
      <c r="E93" s="11" t="s">
        <v>9</v>
      </c>
    </row>
    <row r="94">
      <c r="B94" s="61" t="s">
        <v>1530</v>
      </c>
      <c r="C94" s="45" t="s">
        <v>161</v>
      </c>
      <c r="D94" s="61" t="s">
        <v>1720</v>
      </c>
      <c r="E94" s="11" t="s">
        <v>13</v>
      </c>
    </row>
    <row r="95">
      <c r="B95" s="61" t="s">
        <v>1721</v>
      </c>
      <c r="C95" s="45" t="s">
        <v>7</v>
      </c>
      <c r="D95" s="61" t="s">
        <v>1209</v>
      </c>
      <c r="E95" s="11" t="s">
        <v>9</v>
      </c>
    </row>
    <row r="96">
      <c r="B96" s="61" t="s">
        <v>1530</v>
      </c>
      <c r="C96" s="45" t="s">
        <v>17</v>
      </c>
      <c r="D96" s="61" t="s">
        <v>1529</v>
      </c>
      <c r="E96" s="11" t="s">
        <v>13</v>
      </c>
    </row>
    <row r="97">
      <c r="B97" s="61" t="s">
        <v>1721</v>
      </c>
      <c r="C97" s="45" t="s">
        <v>17</v>
      </c>
      <c r="D97" s="61" t="s">
        <v>1720</v>
      </c>
      <c r="E97" s="11" t="s">
        <v>9</v>
      </c>
    </row>
    <row r="98">
      <c r="B98" s="61" t="s">
        <v>1209</v>
      </c>
      <c r="C98" s="67" t="s">
        <v>668</v>
      </c>
      <c r="D98" s="61" t="s">
        <v>1529</v>
      </c>
      <c r="E98" s="15" t="s">
        <v>13</v>
      </c>
    </row>
    <row r="99">
      <c r="B99" s="61" t="s">
        <v>1721</v>
      </c>
      <c r="C99" s="45" t="s">
        <v>185</v>
      </c>
      <c r="D99" s="61" t="s">
        <v>1530</v>
      </c>
      <c r="E99" s="11" t="s">
        <v>9</v>
      </c>
    </row>
    <row r="100">
      <c r="B100" s="61" t="s">
        <v>1209</v>
      </c>
      <c r="C100" s="67" t="s">
        <v>668</v>
      </c>
      <c r="D100" s="61" t="s">
        <v>1720</v>
      </c>
      <c r="E100" s="15" t="s">
        <v>13</v>
      </c>
    </row>
    <row r="101">
      <c r="B101" s="61" t="s">
        <v>1720</v>
      </c>
      <c r="C101" s="93" t="s">
        <v>219</v>
      </c>
      <c r="D101" s="61" t="s">
        <v>1529</v>
      </c>
      <c r="E101" s="11" t="s">
        <v>9</v>
      </c>
    </row>
    <row r="102">
      <c r="B102" s="61" t="s">
        <v>1209</v>
      </c>
      <c r="C102" s="67" t="s">
        <v>668</v>
      </c>
      <c r="D102" s="61" t="s">
        <v>1530</v>
      </c>
      <c r="E102" s="15" t="s">
        <v>13</v>
      </c>
    </row>
    <row r="103">
      <c r="B103" s="61" t="s">
        <v>1529</v>
      </c>
      <c r="C103" s="45" t="s">
        <v>531</v>
      </c>
      <c r="D103" s="61" t="s">
        <v>1721</v>
      </c>
      <c r="E103" s="11" t="s">
        <v>9</v>
      </c>
    </row>
    <row r="104">
      <c r="B104" s="61" t="s">
        <v>1720</v>
      </c>
      <c r="C104" s="67" t="s">
        <v>668</v>
      </c>
      <c r="D104" s="61" t="s">
        <v>1530</v>
      </c>
      <c r="E104" s="15" t="s">
        <v>13</v>
      </c>
    </row>
    <row r="105">
      <c r="B105" s="61" t="s">
        <v>1209</v>
      </c>
      <c r="C105" s="45" t="s">
        <v>158</v>
      </c>
      <c r="D105" s="61" t="s">
        <v>1721</v>
      </c>
      <c r="E105" s="11" t="s">
        <v>9</v>
      </c>
    </row>
    <row r="106">
      <c r="B106" s="61" t="s">
        <v>1529</v>
      </c>
      <c r="C106" s="67" t="s">
        <v>668</v>
      </c>
      <c r="D106" s="61" t="s">
        <v>1530</v>
      </c>
      <c r="E106" s="15" t="s">
        <v>13</v>
      </c>
    </row>
    <row r="107">
      <c r="B107" s="61" t="s">
        <v>1720</v>
      </c>
      <c r="C107" s="45" t="s">
        <v>181</v>
      </c>
      <c r="D107" s="61" t="s">
        <v>1721</v>
      </c>
      <c r="E107" s="11" t="s">
        <v>9</v>
      </c>
    </row>
    <row r="108">
      <c r="B108" s="61" t="s">
        <v>1529</v>
      </c>
      <c r="C108" s="67" t="s">
        <v>668</v>
      </c>
      <c r="D108" s="61" t="s">
        <v>1209</v>
      </c>
      <c r="E108" s="15" t="s">
        <v>13</v>
      </c>
    </row>
    <row r="109">
      <c r="B109" s="61" t="s">
        <v>1530</v>
      </c>
      <c r="C109" s="45" t="s">
        <v>19</v>
      </c>
      <c r="D109" s="61" t="s">
        <v>1721</v>
      </c>
      <c r="E109" s="11" t="s">
        <v>9</v>
      </c>
    </row>
    <row r="110">
      <c r="B110" s="61" t="s">
        <v>1720</v>
      </c>
      <c r="C110" s="67" t="s">
        <v>668</v>
      </c>
      <c r="D110" s="61" t="s">
        <v>1209</v>
      </c>
      <c r="E110" s="15" t="s">
        <v>13</v>
      </c>
    </row>
    <row r="111">
      <c r="B111" s="1" t="s">
        <v>1532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81</v>
      </c>
      <c r="C113" s="57" t="s">
        <v>203</v>
      </c>
      <c r="D113" s="61" t="s">
        <v>412</v>
      </c>
      <c r="E113" s="11" t="s">
        <v>9</v>
      </c>
    </row>
    <row r="114">
      <c r="B114" s="61" t="s">
        <v>83</v>
      </c>
      <c r="C114" s="67" t="s">
        <v>668</v>
      </c>
      <c r="D114" s="61" t="s">
        <v>1357</v>
      </c>
      <c r="E114" s="15" t="s">
        <v>13</v>
      </c>
    </row>
    <row r="115">
      <c r="B115" s="61" t="s">
        <v>1722</v>
      </c>
      <c r="C115" s="57" t="s">
        <v>250</v>
      </c>
      <c r="D115" s="61" t="s">
        <v>81</v>
      </c>
      <c r="E115" s="11" t="s">
        <v>9</v>
      </c>
    </row>
    <row r="116">
      <c r="B116" s="61" t="s">
        <v>83</v>
      </c>
      <c r="C116" s="67" t="s">
        <v>668</v>
      </c>
      <c r="D116" s="61" t="s">
        <v>412</v>
      </c>
      <c r="E116" s="15" t="s">
        <v>13</v>
      </c>
    </row>
    <row r="117">
      <c r="B117" s="61" t="s">
        <v>1722</v>
      </c>
      <c r="C117" s="57" t="s">
        <v>162</v>
      </c>
      <c r="D117" s="61" t="s">
        <v>1357</v>
      </c>
      <c r="E117" s="11" t="s">
        <v>9</v>
      </c>
    </row>
    <row r="118">
      <c r="B118" s="61" t="s">
        <v>83</v>
      </c>
      <c r="C118" s="67" t="s">
        <v>668</v>
      </c>
      <c r="D118" s="61" t="s">
        <v>81</v>
      </c>
      <c r="E118" s="15" t="s">
        <v>13</v>
      </c>
    </row>
    <row r="119">
      <c r="B119" s="61" t="s">
        <v>1722</v>
      </c>
      <c r="C119" s="57" t="s">
        <v>301</v>
      </c>
      <c r="D119" s="61" t="s">
        <v>412</v>
      </c>
      <c r="E119" s="11" t="s">
        <v>9</v>
      </c>
    </row>
    <row r="120">
      <c r="B120" s="61" t="s">
        <v>1357</v>
      </c>
      <c r="C120" s="67" t="s">
        <v>668</v>
      </c>
      <c r="D120" s="61" t="s">
        <v>81</v>
      </c>
      <c r="E120" s="15" t="s">
        <v>13</v>
      </c>
    </row>
    <row r="121">
      <c r="B121" s="61" t="s">
        <v>1722</v>
      </c>
      <c r="C121" s="57" t="s">
        <v>162</v>
      </c>
      <c r="D121" s="61" t="s">
        <v>83</v>
      </c>
      <c r="E121" s="11" t="s">
        <v>9</v>
      </c>
    </row>
    <row r="122">
      <c r="B122" s="61" t="s">
        <v>1357</v>
      </c>
      <c r="C122" s="67" t="s">
        <v>668</v>
      </c>
      <c r="D122" s="61" t="s">
        <v>412</v>
      </c>
      <c r="E122" s="15" t="s">
        <v>13</v>
      </c>
    </row>
    <row r="123">
      <c r="B123" s="61" t="s">
        <v>412</v>
      </c>
      <c r="C123" s="57" t="s">
        <v>173</v>
      </c>
      <c r="D123" s="61" t="s">
        <v>81</v>
      </c>
      <c r="E123" s="11" t="s">
        <v>9</v>
      </c>
    </row>
    <row r="124">
      <c r="B124" s="61" t="s">
        <v>1357</v>
      </c>
      <c r="C124" s="67" t="s">
        <v>668</v>
      </c>
      <c r="D124" s="61" t="s">
        <v>83</v>
      </c>
      <c r="E124" s="15" t="s">
        <v>13</v>
      </c>
    </row>
    <row r="125">
      <c r="B125" s="61" t="s">
        <v>81</v>
      </c>
      <c r="C125" s="45" t="s">
        <v>281</v>
      </c>
      <c r="D125" s="61" t="s">
        <v>1722</v>
      </c>
      <c r="E125" s="11" t="s">
        <v>9</v>
      </c>
    </row>
    <row r="126">
      <c r="B126" s="61" t="s">
        <v>412</v>
      </c>
      <c r="C126" s="67" t="s">
        <v>668</v>
      </c>
      <c r="D126" s="61" t="s">
        <v>83</v>
      </c>
      <c r="E126" s="15" t="s">
        <v>13</v>
      </c>
    </row>
    <row r="127">
      <c r="B127" s="61" t="s">
        <v>1357</v>
      </c>
      <c r="C127" s="45" t="s">
        <v>162</v>
      </c>
      <c r="D127" s="61" t="s">
        <v>1722</v>
      </c>
      <c r="E127" s="11" t="s">
        <v>9</v>
      </c>
    </row>
    <row r="128">
      <c r="B128" s="61" t="s">
        <v>81</v>
      </c>
      <c r="C128" s="67" t="s">
        <v>668</v>
      </c>
      <c r="D128" s="61" t="s">
        <v>83</v>
      </c>
      <c r="E128" s="15" t="s">
        <v>13</v>
      </c>
    </row>
    <row r="129">
      <c r="B129" s="61" t="s">
        <v>412</v>
      </c>
      <c r="C129" s="45" t="s">
        <v>219</v>
      </c>
      <c r="D129" s="61" t="s">
        <v>1722</v>
      </c>
      <c r="E129" s="11" t="s">
        <v>9</v>
      </c>
    </row>
    <row r="130">
      <c r="B130" s="61" t="s">
        <v>81</v>
      </c>
      <c r="C130" s="67" t="s">
        <v>668</v>
      </c>
      <c r="D130" s="61" t="s">
        <v>1357</v>
      </c>
      <c r="E130" s="15" t="s">
        <v>13</v>
      </c>
    </row>
    <row r="131">
      <c r="B131" s="61" t="s">
        <v>83</v>
      </c>
      <c r="C131" s="45" t="s">
        <v>7</v>
      </c>
      <c r="D131" s="61" t="s">
        <v>1722</v>
      </c>
      <c r="E131" s="11" t="s">
        <v>9</v>
      </c>
    </row>
    <row r="132">
      <c r="B132" s="61" t="s">
        <v>412</v>
      </c>
      <c r="C132" s="45" t="s">
        <v>163</v>
      </c>
      <c r="D132" s="61" t="s">
        <v>1357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1612</v>
      </c>
      <c r="C135" s="45" t="s">
        <v>248</v>
      </c>
      <c r="D135" s="61" t="s">
        <v>1723</v>
      </c>
      <c r="E135" s="11" t="s">
        <v>29</v>
      </c>
    </row>
    <row r="136">
      <c r="B136" s="61" t="s">
        <v>1237</v>
      </c>
      <c r="C136" s="45" t="s">
        <v>195</v>
      </c>
      <c r="D136" s="61" t="s">
        <v>869</v>
      </c>
      <c r="E136" s="11" t="s">
        <v>33</v>
      </c>
      <c r="L136" s="50" t="s">
        <v>514</v>
      </c>
    </row>
    <row r="137">
      <c r="B137" s="61" t="s">
        <v>1540</v>
      </c>
      <c r="C137" s="45" t="s">
        <v>14</v>
      </c>
      <c r="D137" s="61" t="s">
        <v>1612</v>
      </c>
      <c r="E137" s="11" t="s">
        <v>29</v>
      </c>
    </row>
    <row r="138">
      <c r="B138" s="61" t="s">
        <v>1237</v>
      </c>
      <c r="C138" s="45" t="s">
        <v>23</v>
      </c>
      <c r="D138" s="61" t="s">
        <v>1723</v>
      </c>
      <c r="E138" s="11" t="s">
        <v>33</v>
      </c>
    </row>
    <row r="139">
      <c r="B139" s="61" t="s">
        <v>1540</v>
      </c>
      <c r="C139" s="45" t="s">
        <v>177</v>
      </c>
      <c r="D139" s="61" t="s">
        <v>869</v>
      </c>
      <c r="E139" s="11" t="s">
        <v>29</v>
      </c>
    </row>
    <row r="140">
      <c r="B140" s="61" t="s">
        <v>1237</v>
      </c>
      <c r="C140" s="45" t="s">
        <v>19</v>
      </c>
      <c r="D140" s="61" t="s">
        <v>1612</v>
      </c>
      <c r="E140" s="11" t="s">
        <v>33</v>
      </c>
    </row>
    <row r="141">
      <c r="B141" s="61" t="s">
        <v>1540</v>
      </c>
      <c r="C141" s="45" t="s">
        <v>225</v>
      </c>
      <c r="D141" s="61" t="s">
        <v>1723</v>
      </c>
      <c r="E141" s="11" t="s">
        <v>29</v>
      </c>
    </row>
    <row r="142">
      <c r="B142" s="61" t="s">
        <v>869</v>
      </c>
      <c r="C142" s="45" t="s">
        <v>1255</v>
      </c>
      <c r="D142" s="61" t="s">
        <v>1612</v>
      </c>
      <c r="E142" s="11" t="s">
        <v>33</v>
      </c>
    </row>
    <row r="143">
      <c r="B143" s="61" t="s">
        <v>1540</v>
      </c>
      <c r="C143" s="45" t="s">
        <v>1724</v>
      </c>
      <c r="D143" s="61" t="s">
        <v>1237</v>
      </c>
      <c r="E143" s="11" t="s">
        <v>29</v>
      </c>
    </row>
    <row r="144">
      <c r="B144" s="61" t="s">
        <v>869</v>
      </c>
      <c r="C144" s="45" t="s">
        <v>180</v>
      </c>
      <c r="D144" s="61" t="s">
        <v>1723</v>
      </c>
      <c r="E144" s="11" t="s">
        <v>33</v>
      </c>
    </row>
    <row r="145">
      <c r="B145" s="61" t="s">
        <v>1723</v>
      </c>
      <c r="C145" s="45" t="s">
        <v>433</v>
      </c>
      <c r="D145" s="61" t="s">
        <v>1612</v>
      </c>
      <c r="E145" s="11" t="s">
        <v>29</v>
      </c>
      <c r="G145" s="50"/>
    </row>
    <row r="146">
      <c r="B146" s="61" t="s">
        <v>869</v>
      </c>
      <c r="C146" s="45" t="s">
        <v>225</v>
      </c>
      <c r="D146" s="61" t="s">
        <v>1237</v>
      </c>
      <c r="E146" s="11" t="s">
        <v>33</v>
      </c>
    </row>
    <row r="147">
      <c r="B147" s="61" t="s">
        <v>1612</v>
      </c>
      <c r="C147" s="45" t="s">
        <v>16</v>
      </c>
      <c r="D147" s="61" t="s">
        <v>1540</v>
      </c>
      <c r="E147" s="11" t="s">
        <v>29</v>
      </c>
    </row>
    <row r="148">
      <c r="B148" s="61" t="s">
        <v>1723</v>
      </c>
      <c r="C148" s="45" t="s">
        <v>44</v>
      </c>
      <c r="D148" s="61" t="s">
        <v>1237</v>
      </c>
      <c r="E148" s="11" t="s">
        <v>33</v>
      </c>
    </row>
    <row r="149">
      <c r="B149" s="61" t="s">
        <v>869</v>
      </c>
      <c r="C149" s="45" t="s">
        <v>582</v>
      </c>
      <c r="D149" s="61" t="s">
        <v>1540</v>
      </c>
      <c r="E149" s="11" t="s">
        <v>29</v>
      </c>
    </row>
    <row r="150">
      <c r="B150" s="61" t="s">
        <v>1612</v>
      </c>
      <c r="C150" s="45" t="s">
        <v>43</v>
      </c>
      <c r="D150" s="61" t="s">
        <v>1237</v>
      </c>
      <c r="E150" s="11" t="s">
        <v>33</v>
      </c>
    </row>
    <row r="151">
      <c r="B151" s="61" t="s">
        <v>1723</v>
      </c>
      <c r="C151" s="45" t="s">
        <v>362</v>
      </c>
      <c r="D151" s="61" t="s">
        <v>1540</v>
      </c>
      <c r="E151" s="11" t="s">
        <v>29</v>
      </c>
    </row>
    <row r="152">
      <c r="B152" s="61" t="s">
        <v>1612</v>
      </c>
      <c r="C152" s="45" t="s">
        <v>908</v>
      </c>
      <c r="D152" s="61" t="s">
        <v>869</v>
      </c>
      <c r="E152" s="11" t="s">
        <v>33</v>
      </c>
    </row>
    <row r="153">
      <c r="B153" s="61" t="s">
        <v>1237</v>
      </c>
      <c r="C153" s="45" t="s">
        <v>292</v>
      </c>
      <c r="D153" s="61" t="s">
        <v>1540</v>
      </c>
      <c r="E153" s="11" t="s">
        <v>29</v>
      </c>
    </row>
    <row r="154">
      <c r="B154" s="61" t="s">
        <v>1723</v>
      </c>
      <c r="C154" s="45" t="s">
        <v>547</v>
      </c>
      <c r="D154" s="61" t="s">
        <v>869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1725</v>
      </c>
      <c r="C157" s="45" t="s">
        <v>173</v>
      </c>
      <c r="D157" s="61" t="s">
        <v>1726</v>
      </c>
      <c r="E157" s="11" t="s">
        <v>9</v>
      </c>
    </row>
    <row r="158">
      <c r="B158" s="61" t="s">
        <v>1727</v>
      </c>
      <c r="C158" s="45" t="s">
        <v>209</v>
      </c>
      <c r="D158" s="61" t="s">
        <v>1728</v>
      </c>
      <c r="E158" s="11" t="s">
        <v>13</v>
      </c>
    </row>
    <row r="159">
      <c r="B159" s="61" t="s">
        <v>1729</v>
      </c>
      <c r="C159" s="45" t="s">
        <v>465</v>
      </c>
      <c r="D159" s="61" t="s">
        <v>1725</v>
      </c>
      <c r="E159" s="11" t="s">
        <v>9</v>
      </c>
    </row>
    <row r="160">
      <c r="B160" s="61" t="s">
        <v>1727</v>
      </c>
      <c r="C160" s="45" t="s">
        <v>271</v>
      </c>
      <c r="D160" s="61" t="s">
        <v>1726</v>
      </c>
      <c r="E160" s="11" t="s">
        <v>13</v>
      </c>
      <c r="G160" s="78"/>
    </row>
    <row r="161">
      <c r="B161" s="61" t="s">
        <v>1729</v>
      </c>
      <c r="C161" s="45" t="s">
        <v>14</v>
      </c>
      <c r="D161" s="61" t="s">
        <v>1728</v>
      </c>
      <c r="E161" s="11" t="s">
        <v>9</v>
      </c>
    </row>
    <row r="162">
      <c r="B162" s="61" t="s">
        <v>1727</v>
      </c>
      <c r="C162" s="45" t="s">
        <v>302</v>
      </c>
      <c r="D162" s="61" t="s">
        <v>1725</v>
      </c>
      <c r="E162" s="11" t="s">
        <v>13</v>
      </c>
    </row>
    <row r="163">
      <c r="B163" s="61" t="s">
        <v>1729</v>
      </c>
      <c r="C163" s="45" t="s">
        <v>620</v>
      </c>
      <c r="D163" s="61" t="s">
        <v>1726</v>
      </c>
      <c r="E163" s="11" t="s">
        <v>9</v>
      </c>
    </row>
    <row r="164">
      <c r="B164" s="61" t="s">
        <v>1728</v>
      </c>
      <c r="C164" s="45" t="s">
        <v>44</v>
      </c>
      <c r="D164" s="61" t="s">
        <v>1725</v>
      </c>
      <c r="E164" s="11" t="s">
        <v>13</v>
      </c>
    </row>
    <row r="165">
      <c r="B165" s="61" t="s">
        <v>1729</v>
      </c>
      <c r="C165" s="45" t="s">
        <v>583</v>
      </c>
      <c r="D165" s="61" t="s">
        <v>1727</v>
      </c>
      <c r="E165" s="11" t="s">
        <v>9</v>
      </c>
    </row>
    <row r="166">
      <c r="B166" s="61" t="s">
        <v>1728</v>
      </c>
      <c r="C166" s="45" t="s">
        <v>258</v>
      </c>
      <c r="D166" s="61" t="s">
        <v>1726</v>
      </c>
      <c r="E166" s="11" t="s">
        <v>13</v>
      </c>
    </row>
    <row r="167">
      <c r="B167" s="61" t="s">
        <v>1726</v>
      </c>
      <c r="C167" s="45" t="s">
        <v>157</v>
      </c>
      <c r="D167" s="61" t="s">
        <v>1725</v>
      </c>
      <c r="E167" s="11" t="s">
        <v>9</v>
      </c>
      <c r="I167" s="50" t="s">
        <v>514</v>
      </c>
    </row>
    <row r="168">
      <c r="B168" s="61" t="s">
        <v>1728</v>
      </c>
      <c r="C168" s="45" t="s">
        <v>18</v>
      </c>
      <c r="D168" s="61" t="s">
        <v>1727</v>
      </c>
      <c r="E168" s="11" t="s">
        <v>13</v>
      </c>
    </row>
    <row r="169">
      <c r="B169" s="61" t="s">
        <v>1725</v>
      </c>
      <c r="C169" s="45" t="s">
        <v>225</v>
      </c>
      <c r="D169" s="61" t="s">
        <v>1729</v>
      </c>
      <c r="E169" s="11" t="s">
        <v>9</v>
      </c>
    </row>
    <row r="170">
      <c r="B170" s="61" t="s">
        <v>1726</v>
      </c>
      <c r="C170" s="45" t="s">
        <v>18</v>
      </c>
      <c r="D170" s="61" t="s">
        <v>1727</v>
      </c>
      <c r="E170" s="11" t="s">
        <v>13</v>
      </c>
    </row>
    <row r="171">
      <c r="B171" s="61" t="s">
        <v>1728</v>
      </c>
      <c r="C171" s="45" t="s">
        <v>222</v>
      </c>
      <c r="D171" s="61" t="s">
        <v>1729</v>
      </c>
      <c r="E171" s="11" t="s">
        <v>9</v>
      </c>
    </row>
    <row r="172">
      <c r="B172" s="61" t="s">
        <v>1725</v>
      </c>
      <c r="C172" s="45" t="s">
        <v>185</v>
      </c>
      <c r="D172" s="61" t="s">
        <v>1727</v>
      </c>
      <c r="E172" s="11" t="s">
        <v>13</v>
      </c>
    </row>
    <row r="173">
      <c r="B173" s="61" t="s">
        <v>1726</v>
      </c>
      <c r="C173" s="45" t="s">
        <v>442</v>
      </c>
      <c r="D173" s="61" t="s">
        <v>1729</v>
      </c>
      <c r="E173" s="11" t="s">
        <v>9</v>
      </c>
    </row>
    <row r="174">
      <c r="B174" s="61" t="s">
        <v>1725</v>
      </c>
      <c r="C174" s="45" t="s">
        <v>289</v>
      </c>
      <c r="D174" s="61" t="s">
        <v>1728</v>
      </c>
      <c r="E174" s="11" t="s">
        <v>13</v>
      </c>
    </row>
    <row r="175">
      <c r="B175" s="61" t="s">
        <v>1727</v>
      </c>
      <c r="C175" s="45" t="s">
        <v>227</v>
      </c>
      <c r="D175" s="61" t="s">
        <v>1729</v>
      </c>
      <c r="E175" s="11" t="s">
        <v>9</v>
      </c>
    </row>
    <row r="176">
      <c r="B176" s="61" t="s">
        <v>1726</v>
      </c>
      <c r="C176" s="45" t="s">
        <v>220</v>
      </c>
      <c r="D176" s="61" t="s">
        <v>1728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1730</v>
      </c>
      <c r="C179" s="45" t="s">
        <v>301</v>
      </c>
      <c r="D179" s="61" t="s">
        <v>1429</v>
      </c>
      <c r="E179" s="11" t="s">
        <v>29</v>
      </c>
    </row>
    <row r="180">
      <c r="B180" s="61" t="s">
        <v>1731</v>
      </c>
      <c r="C180" s="45" t="s">
        <v>1208</v>
      </c>
      <c r="D180" s="61" t="s">
        <v>261</v>
      </c>
      <c r="E180" s="11" t="s">
        <v>33</v>
      </c>
    </row>
    <row r="181">
      <c r="B181" s="61" t="s">
        <v>1732</v>
      </c>
      <c r="C181" s="45" t="s">
        <v>14</v>
      </c>
      <c r="D181" s="61" t="s">
        <v>1730</v>
      </c>
      <c r="E181" s="11" t="s">
        <v>29</v>
      </c>
    </row>
    <row r="182">
      <c r="B182" s="61" t="s">
        <v>1731</v>
      </c>
      <c r="C182" s="45" t="s">
        <v>237</v>
      </c>
      <c r="D182" s="61" t="s">
        <v>1429</v>
      </c>
      <c r="E182" s="11" t="s">
        <v>33</v>
      </c>
    </row>
    <row r="183">
      <c r="B183" s="61" t="s">
        <v>1732</v>
      </c>
      <c r="C183" s="45" t="s">
        <v>1733</v>
      </c>
      <c r="D183" s="61" t="s">
        <v>261</v>
      </c>
      <c r="E183" s="11" t="s">
        <v>29</v>
      </c>
    </row>
    <row r="184">
      <c r="B184" s="61" t="s">
        <v>1731</v>
      </c>
      <c r="C184" s="45" t="s">
        <v>231</v>
      </c>
      <c r="D184" s="61" t="s">
        <v>1730</v>
      </c>
      <c r="E184" s="11" t="s">
        <v>33</v>
      </c>
    </row>
    <row r="185">
      <c r="B185" s="61" t="s">
        <v>1732</v>
      </c>
      <c r="C185" s="45" t="s">
        <v>23</v>
      </c>
      <c r="D185" s="61" t="s">
        <v>1429</v>
      </c>
      <c r="E185" s="11" t="s">
        <v>29</v>
      </c>
    </row>
    <row r="186">
      <c r="B186" s="61" t="s">
        <v>261</v>
      </c>
      <c r="C186" s="45" t="s">
        <v>164</v>
      </c>
      <c r="D186" s="61" t="s">
        <v>1730</v>
      </c>
      <c r="E186" s="11" t="s">
        <v>33</v>
      </c>
    </row>
    <row r="187">
      <c r="B187" s="61" t="s">
        <v>1732</v>
      </c>
      <c r="C187" s="45" t="s">
        <v>194</v>
      </c>
      <c r="D187" s="61" t="s">
        <v>1731</v>
      </c>
      <c r="E187" s="11" t="s">
        <v>29</v>
      </c>
    </row>
    <row r="188">
      <c r="B188" s="61" t="s">
        <v>261</v>
      </c>
      <c r="C188" s="45" t="s">
        <v>31</v>
      </c>
      <c r="D188" s="61" t="s">
        <v>1429</v>
      </c>
      <c r="E188" s="11" t="s">
        <v>33</v>
      </c>
    </row>
    <row r="189">
      <c r="B189" s="61" t="s">
        <v>1429</v>
      </c>
      <c r="C189" s="45" t="s">
        <v>176</v>
      </c>
      <c r="D189" s="61" t="s">
        <v>1730</v>
      </c>
      <c r="E189" s="11" t="s">
        <v>29</v>
      </c>
    </row>
    <row r="190">
      <c r="B190" s="61" t="s">
        <v>261</v>
      </c>
      <c r="C190" s="45" t="s">
        <v>244</v>
      </c>
      <c r="D190" s="61" t="s">
        <v>1731</v>
      </c>
      <c r="E190" s="11" t="s">
        <v>33</v>
      </c>
    </row>
    <row r="191">
      <c r="B191" s="61" t="s">
        <v>1730</v>
      </c>
      <c r="C191" s="45" t="s">
        <v>227</v>
      </c>
      <c r="D191" s="61" t="s">
        <v>1732</v>
      </c>
      <c r="E191" s="11" t="s">
        <v>29</v>
      </c>
    </row>
    <row r="192">
      <c r="B192" s="61" t="s">
        <v>1429</v>
      </c>
      <c r="C192" s="45" t="s">
        <v>44</v>
      </c>
      <c r="D192" s="61" t="s">
        <v>1731</v>
      </c>
      <c r="E192" s="11" t="s">
        <v>33</v>
      </c>
    </row>
    <row r="193">
      <c r="B193" s="61" t="s">
        <v>261</v>
      </c>
      <c r="C193" s="45" t="s">
        <v>450</v>
      </c>
      <c r="D193" s="61" t="s">
        <v>1732</v>
      </c>
      <c r="E193" s="11" t="s">
        <v>29</v>
      </c>
    </row>
    <row r="194">
      <c r="B194" s="61" t="s">
        <v>1730</v>
      </c>
      <c r="C194" s="45" t="s">
        <v>258</v>
      </c>
      <c r="D194" s="61" t="s">
        <v>1731</v>
      </c>
      <c r="E194" s="11" t="s">
        <v>33</v>
      </c>
    </row>
    <row r="195">
      <c r="B195" s="61" t="s">
        <v>1429</v>
      </c>
      <c r="C195" s="45" t="s">
        <v>173</v>
      </c>
      <c r="D195" s="61" t="s">
        <v>1732</v>
      </c>
      <c r="E195" s="11" t="s">
        <v>29</v>
      </c>
    </row>
    <row r="196">
      <c r="B196" s="61" t="s">
        <v>1730</v>
      </c>
      <c r="C196" s="45" t="s">
        <v>18</v>
      </c>
      <c r="D196" s="61" t="s">
        <v>261</v>
      </c>
      <c r="E196" s="11" t="s">
        <v>33</v>
      </c>
    </row>
    <row r="197">
      <c r="B197" s="61" t="s">
        <v>1731</v>
      </c>
      <c r="C197" s="45" t="s">
        <v>209</v>
      </c>
      <c r="D197" s="61" t="s">
        <v>1732</v>
      </c>
      <c r="E197" s="11" t="s">
        <v>29</v>
      </c>
    </row>
    <row r="198">
      <c r="B198" s="61" t="s">
        <v>1429</v>
      </c>
      <c r="C198" s="45" t="s">
        <v>195</v>
      </c>
      <c r="D198" s="61" t="s">
        <v>261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1734</v>
      </c>
      <c r="C201" s="45" t="s">
        <v>176</v>
      </c>
      <c r="D201" s="61" t="s">
        <v>1735</v>
      </c>
      <c r="E201" s="11" t="s">
        <v>29</v>
      </c>
    </row>
    <row r="202">
      <c r="B202" s="61" t="s">
        <v>1736</v>
      </c>
      <c r="C202" s="45" t="s">
        <v>335</v>
      </c>
      <c r="D202" s="61" t="s">
        <v>1737</v>
      </c>
      <c r="E202" s="11" t="s">
        <v>33</v>
      </c>
    </row>
    <row r="203">
      <c r="B203" s="61" t="s">
        <v>1738</v>
      </c>
      <c r="C203" s="45" t="s">
        <v>219</v>
      </c>
      <c r="D203" s="61" t="s">
        <v>1734</v>
      </c>
      <c r="E203" s="11" t="s">
        <v>29</v>
      </c>
    </row>
    <row r="204">
      <c r="B204" s="61" t="s">
        <v>1736</v>
      </c>
      <c r="C204" s="45" t="s">
        <v>166</v>
      </c>
      <c r="D204" s="61" t="s">
        <v>1735</v>
      </c>
      <c r="E204" s="11" t="s">
        <v>33</v>
      </c>
    </row>
    <row r="205">
      <c r="B205" s="61" t="s">
        <v>1738</v>
      </c>
      <c r="C205" s="45" t="s">
        <v>39</v>
      </c>
      <c r="D205" s="61" t="s">
        <v>1737</v>
      </c>
      <c r="E205" s="11" t="s">
        <v>29</v>
      </c>
    </row>
    <row r="206">
      <c r="B206" s="61" t="s">
        <v>1736</v>
      </c>
      <c r="C206" s="45" t="s">
        <v>449</v>
      </c>
      <c r="D206" s="61" t="s">
        <v>1734</v>
      </c>
      <c r="E206" s="11" t="s">
        <v>33</v>
      </c>
    </row>
    <row r="207">
      <c r="B207" s="61" t="s">
        <v>1738</v>
      </c>
      <c r="C207" s="45" t="s">
        <v>425</v>
      </c>
      <c r="D207" s="61" t="s">
        <v>1735</v>
      </c>
      <c r="E207" s="11" t="s">
        <v>29</v>
      </c>
    </row>
    <row r="208">
      <c r="B208" s="61" t="s">
        <v>1737</v>
      </c>
      <c r="C208" s="45" t="s">
        <v>40</v>
      </c>
      <c r="D208" s="61" t="s">
        <v>1734</v>
      </c>
      <c r="E208" s="11" t="s">
        <v>33</v>
      </c>
    </row>
    <row r="209">
      <c r="B209" s="61" t="s">
        <v>1738</v>
      </c>
      <c r="C209" s="45" t="s">
        <v>18</v>
      </c>
      <c r="D209" s="61" t="s">
        <v>1736</v>
      </c>
      <c r="E209" s="11" t="s">
        <v>29</v>
      </c>
    </row>
    <row r="210">
      <c r="B210" s="61" t="s">
        <v>1737</v>
      </c>
      <c r="C210" s="45" t="s">
        <v>536</v>
      </c>
      <c r="D210" s="61" t="s">
        <v>1735</v>
      </c>
      <c r="E210" s="11" t="s">
        <v>33</v>
      </c>
    </row>
    <row r="211">
      <c r="B211" s="61" t="s">
        <v>1735</v>
      </c>
      <c r="C211" s="45" t="s">
        <v>301</v>
      </c>
      <c r="D211" s="61" t="s">
        <v>1734</v>
      </c>
      <c r="E211" s="11" t="s">
        <v>29</v>
      </c>
    </row>
    <row r="212">
      <c r="B212" s="61" t="s">
        <v>1737</v>
      </c>
      <c r="C212" s="45" t="s">
        <v>209</v>
      </c>
      <c r="D212" s="61" t="s">
        <v>1736</v>
      </c>
      <c r="E212" s="11" t="s">
        <v>33</v>
      </c>
    </row>
    <row r="213">
      <c r="B213" s="61" t="s">
        <v>1734</v>
      </c>
      <c r="C213" s="45" t="s">
        <v>17</v>
      </c>
      <c r="D213" s="61" t="s">
        <v>1738</v>
      </c>
      <c r="E213" s="11" t="s">
        <v>29</v>
      </c>
    </row>
    <row r="214">
      <c r="B214" s="61" t="s">
        <v>1735</v>
      </c>
      <c r="C214" s="45" t="s">
        <v>278</v>
      </c>
      <c r="D214" s="61" t="s">
        <v>1736</v>
      </c>
      <c r="E214" s="11" t="s">
        <v>33</v>
      </c>
    </row>
    <row r="215">
      <c r="B215" s="61" t="s">
        <v>1737</v>
      </c>
      <c r="C215" s="45" t="s">
        <v>429</v>
      </c>
      <c r="D215" s="61" t="s">
        <v>1738</v>
      </c>
      <c r="E215" s="11" t="s">
        <v>29</v>
      </c>
    </row>
    <row r="216">
      <c r="B216" s="61" t="s">
        <v>1734</v>
      </c>
      <c r="C216" s="45" t="s">
        <v>418</v>
      </c>
      <c r="D216" s="61" t="s">
        <v>1736</v>
      </c>
      <c r="E216" s="11" t="s">
        <v>33</v>
      </c>
    </row>
    <row r="217">
      <c r="B217" s="61" t="s">
        <v>1735</v>
      </c>
      <c r="C217" s="45" t="s">
        <v>278</v>
      </c>
      <c r="D217" s="61" t="s">
        <v>1738</v>
      </c>
      <c r="E217" s="11" t="s">
        <v>29</v>
      </c>
    </row>
    <row r="218">
      <c r="B218" s="61" t="s">
        <v>1734</v>
      </c>
      <c r="C218" s="45" t="s">
        <v>525</v>
      </c>
      <c r="D218" s="61" t="s">
        <v>1737</v>
      </c>
      <c r="E218" s="11" t="s">
        <v>33</v>
      </c>
    </row>
    <row r="219">
      <c r="B219" s="61" t="s">
        <v>1736</v>
      </c>
      <c r="C219" s="45" t="s">
        <v>439</v>
      </c>
      <c r="D219" s="61" t="s">
        <v>1738</v>
      </c>
      <c r="E219" s="11" t="s">
        <v>29</v>
      </c>
    </row>
    <row r="220">
      <c r="B220" s="61" t="s">
        <v>1735</v>
      </c>
      <c r="C220" s="45" t="s">
        <v>1739</v>
      </c>
      <c r="D220" s="61" t="s">
        <v>1737</v>
      </c>
      <c r="E220" s="11" t="s">
        <v>33</v>
      </c>
    </row>
    <row r="221">
      <c r="B221" s="52" t="s">
        <v>1560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792</v>
      </c>
      <c r="C223" s="57" t="s">
        <v>278</v>
      </c>
      <c r="D223" s="62" t="s">
        <v>1740</v>
      </c>
      <c r="E223" s="11" t="s">
        <v>9</v>
      </c>
    </row>
    <row r="224">
      <c r="B224" s="62" t="s">
        <v>1741</v>
      </c>
      <c r="C224" s="57" t="s">
        <v>17</v>
      </c>
      <c r="D224" s="62" t="s">
        <v>1067</v>
      </c>
      <c r="E224" s="11" t="s">
        <v>13</v>
      </c>
    </row>
    <row r="225">
      <c r="B225" s="62" t="s">
        <v>1742</v>
      </c>
      <c r="C225" s="57" t="s">
        <v>712</v>
      </c>
      <c r="D225" s="62" t="s">
        <v>792</v>
      </c>
      <c r="E225" s="11" t="s">
        <v>9</v>
      </c>
    </row>
    <row r="226">
      <c r="B226" s="62" t="s">
        <v>1741</v>
      </c>
      <c r="C226" s="57" t="s">
        <v>302</v>
      </c>
      <c r="D226" s="62" t="s">
        <v>1740</v>
      </c>
      <c r="E226" s="11" t="s">
        <v>13</v>
      </c>
    </row>
    <row r="227">
      <c r="B227" s="62" t="s">
        <v>1742</v>
      </c>
      <c r="C227" s="57" t="s">
        <v>712</v>
      </c>
      <c r="D227" s="62" t="s">
        <v>1067</v>
      </c>
      <c r="E227" s="11" t="s">
        <v>9</v>
      </c>
    </row>
    <row r="228">
      <c r="B228" s="62" t="s">
        <v>1741</v>
      </c>
      <c r="C228" s="57" t="s">
        <v>291</v>
      </c>
      <c r="D228" s="62" t="s">
        <v>792</v>
      </c>
      <c r="E228" s="11" t="s">
        <v>13</v>
      </c>
    </row>
    <row r="229">
      <c r="B229" s="62" t="s">
        <v>1742</v>
      </c>
      <c r="C229" s="57" t="s">
        <v>162</v>
      </c>
      <c r="D229" s="62" t="s">
        <v>1740</v>
      </c>
      <c r="E229" s="11" t="s">
        <v>9</v>
      </c>
    </row>
    <row r="230">
      <c r="B230" s="62" t="s">
        <v>1067</v>
      </c>
      <c r="C230" s="57" t="s">
        <v>264</v>
      </c>
      <c r="D230" s="62" t="s">
        <v>792</v>
      </c>
      <c r="E230" s="11" t="s">
        <v>13</v>
      </c>
    </row>
    <row r="231">
      <c r="B231" s="62" t="s">
        <v>1742</v>
      </c>
      <c r="C231" s="57" t="s">
        <v>448</v>
      </c>
      <c r="D231" s="62" t="s">
        <v>1741</v>
      </c>
      <c r="E231" s="11" t="s">
        <v>9</v>
      </c>
    </row>
    <row r="232">
      <c r="B232" s="62" t="s">
        <v>1067</v>
      </c>
      <c r="C232" s="57" t="s">
        <v>302</v>
      </c>
      <c r="D232" s="62" t="s">
        <v>1740</v>
      </c>
      <c r="E232" s="11" t="s">
        <v>13</v>
      </c>
    </row>
    <row r="233">
      <c r="B233" s="62" t="s">
        <v>1740</v>
      </c>
      <c r="C233" s="57" t="s">
        <v>185</v>
      </c>
      <c r="D233" s="62" t="s">
        <v>792</v>
      </c>
      <c r="E233" s="11" t="s">
        <v>9</v>
      </c>
    </row>
    <row r="234">
      <c r="B234" s="62" t="s">
        <v>1067</v>
      </c>
      <c r="C234" s="57" t="s">
        <v>162</v>
      </c>
      <c r="D234" s="62" t="s">
        <v>1741</v>
      </c>
      <c r="E234" s="11" t="s">
        <v>13</v>
      </c>
    </row>
    <row r="235">
      <c r="B235" s="62" t="s">
        <v>792</v>
      </c>
      <c r="C235" s="45" t="s">
        <v>17</v>
      </c>
      <c r="D235" s="62" t="s">
        <v>1742</v>
      </c>
      <c r="E235" s="11" t="s">
        <v>9</v>
      </c>
    </row>
    <row r="236">
      <c r="B236" s="62" t="s">
        <v>1740</v>
      </c>
      <c r="C236" s="45" t="s">
        <v>220</v>
      </c>
      <c r="D236" s="62" t="s">
        <v>1741</v>
      </c>
      <c r="E236" s="11" t="s">
        <v>13</v>
      </c>
    </row>
    <row r="237">
      <c r="B237" s="62" t="s">
        <v>1067</v>
      </c>
      <c r="C237" s="45" t="s">
        <v>27</v>
      </c>
      <c r="D237" s="62" t="s">
        <v>1742</v>
      </c>
      <c r="E237" s="11" t="s">
        <v>9</v>
      </c>
    </row>
    <row r="238">
      <c r="B238" s="62" t="s">
        <v>792</v>
      </c>
      <c r="C238" s="45" t="s">
        <v>953</v>
      </c>
      <c r="D238" s="62" t="s">
        <v>1741</v>
      </c>
      <c r="E238" s="11" t="s">
        <v>13</v>
      </c>
    </row>
    <row r="239">
      <c r="B239" s="62" t="s">
        <v>1740</v>
      </c>
      <c r="C239" s="45" t="s">
        <v>18</v>
      </c>
      <c r="D239" s="62" t="s">
        <v>1742</v>
      </c>
      <c r="E239" s="11" t="s">
        <v>9</v>
      </c>
    </row>
    <row r="240">
      <c r="B240" s="62" t="s">
        <v>792</v>
      </c>
      <c r="C240" s="45" t="s">
        <v>163</v>
      </c>
      <c r="D240" s="62" t="s">
        <v>1067</v>
      </c>
      <c r="E240" s="11" t="s">
        <v>13</v>
      </c>
    </row>
    <row r="241">
      <c r="B241" s="62" t="s">
        <v>1741</v>
      </c>
      <c r="C241" s="45" t="s">
        <v>225</v>
      </c>
      <c r="D241" s="62" t="s">
        <v>1742</v>
      </c>
      <c r="E241" s="11" t="s">
        <v>9</v>
      </c>
    </row>
    <row r="242">
      <c r="B242" s="62" t="s">
        <v>1740</v>
      </c>
      <c r="C242" s="45" t="s">
        <v>161</v>
      </c>
      <c r="D242" s="62" t="s">
        <v>1067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1743</v>
      </c>
      <c r="C245" s="45" t="s">
        <v>43</v>
      </c>
      <c r="D245" s="62" t="s">
        <v>661</v>
      </c>
      <c r="E245" s="11" t="s">
        <v>9</v>
      </c>
    </row>
    <row r="246">
      <c r="B246" s="62" t="s">
        <v>1744</v>
      </c>
      <c r="C246" s="45" t="s">
        <v>158</v>
      </c>
      <c r="D246" s="62" t="s">
        <v>1745</v>
      </c>
      <c r="E246" s="11" t="s">
        <v>13</v>
      </c>
    </row>
    <row r="247">
      <c r="B247" s="62" t="s">
        <v>1567</v>
      </c>
      <c r="C247" s="45" t="s">
        <v>433</v>
      </c>
      <c r="D247" s="62" t="s">
        <v>1743</v>
      </c>
      <c r="E247" s="11" t="s">
        <v>9</v>
      </c>
    </row>
    <row r="248">
      <c r="B248" s="62" t="s">
        <v>1744</v>
      </c>
      <c r="C248" s="45" t="s">
        <v>23</v>
      </c>
      <c r="D248" s="62" t="s">
        <v>661</v>
      </c>
      <c r="E248" s="11" t="s">
        <v>13</v>
      </c>
    </row>
    <row r="249">
      <c r="B249" s="62" t="s">
        <v>1567</v>
      </c>
      <c r="C249" s="45" t="s">
        <v>23</v>
      </c>
      <c r="D249" s="62" t="s">
        <v>1745</v>
      </c>
      <c r="E249" s="11" t="s">
        <v>9</v>
      </c>
    </row>
    <row r="250">
      <c r="B250" s="62" t="s">
        <v>1744</v>
      </c>
      <c r="C250" s="45" t="s">
        <v>173</v>
      </c>
      <c r="D250" s="62" t="s">
        <v>1743</v>
      </c>
      <c r="E250" s="11" t="s">
        <v>13</v>
      </c>
    </row>
    <row r="251">
      <c r="B251" s="62" t="s">
        <v>1567</v>
      </c>
      <c r="C251" s="45" t="s">
        <v>517</v>
      </c>
      <c r="D251" s="62" t="s">
        <v>661</v>
      </c>
      <c r="E251" s="11" t="s">
        <v>9</v>
      </c>
    </row>
    <row r="252">
      <c r="B252" s="62" t="s">
        <v>1745</v>
      </c>
      <c r="C252" s="45" t="s">
        <v>195</v>
      </c>
      <c r="D252" s="62" t="s">
        <v>1743</v>
      </c>
      <c r="E252" s="11" t="s">
        <v>13</v>
      </c>
    </row>
    <row r="253">
      <c r="B253" s="62" t="s">
        <v>1567</v>
      </c>
      <c r="C253" s="45" t="s">
        <v>256</v>
      </c>
      <c r="D253" s="62" t="s">
        <v>1744</v>
      </c>
      <c r="E253" s="11" t="s">
        <v>9</v>
      </c>
    </row>
    <row r="254">
      <c r="B254" s="62" t="s">
        <v>1745</v>
      </c>
      <c r="C254" s="45" t="s">
        <v>250</v>
      </c>
      <c r="D254" s="62" t="s">
        <v>661</v>
      </c>
      <c r="E254" s="11" t="s">
        <v>13</v>
      </c>
    </row>
    <row r="255">
      <c r="B255" s="62" t="s">
        <v>661</v>
      </c>
      <c r="C255" s="45" t="s">
        <v>185</v>
      </c>
      <c r="D255" s="62" t="s">
        <v>1743</v>
      </c>
      <c r="E255" s="11" t="s">
        <v>9</v>
      </c>
    </row>
    <row r="256">
      <c r="B256" s="62" t="s">
        <v>1745</v>
      </c>
      <c r="C256" s="45" t="s">
        <v>158</v>
      </c>
      <c r="D256" s="62" t="s">
        <v>1744</v>
      </c>
      <c r="E256" s="11" t="s">
        <v>13</v>
      </c>
    </row>
    <row r="257">
      <c r="B257" s="62" t="s">
        <v>1743</v>
      </c>
      <c r="C257" s="45" t="s">
        <v>290</v>
      </c>
      <c r="D257" s="62" t="s">
        <v>1567</v>
      </c>
      <c r="E257" s="11" t="s">
        <v>9</v>
      </c>
    </row>
    <row r="258">
      <c r="B258" s="62" t="s">
        <v>661</v>
      </c>
      <c r="C258" s="45" t="s">
        <v>177</v>
      </c>
      <c r="D258" s="62" t="s">
        <v>1744</v>
      </c>
      <c r="E258" s="11" t="s">
        <v>13</v>
      </c>
    </row>
    <row r="259">
      <c r="B259" s="62" t="s">
        <v>1745</v>
      </c>
      <c r="C259" s="45" t="s">
        <v>220</v>
      </c>
      <c r="D259" s="62" t="s">
        <v>1567</v>
      </c>
      <c r="E259" s="11" t="s">
        <v>9</v>
      </c>
    </row>
    <row r="260">
      <c r="B260" s="62" t="s">
        <v>1743</v>
      </c>
      <c r="C260" s="45" t="s">
        <v>286</v>
      </c>
      <c r="D260" s="62" t="s">
        <v>1744</v>
      </c>
      <c r="E260" s="11" t="s">
        <v>13</v>
      </c>
    </row>
    <row r="261">
      <c r="B261" s="62" t="s">
        <v>661</v>
      </c>
      <c r="C261" s="45" t="s">
        <v>304</v>
      </c>
      <c r="D261" s="62" t="s">
        <v>1567</v>
      </c>
      <c r="E261" s="11" t="s">
        <v>9</v>
      </c>
    </row>
    <row r="262">
      <c r="B262" s="62" t="s">
        <v>1743</v>
      </c>
      <c r="C262" s="45" t="s">
        <v>159</v>
      </c>
      <c r="D262" s="62" t="s">
        <v>1745</v>
      </c>
      <c r="E262" s="11" t="s">
        <v>13</v>
      </c>
    </row>
    <row r="263">
      <c r="B263" s="62" t="s">
        <v>1744</v>
      </c>
      <c r="C263" s="45" t="s">
        <v>477</v>
      </c>
      <c r="D263" s="62" t="s">
        <v>1567</v>
      </c>
      <c r="E263" s="11" t="s">
        <v>9</v>
      </c>
    </row>
    <row r="264">
      <c r="B264" s="62" t="s">
        <v>661</v>
      </c>
      <c r="C264" s="45" t="s">
        <v>302</v>
      </c>
      <c r="D264" s="62" t="s">
        <v>1745</v>
      </c>
      <c r="E264" s="11" t="s">
        <v>13</v>
      </c>
    </row>
    <row r="265">
      <c r="B265" s="52" t="s">
        <v>1573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1683</v>
      </c>
      <c r="C267" s="45" t="s">
        <v>24</v>
      </c>
      <c r="D267" s="62" t="s">
        <v>981</v>
      </c>
      <c r="E267" s="11" t="s">
        <v>29</v>
      </c>
    </row>
    <row r="268">
      <c r="B268" s="62" t="s">
        <v>1746</v>
      </c>
      <c r="C268" s="45" t="s">
        <v>776</v>
      </c>
      <c r="D268" s="62" t="s">
        <v>1747</v>
      </c>
      <c r="E268" s="11" t="s">
        <v>33</v>
      </c>
    </row>
    <row r="269">
      <c r="B269" s="62" t="s">
        <v>1128</v>
      </c>
      <c r="C269" s="45" t="s">
        <v>162</v>
      </c>
      <c r="D269" s="62" t="s">
        <v>1683</v>
      </c>
      <c r="E269" s="11" t="s">
        <v>29</v>
      </c>
    </row>
    <row r="270">
      <c r="B270" s="62" t="s">
        <v>1746</v>
      </c>
      <c r="C270" s="45" t="s">
        <v>366</v>
      </c>
      <c r="D270" s="62" t="s">
        <v>981</v>
      </c>
      <c r="E270" s="11" t="s">
        <v>33</v>
      </c>
    </row>
    <row r="271">
      <c r="B271" s="62" t="s">
        <v>1128</v>
      </c>
      <c r="C271" s="45" t="s">
        <v>196</v>
      </c>
      <c r="D271" s="62" t="s">
        <v>1747</v>
      </c>
      <c r="E271" s="11" t="s">
        <v>29</v>
      </c>
    </row>
    <row r="272">
      <c r="B272" s="62" t="s">
        <v>1746</v>
      </c>
      <c r="C272" s="45" t="s">
        <v>181</v>
      </c>
      <c r="D272" s="62" t="s">
        <v>1683</v>
      </c>
      <c r="E272" s="11" t="s">
        <v>33</v>
      </c>
    </row>
    <row r="273">
      <c r="B273" s="62" t="s">
        <v>1128</v>
      </c>
      <c r="C273" s="45" t="s">
        <v>14</v>
      </c>
      <c r="D273" s="62" t="s">
        <v>981</v>
      </c>
      <c r="E273" s="11" t="s">
        <v>29</v>
      </c>
    </row>
    <row r="274">
      <c r="B274" s="62" t="s">
        <v>1747</v>
      </c>
      <c r="C274" s="45" t="s">
        <v>173</v>
      </c>
      <c r="D274" s="62" t="s">
        <v>1683</v>
      </c>
      <c r="E274" s="11" t="s">
        <v>33</v>
      </c>
    </row>
    <row r="275">
      <c r="B275" s="62" t="s">
        <v>1128</v>
      </c>
      <c r="C275" s="45" t="s">
        <v>394</v>
      </c>
      <c r="D275" s="62" t="s">
        <v>1746</v>
      </c>
      <c r="E275" s="11" t="s">
        <v>29</v>
      </c>
    </row>
    <row r="276">
      <c r="B276" s="62" t="s">
        <v>1747</v>
      </c>
      <c r="C276" s="45" t="s">
        <v>17</v>
      </c>
      <c r="D276" s="62" t="s">
        <v>981</v>
      </c>
      <c r="E276" s="11" t="s">
        <v>33</v>
      </c>
    </row>
    <row r="277">
      <c r="B277" s="62" t="s">
        <v>981</v>
      </c>
      <c r="C277" s="45" t="s">
        <v>158</v>
      </c>
      <c r="D277" s="62" t="s">
        <v>1683</v>
      </c>
      <c r="E277" s="11" t="s">
        <v>29</v>
      </c>
    </row>
    <row r="278">
      <c r="B278" s="62" t="s">
        <v>1747</v>
      </c>
      <c r="C278" s="45" t="s">
        <v>19</v>
      </c>
      <c r="D278" s="62" t="s">
        <v>1746</v>
      </c>
      <c r="E278" s="11" t="s">
        <v>33</v>
      </c>
    </row>
    <row r="279">
      <c r="B279" s="62" t="s">
        <v>1683</v>
      </c>
      <c r="C279" s="45" t="s">
        <v>185</v>
      </c>
      <c r="D279" s="62" t="s">
        <v>1128</v>
      </c>
      <c r="E279" s="11" t="s">
        <v>29</v>
      </c>
    </row>
    <row r="280">
      <c r="B280" s="62" t="s">
        <v>981</v>
      </c>
      <c r="C280" s="45" t="s">
        <v>1444</v>
      </c>
      <c r="D280" s="62" t="s">
        <v>1746</v>
      </c>
      <c r="E280" s="11" t="s">
        <v>33</v>
      </c>
    </row>
    <row r="281">
      <c r="B281" s="62" t="s">
        <v>1747</v>
      </c>
      <c r="C281" s="45" t="s">
        <v>1748</v>
      </c>
      <c r="D281" s="62" t="s">
        <v>1128</v>
      </c>
      <c r="E281" s="11" t="s">
        <v>29</v>
      </c>
    </row>
    <row r="282">
      <c r="B282" s="62" t="s">
        <v>1683</v>
      </c>
      <c r="C282" s="45" t="s">
        <v>1226</v>
      </c>
      <c r="D282" s="62" t="s">
        <v>1746</v>
      </c>
      <c r="E282" s="11" t="s">
        <v>33</v>
      </c>
    </row>
    <row r="283">
      <c r="B283" s="62" t="s">
        <v>981</v>
      </c>
      <c r="C283" s="45" t="s">
        <v>278</v>
      </c>
      <c r="D283" s="62" t="s">
        <v>1128</v>
      </c>
      <c r="E283" s="11" t="s">
        <v>29</v>
      </c>
    </row>
    <row r="284">
      <c r="B284" s="62" t="s">
        <v>1683</v>
      </c>
      <c r="C284" s="45" t="s">
        <v>594</v>
      </c>
      <c r="D284" s="62" t="s">
        <v>1747</v>
      </c>
      <c r="E284" s="11" t="s">
        <v>33</v>
      </c>
    </row>
    <row r="285">
      <c r="B285" s="62" t="s">
        <v>1746</v>
      </c>
      <c r="C285" s="45" t="s">
        <v>271</v>
      </c>
      <c r="D285" s="62" t="s">
        <v>1128</v>
      </c>
      <c r="E285" s="11" t="s">
        <v>29</v>
      </c>
    </row>
    <row r="286">
      <c r="B286" s="62" t="s">
        <v>981</v>
      </c>
      <c r="C286" s="45" t="s">
        <v>536</v>
      </c>
      <c r="D286" s="62" t="s">
        <v>1747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1749</v>
      </c>
      <c r="C289" s="45" t="s">
        <v>301</v>
      </c>
      <c r="D289" s="62" t="s">
        <v>1750</v>
      </c>
      <c r="E289" s="11" t="s">
        <v>29</v>
      </c>
    </row>
    <row r="290">
      <c r="B290" s="62" t="s">
        <v>453</v>
      </c>
      <c r="C290" s="45" t="s">
        <v>176</v>
      </c>
      <c r="D290" s="62" t="s">
        <v>1256</v>
      </c>
      <c r="E290" s="11" t="s">
        <v>33</v>
      </c>
    </row>
    <row r="291">
      <c r="B291" s="62" t="s">
        <v>1751</v>
      </c>
      <c r="C291" s="45" t="s">
        <v>1752</v>
      </c>
      <c r="D291" s="62" t="s">
        <v>1749</v>
      </c>
      <c r="E291" s="11" t="s">
        <v>29</v>
      </c>
    </row>
    <row r="292">
      <c r="B292" s="62" t="s">
        <v>453</v>
      </c>
      <c r="C292" s="45" t="s">
        <v>41</v>
      </c>
      <c r="D292" s="62" t="s">
        <v>1750</v>
      </c>
      <c r="E292" s="11" t="s">
        <v>33</v>
      </c>
    </row>
    <row r="293">
      <c r="B293" s="62" t="s">
        <v>1751</v>
      </c>
      <c r="C293" s="45" t="s">
        <v>279</v>
      </c>
      <c r="D293" s="62" t="s">
        <v>1256</v>
      </c>
      <c r="E293" s="11" t="s">
        <v>29</v>
      </c>
    </row>
    <row r="294">
      <c r="B294" s="62" t="s">
        <v>453</v>
      </c>
      <c r="C294" s="45" t="s">
        <v>166</v>
      </c>
      <c r="D294" s="62" t="s">
        <v>1749</v>
      </c>
      <c r="E294" s="11" t="s">
        <v>33</v>
      </c>
    </row>
    <row r="295">
      <c r="B295" s="62" t="s">
        <v>1751</v>
      </c>
      <c r="C295" s="45" t="s">
        <v>245</v>
      </c>
      <c r="D295" s="62" t="s">
        <v>1750</v>
      </c>
      <c r="E295" s="11" t="s">
        <v>29</v>
      </c>
    </row>
    <row r="296">
      <c r="B296" s="62" t="s">
        <v>1256</v>
      </c>
      <c r="C296" s="45" t="s">
        <v>441</v>
      </c>
      <c r="D296" s="62" t="s">
        <v>1749</v>
      </c>
      <c r="E296" s="11" t="s">
        <v>33</v>
      </c>
    </row>
    <row r="297">
      <c r="B297" s="62" t="s">
        <v>1751</v>
      </c>
      <c r="C297" s="45" t="s">
        <v>248</v>
      </c>
      <c r="D297" s="62" t="s">
        <v>453</v>
      </c>
      <c r="E297" s="11" t="s">
        <v>29</v>
      </c>
    </row>
    <row r="298">
      <c r="B298" s="62" t="s">
        <v>1256</v>
      </c>
      <c r="C298" s="45" t="s">
        <v>7</v>
      </c>
      <c r="D298" s="62" t="s">
        <v>1750</v>
      </c>
      <c r="E298" s="11" t="s">
        <v>33</v>
      </c>
    </row>
    <row r="299">
      <c r="B299" s="62" t="s">
        <v>1750</v>
      </c>
      <c r="C299" s="45" t="s">
        <v>225</v>
      </c>
      <c r="D299" s="62" t="s">
        <v>1749</v>
      </c>
      <c r="E299" s="11" t="s">
        <v>29</v>
      </c>
    </row>
    <row r="300">
      <c r="B300" s="62" t="s">
        <v>1256</v>
      </c>
      <c r="C300" s="45" t="s">
        <v>314</v>
      </c>
      <c r="D300" s="62" t="s">
        <v>453</v>
      </c>
      <c r="E300" s="11" t="s">
        <v>33</v>
      </c>
    </row>
    <row r="301">
      <c r="B301" s="62" t="s">
        <v>1749</v>
      </c>
      <c r="C301" s="45" t="s">
        <v>517</v>
      </c>
      <c r="D301" s="62" t="s">
        <v>1751</v>
      </c>
      <c r="E301" s="11" t="s">
        <v>29</v>
      </c>
    </row>
    <row r="302">
      <c r="B302" s="62" t="s">
        <v>1750</v>
      </c>
      <c r="C302" s="45" t="s">
        <v>17</v>
      </c>
      <c r="D302" s="62" t="s">
        <v>453</v>
      </c>
      <c r="E302" s="11" t="s">
        <v>33</v>
      </c>
    </row>
    <row r="303">
      <c r="B303" s="62" t="s">
        <v>1256</v>
      </c>
      <c r="C303" s="45" t="s">
        <v>534</v>
      </c>
      <c r="D303" s="62" t="s">
        <v>1751</v>
      </c>
      <c r="E303" s="11" t="s">
        <v>29</v>
      </c>
    </row>
    <row r="304">
      <c r="B304" s="62" t="s">
        <v>1749</v>
      </c>
      <c r="C304" s="45" t="s">
        <v>443</v>
      </c>
      <c r="D304" s="62" t="s">
        <v>453</v>
      </c>
      <c r="E304" s="11" t="s">
        <v>33</v>
      </c>
    </row>
    <row r="305">
      <c r="B305" s="62" t="s">
        <v>1750</v>
      </c>
      <c r="C305" s="45" t="s">
        <v>227</v>
      </c>
      <c r="D305" s="62" t="s">
        <v>1751</v>
      </c>
      <c r="E305" s="11" t="s">
        <v>29</v>
      </c>
    </row>
    <row r="306">
      <c r="B306" s="62" t="s">
        <v>1749</v>
      </c>
      <c r="C306" s="45" t="s">
        <v>251</v>
      </c>
      <c r="D306" s="62" t="s">
        <v>1256</v>
      </c>
      <c r="E306" s="11" t="s">
        <v>33</v>
      </c>
    </row>
    <row r="307">
      <c r="B307" s="62" t="s">
        <v>453</v>
      </c>
      <c r="C307" s="45" t="s">
        <v>271</v>
      </c>
      <c r="D307" s="62" t="s">
        <v>1751</v>
      </c>
      <c r="E307" s="11" t="s">
        <v>29</v>
      </c>
    </row>
    <row r="308">
      <c r="B308" s="62" t="s">
        <v>1750</v>
      </c>
      <c r="C308" s="45" t="s">
        <v>155</v>
      </c>
      <c r="D308" s="62" t="s">
        <v>1256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1753</v>
      </c>
      <c r="C311" s="57" t="s">
        <v>14</v>
      </c>
      <c r="D311" s="62" t="s">
        <v>1754</v>
      </c>
      <c r="E311" s="11" t="s">
        <v>9</v>
      </c>
    </row>
    <row r="312">
      <c r="B312" s="62" t="s">
        <v>1755</v>
      </c>
      <c r="C312" s="57" t="s">
        <v>161</v>
      </c>
      <c r="D312" s="62" t="s">
        <v>1756</v>
      </c>
      <c r="E312" s="11" t="s">
        <v>13</v>
      </c>
    </row>
    <row r="313">
      <c r="B313" s="62" t="s">
        <v>1646</v>
      </c>
      <c r="C313" s="57" t="s">
        <v>222</v>
      </c>
      <c r="D313" s="62" t="s">
        <v>1753</v>
      </c>
      <c r="E313" s="11" t="s">
        <v>9</v>
      </c>
    </row>
    <row r="314">
      <c r="B314" s="62" t="s">
        <v>1755</v>
      </c>
      <c r="C314" s="57" t="s">
        <v>352</v>
      </c>
      <c r="D314" s="62" t="s">
        <v>1754</v>
      </c>
      <c r="E314" s="11" t="s">
        <v>13</v>
      </c>
    </row>
    <row r="315">
      <c r="B315" s="62" t="s">
        <v>1646</v>
      </c>
      <c r="C315" s="57" t="s">
        <v>41</v>
      </c>
      <c r="D315" s="62" t="s">
        <v>1756</v>
      </c>
      <c r="E315" s="11" t="s">
        <v>9</v>
      </c>
    </row>
    <row r="316">
      <c r="B316" s="62" t="s">
        <v>1755</v>
      </c>
      <c r="C316" s="57" t="s">
        <v>16</v>
      </c>
      <c r="D316" s="62" t="s">
        <v>1753</v>
      </c>
      <c r="E316" s="11" t="s">
        <v>13</v>
      </c>
    </row>
    <row r="317">
      <c r="B317" s="62" t="s">
        <v>1646</v>
      </c>
      <c r="C317" s="57" t="s">
        <v>1757</v>
      </c>
      <c r="D317" s="62" t="s">
        <v>1754</v>
      </c>
      <c r="E317" s="11" t="s">
        <v>9</v>
      </c>
    </row>
    <row r="318">
      <c r="B318" s="62" t="s">
        <v>1756</v>
      </c>
      <c r="C318" s="57" t="s">
        <v>433</v>
      </c>
      <c r="D318" s="62" t="s">
        <v>1753</v>
      </c>
      <c r="E318" s="11" t="s">
        <v>13</v>
      </c>
    </row>
    <row r="319">
      <c r="B319" s="62" t="s">
        <v>1646</v>
      </c>
      <c r="C319" s="57" t="s">
        <v>20</v>
      </c>
      <c r="D319" s="62" t="s">
        <v>1755</v>
      </c>
      <c r="E319" s="11" t="s">
        <v>9</v>
      </c>
    </row>
    <row r="320">
      <c r="B320" s="62" t="s">
        <v>1756</v>
      </c>
      <c r="C320" s="57" t="s">
        <v>311</v>
      </c>
      <c r="D320" s="62" t="s">
        <v>1754</v>
      </c>
      <c r="E320" s="11" t="s">
        <v>13</v>
      </c>
    </row>
    <row r="321">
      <c r="B321" s="62" t="s">
        <v>1754</v>
      </c>
      <c r="C321" s="57" t="s">
        <v>197</v>
      </c>
      <c r="D321" s="62" t="s">
        <v>1753</v>
      </c>
      <c r="E321" s="11" t="s">
        <v>9</v>
      </c>
    </row>
    <row r="322">
      <c r="B322" s="62" t="s">
        <v>1756</v>
      </c>
      <c r="C322" s="57" t="s">
        <v>24</v>
      </c>
      <c r="D322" s="62" t="s">
        <v>1755</v>
      </c>
      <c r="E322" s="11" t="s">
        <v>13</v>
      </c>
    </row>
    <row r="323">
      <c r="B323" s="62" t="s">
        <v>1753</v>
      </c>
      <c r="C323" s="45" t="s">
        <v>291</v>
      </c>
      <c r="D323" s="62" t="s">
        <v>1646</v>
      </c>
      <c r="E323" s="11" t="s">
        <v>9</v>
      </c>
    </row>
    <row r="324">
      <c r="B324" s="62" t="s">
        <v>1754</v>
      </c>
      <c r="C324" s="45" t="s">
        <v>41</v>
      </c>
      <c r="D324" s="62" t="s">
        <v>1755</v>
      </c>
      <c r="E324" s="11" t="s">
        <v>13</v>
      </c>
    </row>
    <row r="325">
      <c r="B325" s="62" t="s">
        <v>1756</v>
      </c>
      <c r="C325" s="45" t="s">
        <v>351</v>
      </c>
      <c r="D325" s="62" t="s">
        <v>1646</v>
      </c>
      <c r="E325" s="11" t="s">
        <v>9</v>
      </c>
    </row>
    <row r="326">
      <c r="B326" s="62" t="s">
        <v>1753</v>
      </c>
      <c r="C326" s="45" t="s">
        <v>286</v>
      </c>
      <c r="D326" s="62" t="s">
        <v>1755</v>
      </c>
      <c r="E326" s="11" t="s">
        <v>13</v>
      </c>
    </row>
    <row r="327">
      <c r="B327" s="62" t="s">
        <v>1754</v>
      </c>
      <c r="C327" s="45" t="s">
        <v>163</v>
      </c>
      <c r="D327" s="62" t="s">
        <v>1646</v>
      </c>
      <c r="E327" s="11" t="s">
        <v>9</v>
      </c>
    </row>
    <row r="328">
      <c r="B328" s="62" t="s">
        <v>1753</v>
      </c>
      <c r="C328" s="45" t="s">
        <v>44</v>
      </c>
      <c r="D328" s="62" t="s">
        <v>1756</v>
      </c>
      <c r="E328" s="11" t="s">
        <v>13</v>
      </c>
    </row>
    <row r="329">
      <c r="B329" s="62" t="s">
        <v>1755</v>
      </c>
      <c r="C329" s="45" t="s">
        <v>16</v>
      </c>
      <c r="D329" s="62" t="s">
        <v>1646</v>
      </c>
      <c r="E329" s="11" t="s">
        <v>9</v>
      </c>
    </row>
    <row r="330">
      <c r="B330" s="62" t="s">
        <v>1754</v>
      </c>
      <c r="C330" s="45" t="s">
        <v>155</v>
      </c>
      <c r="D330" s="62" t="s">
        <v>1756</v>
      </c>
      <c r="E330" s="11" t="s">
        <v>13</v>
      </c>
    </row>
    <row r="331">
      <c r="B331" s="52" t="s">
        <v>1588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604</v>
      </c>
      <c r="C333" s="45" t="s">
        <v>23</v>
      </c>
      <c r="D333" s="62" t="s">
        <v>715</v>
      </c>
      <c r="E333" s="11" t="s">
        <v>29</v>
      </c>
    </row>
    <row r="334">
      <c r="B334" s="62" t="s">
        <v>494</v>
      </c>
      <c r="C334" s="45" t="s">
        <v>250</v>
      </c>
      <c r="D334" s="62" t="s">
        <v>1758</v>
      </c>
      <c r="E334" s="11" t="s">
        <v>33</v>
      </c>
    </row>
    <row r="335">
      <c r="B335" s="62" t="s">
        <v>1336</v>
      </c>
      <c r="C335" s="45" t="s">
        <v>198</v>
      </c>
      <c r="D335" s="62" t="s">
        <v>604</v>
      </c>
      <c r="E335" s="11" t="s">
        <v>29</v>
      </c>
    </row>
    <row r="336">
      <c r="B336" s="62" t="s">
        <v>494</v>
      </c>
      <c r="C336" s="45" t="s">
        <v>324</v>
      </c>
      <c r="D336" s="62" t="s">
        <v>715</v>
      </c>
      <c r="E336" s="11" t="s">
        <v>33</v>
      </c>
    </row>
    <row r="337">
      <c r="B337" s="62" t="s">
        <v>1336</v>
      </c>
      <c r="C337" s="45" t="s">
        <v>776</v>
      </c>
      <c r="D337" s="62" t="s">
        <v>1758</v>
      </c>
      <c r="E337" s="11" t="s">
        <v>29</v>
      </c>
    </row>
    <row r="338">
      <c r="B338" s="62" t="s">
        <v>494</v>
      </c>
      <c r="C338" s="45" t="s">
        <v>162</v>
      </c>
      <c r="D338" s="62" t="s">
        <v>604</v>
      </c>
      <c r="E338" s="11" t="s">
        <v>33</v>
      </c>
    </row>
    <row r="339">
      <c r="B339" s="62" t="s">
        <v>1336</v>
      </c>
      <c r="C339" s="45" t="s">
        <v>184</v>
      </c>
      <c r="D339" s="62" t="s">
        <v>715</v>
      </c>
      <c r="E339" s="11" t="s">
        <v>29</v>
      </c>
    </row>
    <row r="340">
      <c r="B340" s="62" t="s">
        <v>1758</v>
      </c>
      <c r="C340" s="45" t="s">
        <v>177</v>
      </c>
      <c r="D340" s="62" t="s">
        <v>604</v>
      </c>
      <c r="E340" s="11" t="s">
        <v>33</v>
      </c>
    </row>
    <row r="341">
      <c r="B341" s="62" t="s">
        <v>1336</v>
      </c>
      <c r="C341" s="45" t="s">
        <v>181</v>
      </c>
      <c r="D341" s="62" t="s">
        <v>494</v>
      </c>
      <c r="E341" s="11" t="s">
        <v>29</v>
      </c>
    </row>
    <row r="342">
      <c r="B342" s="62" t="s">
        <v>1758</v>
      </c>
      <c r="C342" s="45" t="s">
        <v>18</v>
      </c>
      <c r="D342" s="62" t="s">
        <v>715</v>
      </c>
      <c r="E342" s="11" t="s">
        <v>33</v>
      </c>
    </row>
    <row r="343">
      <c r="B343" s="62" t="s">
        <v>715</v>
      </c>
      <c r="C343" s="45" t="s">
        <v>24</v>
      </c>
      <c r="D343" s="62" t="s">
        <v>604</v>
      </c>
      <c r="E343" s="11" t="s">
        <v>29</v>
      </c>
    </row>
    <row r="344">
      <c r="B344" s="62" t="s">
        <v>1758</v>
      </c>
      <c r="C344" s="45" t="s">
        <v>155</v>
      </c>
      <c r="D344" s="62" t="s">
        <v>494</v>
      </c>
      <c r="E344" s="11" t="s">
        <v>33</v>
      </c>
    </row>
    <row r="345">
      <c r="B345" s="62" t="s">
        <v>604</v>
      </c>
      <c r="C345" s="45" t="s">
        <v>16</v>
      </c>
      <c r="D345" s="62" t="s">
        <v>1336</v>
      </c>
      <c r="E345" s="11" t="s">
        <v>29</v>
      </c>
    </row>
    <row r="346">
      <c r="B346" s="62" t="s">
        <v>715</v>
      </c>
      <c r="C346" s="45" t="s">
        <v>7</v>
      </c>
      <c r="D346" s="62" t="s">
        <v>494</v>
      </c>
      <c r="E346" s="11" t="s">
        <v>33</v>
      </c>
    </row>
    <row r="347">
      <c r="B347" s="62" t="s">
        <v>1758</v>
      </c>
      <c r="C347" s="45" t="s">
        <v>205</v>
      </c>
      <c r="D347" s="62" t="s">
        <v>1336</v>
      </c>
      <c r="E347" s="11" t="s">
        <v>29</v>
      </c>
    </row>
    <row r="348">
      <c r="B348" s="62" t="s">
        <v>604</v>
      </c>
      <c r="C348" s="45" t="s">
        <v>209</v>
      </c>
      <c r="D348" s="62" t="s">
        <v>494</v>
      </c>
      <c r="E348" s="11" t="s">
        <v>33</v>
      </c>
    </row>
    <row r="349">
      <c r="B349" s="62" t="s">
        <v>715</v>
      </c>
      <c r="C349" s="45" t="s">
        <v>209</v>
      </c>
      <c r="D349" s="62" t="s">
        <v>1336</v>
      </c>
      <c r="E349" s="11" t="s">
        <v>29</v>
      </c>
    </row>
    <row r="350">
      <c r="B350" s="62" t="s">
        <v>604</v>
      </c>
      <c r="C350" s="45" t="s">
        <v>227</v>
      </c>
      <c r="D350" s="62" t="s">
        <v>1758</v>
      </c>
      <c r="E350" s="11" t="s">
        <v>33</v>
      </c>
    </row>
    <row r="351">
      <c r="B351" s="62" t="s">
        <v>494</v>
      </c>
      <c r="C351" s="45" t="s">
        <v>43</v>
      </c>
      <c r="D351" s="62" t="s">
        <v>1336</v>
      </c>
      <c r="E351" s="11" t="s">
        <v>29</v>
      </c>
    </row>
    <row r="352">
      <c r="B352" s="62" t="s">
        <v>715</v>
      </c>
      <c r="C352" s="45" t="s">
        <v>209</v>
      </c>
      <c r="D352" s="62" t="s">
        <v>1758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1759</v>
      </c>
      <c r="C3" s="57" t="s">
        <v>43</v>
      </c>
      <c r="D3" s="62" t="s">
        <v>1760</v>
      </c>
      <c r="E3" s="11" t="s">
        <v>29</v>
      </c>
    </row>
    <row r="4">
      <c r="A4" s="90"/>
      <c r="B4" s="61" t="s">
        <v>1761</v>
      </c>
      <c r="C4" s="57" t="s">
        <v>487</v>
      </c>
      <c r="D4" s="61" t="s">
        <v>1762</v>
      </c>
      <c r="E4" s="11" t="s">
        <v>33</v>
      </c>
    </row>
    <row r="5">
      <c r="A5" s="90"/>
      <c r="B5" s="62" t="s">
        <v>1763</v>
      </c>
      <c r="C5" s="57" t="s">
        <v>336</v>
      </c>
      <c r="D5" s="61" t="s">
        <v>1759</v>
      </c>
      <c r="E5" s="11" t="s">
        <v>29</v>
      </c>
    </row>
    <row r="6">
      <c r="A6" s="90"/>
      <c r="B6" s="61" t="s">
        <v>1761</v>
      </c>
      <c r="C6" s="57" t="s">
        <v>181</v>
      </c>
      <c r="D6" s="62" t="s">
        <v>1760</v>
      </c>
      <c r="E6" s="11" t="s">
        <v>33</v>
      </c>
    </row>
    <row r="7">
      <c r="A7" s="90"/>
      <c r="B7" s="62" t="s">
        <v>1763</v>
      </c>
      <c r="C7" s="57" t="s">
        <v>18</v>
      </c>
      <c r="D7" s="61" t="s">
        <v>1762</v>
      </c>
      <c r="E7" s="11" t="s">
        <v>29</v>
      </c>
    </row>
    <row r="8">
      <c r="A8" s="90"/>
      <c r="B8" s="61" t="s">
        <v>1761</v>
      </c>
      <c r="C8" s="57" t="s">
        <v>193</v>
      </c>
      <c r="D8" s="61" t="s">
        <v>1759</v>
      </c>
      <c r="E8" s="11" t="s">
        <v>33</v>
      </c>
    </row>
    <row r="9">
      <c r="A9" s="90"/>
      <c r="B9" s="62" t="s">
        <v>1763</v>
      </c>
      <c r="C9" s="57" t="s">
        <v>194</v>
      </c>
      <c r="D9" s="62" t="s">
        <v>1760</v>
      </c>
      <c r="E9" s="11" t="s">
        <v>29</v>
      </c>
    </row>
    <row r="10">
      <c r="A10" s="90"/>
      <c r="B10" s="61" t="s">
        <v>1762</v>
      </c>
      <c r="C10" s="57" t="s">
        <v>155</v>
      </c>
      <c r="D10" s="61" t="s">
        <v>1759</v>
      </c>
      <c r="E10" s="11" t="s">
        <v>33</v>
      </c>
    </row>
    <row r="11">
      <c r="A11" s="90"/>
      <c r="B11" s="62" t="s">
        <v>1763</v>
      </c>
      <c r="C11" s="57" t="s">
        <v>638</v>
      </c>
      <c r="D11" s="61" t="s">
        <v>1761</v>
      </c>
      <c r="E11" s="11" t="s">
        <v>29</v>
      </c>
    </row>
    <row r="12">
      <c r="A12" s="90"/>
      <c r="B12" s="61" t="s">
        <v>1762</v>
      </c>
      <c r="C12" s="57" t="s">
        <v>184</v>
      </c>
      <c r="D12" s="62" t="s">
        <v>1760</v>
      </c>
      <c r="E12" s="11" t="s">
        <v>33</v>
      </c>
    </row>
    <row r="13">
      <c r="A13" s="90"/>
      <c r="B13" s="62" t="s">
        <v>1760</v>
      </c>
      <c r="C13" s="57" t="s">
        <v>193</v>
      </c>
      <c r="D13" s="61" t="s">
        <v>1759</v>
      </c>
      <c r="E13" s="11" t="s">
        <v>29</v>
      </c>
    </row>
    <row r="14">
      <c r="A14" s="90"/>
      <c r="B14" s="61" t="s">
        <v>1762</v>
      </c>
      <c r="C14" s="57" t="s">
        <v>166</v>
      </c>
      <c r="D14" s="61" t="s">
        <v>1761</v>
      </c>
      <c r="E14" s="11" t="s">
        <v>33</v>
      </c>
    </row>
    <row r="15">
      <c r="A15" s="90"/>
      <c r="B15" s="61" t="s">
        <v>1759</v>
      </c>
      <c r="C15" s="45" t="s">
        <v>194</v>
      </c>
      <c r="D15" s="62" t="s">
        <v>1763</v>
      </c>
      <c r="E15" s="11" t="s">
        <v>29</v>
      </c>
    </row>
    <row r="16">
      <c r="A16" s="90"/>
      <c r="B16" s="62" t="s">
        <v>1760</v>
      </c>
      <c r="C16" s="45" t="s">
        <v>19</v>
      </c>
      <c r="D16" s="61" t="s">
        <v>1761</v>
      </c>
      <c r="E16" s="11" t="s">
        <v>33</v>
      </c>
    </row>
    <row r="17">
      <c r="A17" s="90"/>
      <c r="B17" s="61" t="s">
        <v>1762</v>
      </c>
      <c r="C17" s="45" t="s">
        <v>166</v>
      </c>
      <c r="D17" s="62" t="s">
        <v>1763</v>
      </c>
      <c r="E17" s="11" t="s">
        <v>29</v>
      </c>
    </row>
    <row r="18">
      <c r="A18" s="90"/>
      <c r="B18" s="61" t="s">
        <v>1759</v>
      </c>
      <c r="C18" s="45" t="s">
        <v>21</v>
      </c>
      <c r="D18" s="61" t="s">
        <v>1761</v>
      </c>
      <c r="E18" s="11" t="s">
        <v>33</v>
      </c>
    </row>
    <row r="19">
      <c r="A19" s="90"/>
      <c r="B19" s="62" t="s">
        <v>1760</v>
      </c>
      <c r="C19" s="45" t="s">
        <v>354</v>
      </c>
      <c r="D19" s="62" t="s">
        <v>1763</v>
      </c>
      <c r="E19" s="11" t="s">
        <v>29</v>
      </c>
    </row>
    <row r="20">
      <c r="A20" s="90"/>
      <c r="B20" s="61" t="s">
        <v>1759</v>
      </c>
      <c r="C20" s="45" t="s">
        <v>220</v>
      </c>
      <c r="D20" s="61" t="s">
        <v>1762</v>
      </c>
      <c r="E20" s="11" t="s">
        <v>33</v>
      </c>
      <c r="I20" s="50"/>
    </row>
    <row r="21">
      <c r="A21" s="90"/>
      <c r="B21" s="61" t="s">
        <v>1761</v>
      </c>
      <c r="C21" s="45" t="s">
        <v>744</v>
      </c>
      <c r="D21" s="62" t="s">
        <v>1763</v>
      </c>
      <c r="E21" s="74" t="s">
        <v>29</v>
      </c>
    </row>
    <row r="22">
      <c r="A22" s="90"/>
      <c r="B22" s="62" t="s">
        <v>1760</v>
      </c>
      <c r="C22" s="57" t="s">
        <v>162</v>
      </c>
      <c r="D22" s="61" t="s">
        <v>1762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141</v>
      </c>
      <c r="C25" s="57" t="s">
        <v>292</v>
      </c>
      <c r="D25" s="61" t="s">
        <v>1764</v>
      </c>
      <c r="E25" s="11" t="s">
        <v>9</v>
      </c>
    </row>
    <row r="26">
      <c r="A26" s="90"/>
      <c r="B26" s="61" t="s">
        <v>1765</v>
      </c>
      <c r="C26" s="57" t="s">
        <v>256</v>
      </c>
      <c r="D26" s="61" t="s">
        <v>1766</v>
      </c>
      <c r="E26" s="11" t="s">
        <v>13</v>
      </c>
    </row>
    <row r="27">
      <c r="A27" s="90"/>
      <c r="B27" s="62" t="s">
        <v>1767</v>
      </c>
      <c r="C27" s="57" t="s">
        <v>7</v>
      </c>
      <c r="D27" s="62" t="s">
        <v>141</v>
      </c>
      <c r="E27" s="11" t="s">
        <v>9</v>
      </c>
    </row>
    <row r="28">
      <c r="A28" s="90"/>
      <c r="B28" s="61" t="s">
        <v>1765</v>
      </c>
      <c r="C28" s="57" t="s">
        <v>166</v>
      </c>
      <c r="D28" s="61" t="s">
        <v>1764</v>
      </c>
      <c r="E28" s="11" t="s">
        <v>13</v>
      </c>
    </row>
    <row r="29">
      <c r="A29" s="90"/>
      <c r="B29" s="62" t="s">
        <v>1767</v>
      </c>
      <c r="C29" s="57" t="s">
        <v>334</v>
      </c>
      <c r="D29" s="61" t="s">
        <v>1766</v>
      </c>
      <c r="E29" s="11" t="s">
        <v>9</v>
      </c>
    </row>
    <row r="30">
      <c r="A30" s="90"/>
      <c r="B30" s="61" t="s">
        <v>1765</v>
      </c>
      <c r="C30" s="57" t="s">
        <v>161</v>
      </c>
      <c r="D30" s="62" t="s">
        <v>141</v>
      </c>
      <c r="E30" s="11" t="s">
        <v>13</v>
      </c>
    </row>
    <row r="31">
      <c r="A31" s="90"/>
      <c r="B31" s="62" t="s">
        <v>1767</v>
      </c>
      <c r="C31" s="57" t="s">
        <v>774</v>
      </c>
      <c r="D31" s="61" t="s">
        <v>1764</v>
      </c>
      <c r="E31" s="11" t="s">
        <v>9</v>
      </c>
    </row>
    <row r="32">
      <c r="A32" s="90"/>
      <c r="B32" s="61" t="s">
        <v>1766</v>
      </c>
      <c r="C32" s="57" t="s">
        <v>327</v>
      </c>
      <c r="D32" s="62" t="s">
        <v>141</v>
      </c>
      <c r="E32" s="11" t="s">
        <v>13</v>
      </c>
    </row>
    <row r="33">
      <c r="A33" s="90"/>
      <c r="B33" s="62" t="s">
        <v>1767</v>
      </c>
      <c r="C33" s="57" t="s">
        <v>185</v>
      </c>
      <c r="D33" s="61" t="s">
        <v>1765</v>
      </c>
      <c r="E33" s="11" t="s">
        <v>9</v>
      </c>
    </row>
    <row r="34">
      <c r="A34" s="90"/>
      <c r="B34" s="61" t="s">
        <v>1766</v>
      </c>
      <c r="C34" s="57" t="s">
        <v>271</v>
      </c>
      <c r="D34" s="61" t="s">
        <v>1764</v>
      </c>
      <c r="E34" s="11" t="s">
        <v>13</v>
      </c>
    </row>
    <row r="35">
      <c r="A35" s="90"/>
      <c r="B35" s="61" t="s">
        <v>1764</v>
      </c>
      <c r="C35" s="57" t="s">
        <v>425</v>
      </c>
      <c r="D35" s="62" t="s">
        <v>141</v>
      </c>
      <c r="E35" s="11" t="s">
        <v>9</v>
      </c>
    </row>
    <row r="36">
      <c r="A36" s="90"/>
      <c r="B36" s="61" t="s">
        <v>1766</v>
      </c>
      <c r="C36" s="57" t="s">
        <v>193</v>
      </c>
      <c r="D36" s="61" t="s">
        <v>1765</v>
      </c>
      <c r="E36" s="11" t="s">
        <v>13</v>
      </c>
    </row>
    <row r="37">
      <c r="A37" s="90"/>
      <c r="B37" s="62" t="s">
        <v>141</v>
      </c>
      <c r="C37" s="45" t="s">
        <v>251</v>
      </c>
      <c r="D37" s="62" t="s">
        <v>1767</v>
      </c>
      <c r="E37" s="11" t="s">
        <v>9</v>
      </c>
    </row>
    <row r="38">
      <c r="A38" s="90"/>
      <c r="B38" s="61" t="s">
        <v>1764</v>
      </c>
      <c r="C38" s="45" t="s">
        <v>20</v>
      </c>
      <c r="D38" s="61" t="s">
        <v>1765</v>
      </c>
      <c r="E38" s="11" t="s">
        <v>13</v>
      </c>
    </row>
    <row r="39">
      <c r="A39" s="90"/>
      <c r="B39" s="61" t="s">
        <v>1766</v>
      </c>
      <c r="C39" s="45" t="s">
        <v>185</v>
      </c>
      <c r="D39" s="62" t="s">
        <v>1767</v>
      </c>
      <c r="E39" s="11" t="s">
        <v>9</v>
      </c>
    </row>
    <row r="40">
      <c r="A40" s="90"/>
      <c r="B40" s="62" t="s">
        <v>141</v>
      </c>
      <c r="C40" s="45" t="s">
        <v>426</v>
      </c>
      <c r="D40" s="61" t="s">
        <v>1765</v>
      </c>
      <c r="E40" s="11" t="s">
        <v>13</v>
      </c>
    </row>
    <row r="41">
      <c r="A41" s="90"/>
      <c r="B41" s="61" t="s">
        <v>1764</v>
      </c>
      <c r="C41" s="45" t="s">
        <v>957</v>
      </c>
      <c r="D41" s="62" t="s">
        <v>1767</v>
      </c>
      <c r="E41" s="11" t="s">
        <v>9</v>
      </c>
    </row>
    <row r="42">
      <c r="A42" s="90"/>
      <c r="B42" s="62" t="s">
        <v>141</v>
      </c>
      <c r="C42" s="45" t="s">
        <v>425</v>
      </c>
      <c r="D42" s="61" t="s">
        <v>1766</v>
      </c>
      <c r="E42" s="11" t="s">
        <v>13</v>
      </c>
    </row>
    <row r="43">
      <c r="A43" s="90"/>
      <c r="B43" s="61" t="s">
        <v>1765</v>
      </c>
      <c r="C43" s="45" t="s">
        <v>357</v>
      </c>
      <c r="D43" s="62" t="s">
        <v>1767</v>
      </c>
      <c r="E43" s="11" t="s">
        <v>9</v>
      </c>
    </row>
    <row r="44">
      <c r="A44" s="91"/>
      <c r="B44" s="61" t="s">
        <v>1764</v>
      </c>
      <c r="C44" s="45" t="s">
        <v>19</v>
      </c>
      <c r="D44" s="61" t="s">
        <v>1766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1768</v>
      </c>
      <c r="C47" s="57" t="s">
        <v>292</v>
      </c>
      <c r="D47" s="61" t="s">
        <v>1769</v>
      </c>
      <c r="E47" s="11" t="s">
        <v>29</v>
      </c>
    </row>
    <row r="48">
      <c r="B48" s="61" t="s">
        <v>1770</v>
      </c>
      <c r="C48" s="57" t="s">
        <v>185</v>
      </c>
      <c r="D48" s="61" t="s">
        <v>1771</v>
      </c>
      <c r="E48" s="11" t="s">
        <v>33</v>
      </c>
    </row>
    <row r="49">
      <c r="B49" s="61" t="s">
        <v>1772</v>
      </c>
      <c r="C49" s="57" t="s">
        <v>23</v>
      </c>
      <c r="D49" s="61" t="s">
        <v>1768</v>
      </c>
      <c r="E49" s="11" t="s">
        <v>29</v>
      </c>
    </row>
    <row r="50">
      <c r="B50" s="61" t="s">
        <v>1770</v>
      </c>
      <c r="C50" s="57" t="s">
        <v>209</v>
      </c>
      <c r="D50" s="61" t="s">
        <v>1769</v>
      </c>
      <c r="E50" s="11" t="s">
        <v>33</v>
      </c>
    </row>
    <row r="51">
      <c r="B51" s="61" t="s">
        <v>1772</v>
      </c>
      <c r="C51" s="57" t="s">
        <v>231</v>
      </c>
      <c r="D51" s="61" t="s">
        <v>1771</v>
      </c>
      <c r="E51" s="11" t="s">
        <v>29</v>
      </c>
      <c r="I51" s="50"/>
    </row>
    <row r="52">
      <c r="B52" s="61" t="s">
        <v>1770</v>
      </c>
      <c r="C52" s="57" t="s">
        <v>319</v>
      </c>
      <c r="D52" s="61" t="s">
        <v>1768</v>
      </c>
      <c r="E52" s="11" t="s">
        <v>33</v>
      </c>
    </row>
    <row r="53">
      <c r="B53" s="61" t="s">
        <v>1772</v>
      </c>
      <c r="C53" s="57" t="s">
        <v>193</v>
      </c>
      <c r="D53" s="61" t="s">
        <v>1769</v>
      </c>
      <c r="E53" s="11" t="s">
        <v>29</v>
      </c>
    </row>
    <row r="54">
      <c r="B54" s="61" t="s">
        <v>1771</v>
      </c>
      <c r="C54" s="57" t="s">
        <v>227</v>
      </c>
      <c r="D54" s="61" t="s">
        <v>1768</v>
      </c>
      <c r="E54" s="11" t="s">
        <v>33</v>
      </c>
    </row>
    <row r="55">
      <c r="B55" s="61" t="s">
        <v>1772</v>
      </c>
      <c r="C55" s="57" t="s">
        <v>17</v>
      </c>
      <c r="D55" s="61" t="s">
        <v>1770</v>
      </c>
      <c r="E55" s="11" t="s">
        <v>29</v>
      </c>
    </row>
    <row r="56">
      <c r="B56" s="61" t="s">
        <v>1771</v>
      </c>
      <c r="C56" s="57" t="s">
        <v>162</v>
      </c>
      <c r="D56" s="61" t="s">
        <v>1769</v>
      </c>
      <c r="E56" s="11" t="s">
        <v>33</v>
      </c>
    </row>
    <row r="57">
      <c r="B57" s="61" t="s">
        <v>1769</v>
      </c>
      <c r="C57" s="57" t="s">
        <v>248</v>
      </c>
      <c r="D57" s="61" t="s">
        <v>1768</v>
      </c>
      <c r="E57" s="11" t="s">
        <v>29</v>
      </c>
    </row>
    <row r="58">
      <c r="B58" s="61" t="s">
        <v>1771</v>
      </c>
      <c r="C58" s="57" t="s">
        <v>18</v>
      </c>
      <c r="D58" s="61" t="s">
        <v>1770</v>
      </c>
      <c r="E58" s="11" t="s">
        <v>33</v>
      </c>
    </row>
    <row r="59">
      <c r="B59" s="61" t="s">
        <v>1768</v>
      </c>
      <c r="C59" s="45" t="s">
        <v>271</v>
      </c>
      <c r="D59" s="61" t="s">
        <v>1772</v>
      </c>
      <c r="E59" s="11" t="s">
        <v>29</v>
      </c>
    </row>
    <row r="60">
      <c r="B60" s="61" t="s">
        <v>1769</v>
      </c>
      <c r="C60" s="45" t="s">
        <v>289</v>
      </c>
      <c r="D60" s="61" t="s">
        <v>1770</v>
      </c>
      <c r="E60" s="11" t="s">
        <v>33</v>
      </c>
    </row>
    <row r="61">
      <c r="B61" s="61" t="s">
        <v>1771</v>
      </c>
      <c r="C61" s="45" t="s">
        <v>233</v>
      </c>
      <c r="D61" s="61" t="s">
        <v>1772</v>
      </c>
      <c r="E61" s="11" t="s">
        <v>29</v>
      </c>
    </row>
    <row r="62">
      <c r="B62" s="61" t="s">
        <v>1768</v>
      </c>
      <c r="C62" s="45" t="s">
        <v>464</v>
      </c>
      <c r="D62" s="61" t="s">
        <v>1770</v>
      </c>
      <c r="E62" s="11" t="s">
        <v>33</v>
      </c>
    </row>
    <row r="63">
      <c r="B63" s="61" t="s">
        <v>1769</v>
      </c>
      <c r="C63" s="45" t="s">
        <v>248</v>
      </c>
      <c r="D63" s="61" t="s">
        <v>1772</v>
      </c>
      <c r="E63" s="11" t="s">
        <v>29</v>
      </c>
    </row>
    <row r="64">
      <c r="B64" s="61" t="s">
        <v>1768</v>
      </c>
      <c r="C64" s="45" t="s">
        <v>43</v>
      </c>
      <c r="D64" s="61" t="s">
        <v>1771</v>
      </c>
      <c r="E64" s="11" t="s">
        <v>33</v>
      </c>
    </row>
    <row r="65">
      <c r="B65" s="61" t="s">
        <v>1770</v>
      </c>
      <c r="C65" s="45" t="s">
        <v>20</v>
      </c>
      <c r="D65" s="61" t="s">
        <v>1772</v>
      </c>
      <c r="E65" s="11" t="s">
        <v>29</v>
      </c>
    </row>
    <row r="66">
      <c r="B66" s="61" t="s">
        <v>1769</v>
      </c>
      <c r="C66" s="45" t="s">
        <v>7</v>
      </c>
      <c r="D66" s="61" t="s">
        <v>1771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1773</v>
      </c>
      <c r="C69" s="57" t="s">
        <v>161</v>
      </c>
      <c r="D69" s="61" t="s">
        <v>240</v>
      </c>
      <c r="E69" s="11" t="s">
        <v>9</v>
      </c>
    </row>
    <row r="70">
      <c r="B70" s="61" t="s">
        <v>1774</v>
      </c>
      <c r="C70" s="57" t="s">
        <v>155</v>
      </c>
      <c r="D70" s="61" t="s">
        <v>1775</v>
      </c>
      <c r="E70" s="11" t="s">
        <v>13</v>
      </c>
    </row>
    <row r="71">
      <c r="B71" s="61" t="s">
        <v>1776</v>
      </c>
      <c r="C71" s="57" t="s">
        <v>466</v>
      </c>
      <c r="D71" s="61" t="s">
        <v>1773</v>
      </c>
      <c r="E71" s="11" t="s">
        <v>9</v>
      </c>
    </row>
    <row r="72">
      <c r="B72" s="61" t="s">
        <v>1774</v>
      </c>
      <c r="C72" s="57" t="s">
        <v>155</v>
      </c>
      <c r="D72" s="61" t="s">
        <v>240</v>
      </c>
      <c r="E72" s="11" t="s">
        <v>13</v>
      </c>
    </row>
    <row r="73">
      <c r="B73" s="61" t="s">
        <v>1776</v>
      </c>
      <c r="C73" s="57" t="s">
        <v>362</v>
      </c>
      <c r="D73" s="61" t="s">
        <v>1775</v>
      </c>
      <c r="E73" s="11" t="s">
        <v>9</v>
      </c>
    </row>
    <row r="74">
      <c r="B74" s="61" t="s">
        <v>1774</v>
      </c>
      <c r="C74" s="57" t="s">
        <v>248</v>
      </c>
      <c r="D74" s="61" t="s">
        <v>1773</v>
      </c>
      <c r="E74" s="11" t="s">
        <v>13</v>
      </c>
    </row>
    <row r="75">
      <c r="B75" s="61" t="s">
        <v>1776</v>
      </c>
      <c r="C75" s="57" t="s">
        <v>632</v>
      </c>
      <c r="D75" s="61" t="s">
        <v>240</v>
      </c>
      <c r="E75" s="11" t="s">
        <v>9</v>
      </c>
    </row>
    <row r="76">
      <c r="B76" s="61" t="s">
        <v>1775</v>
      </c>
      <c r="C76" s="57" t="s">
        <v>19</v>
      </c>
      <c r="D76" s="61" t="s">
        <v>1773</v>
      </c>
      <c r="E76" s="11" t="s">
        <v>13</v>
      </c>
    </row>
    <row r="77">
      <c r="B77" s="61" t="s">
        <v>1776</v>
      </c>
      <c r="C77" s="57" t="s">
        <v>545</v>
      </c>
      <c r="D77" s="61" t="s">
        <v>1774</v>
      </c>
      <c r="E77" s="11" t="s">
        <v>9</v>
      </c>
    </row>
    <row r="78">
      <c r="B78" s="61" t="s">
        <v>1775</v>
      </c>
      <c r="C78" s="57" t="s">
        <v>210</v>
      </c>
      <c r="D78" s="61" t="s">
        <v>240</v>
      </c>
      <c r="E78" s="11" t="s">
        <v>13</v>
      </c>
    </row>
    <row r="79">
      <c r="B79" s="61" t="s">
        <v>240</v>
      </c>
      <c r="C79" s="57" t="s">
        <v>23</v>
      </c>
      <c r="D79" s="61" t="s">
        <v>1773</v>
      </c>
      <c r="E79" s="11" t="s">
        <v>9</v>
      </c>
    </row>
    <row r="80">
      <c r="B80" s="61" t="s">
        <v>1775</v>
      </c>
      <c r="C80" s="57" t="s">
        <v>164</v>
      </c>
      <c r="D80" s="61" t="s">
        <v>1774</v>
      </c>
      <c r="E80" s="11" t="s">
        <v>13</v>
      </c>
    </row>
    <row r="81">
      <c r="B81" s="61" t="s">
        <v>1773</v>
      </c>
      <c r="C81" s="45" t="s">
        <v>696</v>
      </c>
      <c r="D81" s="61" t="s">
        <v>1776</v>
      </c>
      <c r="E81" s="11" t="s">
        <v>9</v>
      </c>
    </row>
    <row r="82">
      <c r="B82" s="61" t="s">
        <v>240</v>
      </c>
      <c r="C82" s="45" t="s">
        <v>219</v>
      </c>
      <c r="D82" s="61" t="s">
        <v>1774</v>
      </c>
      <c r="E82" s="11" t="s">
        <v>13</v>
      </c>
    </row>
    <row r="83">
      <c r="B83" s="61" t="s">
        <v>1775</v>
      </c>
      <c r="C83" s="45" t="s">
        <v>17</v>
      </c>
      <c r="D83" s="61" t="s">
        <v>1776</v>
      </c>
      <c r="E83" s="11" t="s">
        <v>9</v>
      </c>
    </row>
    <row r="84">
      <c r="B84" s="61" t="s">
        <v>1773</v>
      </c>
      <c r="C84" s="45" t="s">
        <v>744</v>
      </c>
      <c r="D84" s="61" t="s">
        <v>1774</v>
      </c>
      <c r="E84" s="11" t="s">
        <v>13</v>
      </c>
    </row>
    <row r="85">
      <c r="B85" s="61" t="s">
        <v>240</v>
      </c>
      <c r="C85" s="45" t="s">
        <v>38</v>
      </c>
      <c r="D85" s="61" t="s">
        <v>1776</v>
      </c>
      <c r="E85" s="11" t="s">
        <v>9</v>
      </c>
    </row>
    <row r="86">
      <c r="B86" s="61" t="s">
        <v>1773</v>
      </c>
      <c r="C86" s="45" t="s">
        <v>198</v>
      </c>
      <c r="D86" s="61" t="s">
        <v>1775</v>
      </c>
      <c r="E86" s="11" t="s">
        <v>13</v>
      </c>
    </row>
    <row r="87">
      <c r="B87" s="61" t="s">
        <v>1774</v>
      </c>
      <c r="C87" s="45" t="s">
        <v>394</v>
      </c>
      <c r="D87" s="61" t="s">
        <v>1776</v>
      </c>
      <c r="E87" s="11" t="s">
        <v>9</v>
      </c>
    </row>
    <row r="88">
      <c r="B88" s="61" t="s">
        <v>240</v>
      </c>
      <c r="C88" s="45" t="s">
        <v>162</v>
      </c>
      <c r="D88" s="61" t="s">
        <v>1775</v>
      </c>
      <c r="E88" s="11" t="s">
        <v>13</v>
      </c>
    </row>
    <row r="89">
      <c r="B89" s="1" t="s">
        <v>1777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1778</v>
      </c>
      <c r="C91" s="45" t="s">
        <v>281</v>
      </c>
      <c r="D91" s="61" t="s">
        <v>1779</v>
      </c>
      <c r="E91" s="11" t="s">
        <v>9</v>
      </c>
    </row>
    <row r="92">
      <c r="B92" s="61" t="s">
        <v>1780</v>
      </c>
      <c r="C92" s="45" t="s">
        <v>20</v>
      </c>
      <c r="D92" s="61" t="s">
        <v>1781</v>
      </c>
      <c r="E92" s="11" t="s">
        <v>13</v>
      </c>
    </row>
    <row r="93">
      <c r="B93" s="61" t="s">
        <v>792</v>
      </c>
      <c r="C93" s="45" t="s">
        <v>209</v>
      </c>
      <c r="D93" s="61" t="s">
        <v>1778</v>
      </c>
      <c r="E93" s="11" t="s">
        <v>9</v>
      </c>
    </row>
    <row r="94">
      <c r="B94" s="61" t="s">
        <v>1780</v>
      </c>
      <c r="C94" s="45" t="s">
        <v>248</v>
      </c>
      <c r="D94" s="61" t="s">
        <v>1779</v>
      </c>
      <c r="E94" s="11" t="s">
        <v>13</v>
      </c>
    </row>
    <row r="95">
      <c r="B95" s="61" t="s">
        <v>792</v>
      </c>
      <c r="C95" s="45" t="s">
        <v>184</v>
      </c>
      <c r="D95" s="61" t="s">
        <v>1781</v>
      </c>
      <c r="E95" s="11" t="s">
        <v>9</v>
      </c>
    </row>
    <row r="96">
      <c r="B96" s="61" t="s">
        <v>1780</v>
      </c>
      <c r="C96" s="45" t="s">
        <v>566</v>
      </c>
      <c r="D96" s="61" t="s">
        <v>1778</v>
      </c>
      <c r="E96" s="11" t="s">
        <v>13</v>
      </c>
    </row>
    <row r="97">
      <c r="B97" s="61" t="s">
        <v>792</v>
      </c>
      <c r="C97" s="45" t="s">
        <v>218</v>
      </c>
      <c r="D97" s="61" t="s">
        <v>1779</v>
      </c>
      <c r="E97" s="11" t="s">
        <v>9</v>
      </c>
    </row>
    <row r="98">
      <c r="B98" s="61" t="s">
        <v>1781</v>
      </c>
      <c r="C98" s="45" t="s">
        <v>16</v>
      </c>
      <c r="D98" s="61" t="s">
        <v>1778</v>
      </c>
      <c r="E98" s="11" t="s">
        <v>13</v>
      </c>
    </row>
    <row r="99">
      <c r="B99" s="61" t="s">
        <v>792</v>
      </c>
      <c r="C99" s="45" t="s">
        <v>181</v>
      </c>
      <c r="D99" s="61" t="s">
        <v>1780</v>
      </c>
      <c r="E99" s="11" t="s">
        <v>9</v>
      </c>
    </row>
    <row r="100">
      <c r="B100" s="61" t="s">
        <v>1781</v>
      </c>
      <c r="C100" s="45" t="s">
        <v>173</v>
      </c>
      <c r="D100" s="61" t="s">
        <v>1779</v>
      </c>
      <c r="E100" s="11" t="s">
        <v>13</v>
      </c>
    </row>
    <row r="101">
      <c r="B101" s="61" t="s">
        <v>1779</v>
      </c>
      <c r="C101" s="45" t="s">
        <v>271</v>
      </c>
      <c r="D101" s="61" t="s">
        <v>1778</v>
      </c>
      <c r="E101" s="11" t="s">
        <v>9</v>
      </c>
    </row>
    <row r="102">
      <c r="B102" s="61" t="s">
        <v>1781</v>
      </c>
      <c r="C102" s="45" t="s">
        <v>19</v>
      </c>
      <c r="D102" s="61" t="s">
        <v>1780</v>
      </c>
      <c r="E102" s="11" t="s">
        <v>13</v>
      </c>
    </row>
    <row r="103">
      <c r="B103" s="61" t="s">
        <v>1778</v>
      </c>
      <c r="C103" s="45" t="s">
        <v>216</v>
      </c>
      <c r="D103" s="61" t="s">
        <v>792</v>
      </c>
      <c r="E103" s="11" t="s">
        <v>9</v>
      </c>
    </row>
    <row r="104">
      <c r="B104" s="61" t="s">
        <v>1779</v>
      </c>
      <c r="C104" s="45" t="s">
        <v>162</v>
      </c>
      <c r="D104" s="61" t="s">
        <v>1780</v>
      </c>
      <c r="E104" s="11" t="s">
        <v>13</v>
      </c>
    </row>
    <row r="105">
      <c r="B105" s="61" t="s">
        <v>1781</v>
      </c>
      <c r="C105" s="45" t="s">
        <v>16</v>
      </c>
      <c r="D105" s="61" t="s">
        <v>792</v>
      </c>
      <c r="E105" s="11" t="s">
        <v>9</v>
      </c>
    </row>
    <row r="106">
      <c r="B106" s="61" t="s">
        <v>1778</v>
      </c>
      <c r="C106" s="45" t="s">
        <v>22</v>
      </c>
      <c r="D106" s="61" t="s">
        <v>1780</v>
      </c>
      <c r="E106" s="11" t="s">
        <v>13</v>
      </c>
    </row>
    <row r="107">
      <c r="B107" s="61" t="s">
        <v>1779</v>
      </c>
      <c r="C107" s="45" t="s">
        <v>248</v>
      </c>
      <c r="D107" s="61" t="s">
        <v>792</v>
      </c>
      <c r="E107" s="11" t="s">
        <v>9</v>
      </c>
    </row>
    <row r="108">
      <c r="B108" s="61" t="s">
        <v>1778</v>
      </c>
      <c r="C108" s="45" t="s">
        <v>203</v>
      </c>
      <c r="D108" s="61" t="s">
        <v>1781</v>
      </c>
      <c r="E108" s="11" t="s">
        <v>13</v>
      </c>
    </row>
    <row r="109">
      <c r="B109" s="61" t="s">
        <v>1780</v>
      </c>
      <c r="C109" s="45" t="s">
        <v>17</v>
      </c>
      <c r="D109" s="61" t="s">
        <v>792</v>
      </c>
      <c r="E109" s="11" t="s">
        <v>9</v>
      </c>
    </row>
    <row r="110">
      <c r="B110" s="61" t="s">
        <v>1779</v>
      </c>
      <c r="C110" s="45" t="s">
        <v>19</v>
      </c>
      <c r="D110" s="61" t="s">
        <v>1781</v>
      </c>
      <c r="E110" s="11" t="s">
        <v>13</v>
      </c>
    </row>
    <row r="111">
      <c r="B111" s="1" t="s">
        <v>1782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1783</v>
      </c>
      <c r="C113" s="57" t="s">
        <v>248</v>
      </c>
      <c r="D113" s="61" t="s">
        <v>1784</v>
      </c>
      <c r="E113" s="11" t="s">
        <v>9</v>
      </c>
    </row>
    <row r="114">
      <c r="B114" s="61" t="s">
        <v>1785</v>
      </c>
      <c r="C114" s="57" t="s">
        <v>292</v>
      </c>
      <c r="D114" s="61" t="s">
        <v>1786</v>
      </c>
      <c r="E114" s="11" t="s">
        <v>13</v>
      </c>
    </row>
    <row r="115">
      <c r="B115" s="61" t="s">
        <v>1787</v>
      </c>
      <c r="C115" s="57" t="s">
        <v>248</v>
      </c>
      <c r="D115" s="61" t="s">
        <v>1783</v>
      </c>
      <c r="E115" s="11" t="s">
        <v>9</v>
      </c>
    </row>
    <row r="116">
      <c r="B116" s="61" t="s">
        <v>1785</v>
      </c>
      <c r="C116" s="57" t="s">
        <v>41</v>
      </c>
      <c r="D116" s="61" t="s">
        <v>1784</v>
      </c>
      <c r="E116" s="11" t="s">
        <v>13</v>
      </c>
    </row>
    <row r="117">
      <c r="B117" s="61" t="s">
        <v>1787</v>
      </c>
      <c r="C117" s="57" t="s">
        <v>23</v>
      </c>
      <c r="D117" s="61" t="s">
        <v>1786</v>
      </c>
      <c r="E117" s="11" t="s">
        <v>9</v>
      </c>
    </row>
    <row r="118">
      <c r="B118" s="61" t="s">
        <v>1785</v>
      </c>
      <c r="C118" s="57" t="s">
        <v>352</v>
      </c>
      <c r="D118" s="61" t="s">
        <v>1783</v>
      </c>
      <c r="E118" s="11" t="s">
        <v>13</v>
      </c>
    </row>
    <row r="119">
      <c r="B119" s="61" t="s">
        <v>1787</v>
      </c>
      <c r="C119" s="57" t="s">
        <v>43</v>
      </c>
      <c r="D119" s="61" t="s">
        <v>1784</v>
      </c>
      <c r="E119" s="11" t="s">
        <v>9</v>
      </c>
    </row>
    <row r="120">
      <c r="B120" s="61" t="s">
        <v>1786</v>
      </c>
      <c r="C120" s="57" t="s">
        <v>292</v>
      </c>
      <c r="D120" s="61" t="s">
        <v>1783</v>
      </c>
      <c r="E120" s="11" t="s">
        <v>13</v>
      </c>
    </row>
    <row r="121">
      <c r="B121" s="61" t="s">
        <v>1787</v>
      </c>
      <c r="C121" s="57" t="s">
        <v>289</v>
      </c>
      <c r="D121" s="61" t="s">
        <v>1785</v>
      </c>
      <c r="E121" s="11" t="s">
        <v>9</v>
      </c>
    </row>
    <row r="122">
      <c r="B122" s="61" t="s">
        <v>1786</v>
      </c>
      <c r="C122" s="57" t="s">
        <v>219</v>
      </c>
      <c r="D122" s="61" t="s">
        <v>1784</v>
      </c>
      <c r="E122" s="11" t="s">
        <v>13</v>
      </c>
    </row>
    <row r="123">
      <c r="B123" s="61" t="s">
        <v>1784</v>
      </c>
      <c r="C123" s="57" t="s">
        <v>17</v>
      </c>
      <c r="D123" s="61" t="s">
        <v>1783</v>
      </c>
      <c r="E123" s="11" t="s">
        <v>9</v>
      </c>
    </row>
    <row r="124">
      <c r="B124" s="61" t="s">
        <v>1786</v>
      </c>
      <c r="C124" s="57" t="s">
        <v>165</v>
      </c>
      <c r="D124" s="61" t="s">
        <v>1785</v>
      </c>
      <c r="E124" s="11" t="s">
        <v>13</v>
      </c>
    </row>
    <row r="125">
      <c r="B125" s="61" t="s">
        <v>1783</v>
      </c>
      <c r="C125" s="57" t="s">
        <v>196</v>
      </c>
      <c r="D125" s="61" t="s">
        <v>1787</v>
      </c>
      <c r="E125" s="11" t="s">
        <v>9</v>
      </c>
    </row>
    <row r="126">
      <c r="B126" s="61" t="s">
        <v>1784</v>
      </c>
      <c r="C126" s="57" t="s">
        <v>555</v>
      </c>
      <c r="D126" s="61" t="s">
        <v>1785</v>
      </c>
      <c r="E126" s="11" t="s">
        <v>13</v>
      </c>
    </row>
    <row r="127">
      <c r="B127" s="61" t="s">
        <v>1786</v>
      </c>
      <c r="C127" s="57" t="s">
        <v>231</v>
      </c>
      <c r="D127" s="61" t="s">
        <v>1787</v>
      </c>
      <c r="E127" s="11" t="s">
        <v>9</v>
      </c>
    </row>
    <row r="128">
      <c r="B128" s="61" t="s">
        <v>1783</v>
      </c>
      <c r="C128" s="57" t="s">
        <v>44</v>
      </c>
      <c r="D128" s="61" t="s">
        <v>1785</v>
      </c>
      <c r="E128" s="11" t="s">
        <v>13</v>
      </c>
    </row>
    <row r="129">
      <c r="B129" s="61" t="s">
        <v>1784</v>
      </c>
      <c r="C129" s="57" t="s">
        <v>549</v>
      </c>
      <c r="D129" s="61" t="s">
        <v>1787</v>
      </c>
      <c r="E129" s="11" t="s">
        <v>9</v>
      </c>
    </row>
    <row r="130">
      <c r="B130" s="61" t="s">
        <v>1783</v>
      </c>
      <c r="C130" s="57" t="s">
        <v>44</v>
      </c>
      <c r="D130" s="61" t="s">
        <v>1786</v>
      </c>
      <c r="E130" s="11" t="s">
        <v>13</v>
      </c>
    </row>
    <row r="131">
      <c r="B131" s="61" t="s">
        <v>1785</v>
      </c>
      <c r="C131" s="57" t="s">
        <v>23</v>
      </c>
      <c r="D131" s="61" t="s">
        <v>1787</v>
      </c>
      <c r="E131" s="11" t="s">
        <v>9</v>
      </c>
    </row>
    <row r="132">
      <c r="B132" s="61" t="s">
        <v>1784</v>
      </c>
      <c r="C132" s="57" t="s">
        <v>291</v>
      </c>
      <c r="D132" s="61" t="s">
        <v>1786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951</v>
      </c>
      <c r="C135" s="57" t="s">
        <v>158</v>
      </c>
      <c r="D135" s="61" t="s">
        <v>876</v>
      </c>
      <c r="E135" s="11" t="s">
        <v>29</v>
      </c>
    </row>
    <row r="136">
      <c r="B136" s="61" t="s">
        <v>952</v>
      </c>
      <c r="C136" s="57" t="s">
        <v>1788</v>
      </c>
      <c r="D136" s="61" t="s">
        <v>1487</v>
      </c>
      <c r="E136" s="11" t="s">
        <v>33</v>
      </c>
    </row>
    <row r="137">
      <c r="B137" s="61" t="s">
        <v>1789</v>
      </c>
      <c r="C137" s="57" t="s">
        <v>44</v>
      </c>
      <c r="D137" s="61" t="s">
        <v>951</v>
      </c>
      <c r="E137" s="11" t="s">
        <v>29</v>
      </c>
    </row>
    <row r="138">
      <c r="B138" s="61" t="s">
        <v>952</v>
      </c>
      <c r="C138" s="57" t="s">
        <v>554</v>
      </c>
      <c r="D138" s="61" t="s">
        <v>876</v>
      </c>
      <c r="E138" s="11" t="s">
        <v>33</v>
      </c>
    </row>
    <row r="139">
      <c r="B139" s="61" t="s">
        <v>1789</v>
      </c>
      <c r="C139" s="57" t="s">
        <v>162</v>
      </c>
      <c r="D139" s="61" t="s">
        <v>1487</v>
      </c>
      <c r="E139" s="11" t="s">
        <v>29</v>
      </c>
    </row>
    <row r="140">
      <c r="B140" s="61" t="s">
        <v>952</v>
      </c>
      <c r="C140" s="57" t="s">
        <v>570</v>
      </c>
      <c r="D140" s="61" t="s">
        <v>951</v>
      </c>
      <c r="E140" s="11" t="s">
        <v>33</v>
      </c>
    </row>
    <row r="141">
      <c r="B141" s="61" t="s">
        <v>1789</v>
      </c>
      <c r="C141" s="57" t="s">
        <v>181</v>
      </c>
      <c r="D141" s="61" t="s">
        <v>876</v>
      </c>
      <c r="E141" s="11" t="s">
        <v>29</v>
      </c>
    </row>
    <row r="142">
      <c r="B142" s="61" t="s">
        <v>1487</v>
      </c>
      <c r="C142" s="57" t="s">
        <v>158</v>
      </c>
      <c r="D142" s="61" t="s">
        <v>951</v>
      </c>
      <c r="E142" s="11" t="s">
        <v>33</v>
      </c>
    </row>
    <row r="143">
      <c r="B143" s="61" t="s">
        <v>1789</v>
      </c>
      <c r="C143" s="57" t="s">
        <v>37</v>
      </c>
      <c r="D143" s="61" t="s">
        <v>952</v>
      </c>
      <c r="E143" s="11" t="s">
        <v>29</v>
      </c>
    </row>
    <row r="144">
      <c r="B144" s="61" t="s">
        <v>1487</v>
      </c>
      <c r="C144" s="57" t="s">
        <v>225</v>
      </c>
      <c r="D144" s="61" t="s">
        <v>876</v>
      </c>
      <c r="E144" s="11" t="s">
        <v>33</v>
      </c>
    </row>
    <row r="145">
      <c r="B145" s="61" t="s">
        <v>876</v>
      </c>
      <c r="C145" s="57" t="s">
        <v>38</v>
      </c>
      <c r="D145" s="61" t="s">
        <v>951</v>
      </c>
      <c r="E145" s="11" t="s">
        <v>29</v>
      </c>
    </row>
    <row r="146">
      <c r="B146" s="61" t="s">
        <v>1487</v>
      </c>
      <c r="C146" s="57" t="s">
        <v>1790</v>
      </c>
      <c r="D146" s="61" t="s">
        <v>952</v>
      </c>
      <c r="E146" s="11" t="s">
        <v>33</v>
      </c>
    </row>
    <row r="147">
      <c r="B147" s="61" t="s">
        <v>951</v>
      </c>
      <c r="C147" s="45" t="s">
        <v>209</v>
      </c>
      <c r="D147" s="61" t="s">
        <v>1789</v>
      </c>
      <c r="E147" s="11" t="s">
        <v>29</v>
      </c>
    </row>
    <row r="148">
      <c r="B148" s="61" t="s">
        <v>876</v>
      </c>
      <c r="C148" s="45" t="s">
        <v>184</v>
      </c>
      <c r="D148" s="61" t="s">
        <v>952</v>
      </c>
      <c r="E148" s="11" t="s">
        <v>33</v>
      </c>
    </row>
    <row r="149">
      <c r="B149" s="61" t="s">
        <v>1487</v>
      </c>
      <c r="C149" s="45" t="s">
        <v>155</v>
      </c>
      <c r="D149" s="61" t="s">
        <v>1789</v>
      </c>
      <c r="E149" s="11" t="s">
        <v>29</v>
      </c>
    </row>
    <row r="150">
      <c r="B150" s="61" t="s">
        <v>951</v>
      </c>
      <c r="C150" s="45" t="s">
        <v>229</v>
      </c>
      <c r="D150" s="61" t="s">
        <v>952</v>
      </c>
      <c r="E150" s="11" t="s">
        <v>33</v>
      </c>
    </row>
    <row r="151">
      <c r="B151" s="61" t="s">
        <v>876</v>
      </c>
      <c r="C151" s="45" t="s">
        <v>16</v>
      </c>
      <c r="D151" s="61" t="s">
        <v>1789</v>
      </c>
      <c r="E151" s="11" t="s">
        <v>29</v>
      </c>
    </row>
    <row r="152">
      <c r="B152" s="61" t="s">
        <v>951</v>
      </c>
      <c r="C152" s="45" t="s">
        <v>7</v>
      </c>
      <c r="D152" s="61" t="s">
        <v>1487</v>
      </c>
      <c r="E152" s="11" t="s">
        <v>33</v>
      </c>
    </row>
    <row r="153">
      <c r="B153" s="61" t="s">
        <v>952</v>
      </c>
      <c r="C153" s="45" t="s">
        <v>248</v>
      </c>
      <c r="D153" s="61" t="s">
        <v>1789</v>
      </c>
      <c r="E153" s="11" t="s">
        <v>29</v>
      </c>
    </row>
    <row r="154">
      <c r="B154" s="61" t="s">
        <v>876</v>
      </c>
      <c r="C154" s="45" t="s">
        <v>164</v>
      </c>
      <c r="D154" s="61" t="s">
        <v>1487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1791</v>
      </c>
      <c r="C157" s="45" t="s">
        <v>41</v>
      </c>
      <c r="D157" s="61" t="s">
        <v>1792</v>
      </c>
      <c r="E157" s="11" t="s">
        <v>9</v>
      </c>
    </row>
    <row r="158">
      <c r="B158" s="61" t="s">
        <v>1793</v>
      </c>
      <c r="C158" s="45" t="s">
        <v>16</v>
      </c>
      <c r="D158" s="61" t="s">
        <v>1794</v>
      </c>
      <c r="E158" s="11" t="s">
        <v>13</v>
      </c>
    </row>
    <row r="159">
      <c r="B159" s="61" t="s">
        <v>1795</v>
      </c>
      <c r="C159" s="45" t="s">
        <v>344</v>
      </c>
      <c r="D159" s="61" t="s">
        <v>1791</v>
      </c>
      <c r="E159" s="11" t="s">
        <v>9</v>
      </c>
    </row>
    <row r="160">
      <c r="B160" s="61" t="s">
        <v>1793</v>
      </c>
      <c r="C160" s="45" t="s">
        <v>173</v>
      </c>
      <c r="D160" s="61" t="s">
        <v>1792</v>
      </c>
      <c r="E160" s="11" t="s">
        <v>13</v>
      </c>
    </row>
    <row r="161">
      <c r="B161" s="61" t="s">
        <v>1795</v>
      </c>
      <c r="C161" s="45" t="s">
        <v>182</v>
      </c>
      <c r="D161" s="61" t="s">
        <v>1794</v>
      </c>
      <c r="E161" s="11" t="s">
        <v>9</v>
      </c>
      <c r="G161" s="78"/>
    </row>
    <row r="162">
      <c r="B162" s="61" t="s">
        <v>1793</v>
      </c>
      <c r="C162" s="45" t="s">
        <v>185</v>
      </c>
      <c r="D162" s="61" t="s">
        <v>1791</v>
      </c>
      <c r="E162" s="11" t="s">
        <v>13</v>
      </c>
    </row>
    <row r="163">
      <c r="B163" s="61" t="s">
        <v>1795</v>
      </c>
      <c r="C163" s="45" t="s">
        <v>184</v>
      </c>
      <c r="D163" s="61" t="s">
        <v>1792</v>
      </c>
      <c r="E163" s="11" t="s">
        <v>9</v>
      </c>
    </row>
    <row r="164">
      <c r="B164" s="61" t="s">
        <v>1794</v>
      </c>
      <c r="C164" s="45" t="s">
        <v>20</v>
      </c>
      <c r="D164" s="61" t="s">
        <v>1791</v>
      </c>
      <c r="E164" s="11" t="s">
        <v>13</v>
      </c>
    </row>
    <row r="165">
      <c r="B165" s="61" t="s">
        <v>1795</v>
      </c>
      <c r="C165" s="45" t="s">
        <v>14</v>
      </c>
      <c r="D165" s="61" t="s">
        <v>1793</v>
      </c>
      <c r="E165" s="11" t="s">
        <v>9</v>
      </c>
    </row>
    <row r="166">
      <c r="B166" s="61" t="s">
        <v>1794</v>
      </c>
      <c r="C166" s="45" t="s">
        <v>196</v>
      </c>
      <c r="D166" s="61" t="s">
        <v>1792</v>
      </c>
      <c r="E166" s="11" t="s">
        <v>13</v>
      </c>
    </row>
    <row r="167">
      <c r="B167" s="61" t="s">
        <v>1792</v>
      </c>
      <c r="C167" s="45" t="s">
        <v>651</v>
      </c>
      <c r="D167" s="61" t="s">
        <v>1791</v>
      </c>
      <c r="E167" s="11" t="s">
        <v>9</v>
      </c>
    </row>
    <row r="168">
      <c r="B168" s="61" t="s">
        <v>1794</v>
      </c>
      <c r="C168" s="45" t="s">
        <v>157</v>
      </c>
      <c r="D168" s="61" t="s">
        <v>1793</v>
      </c>
      <c r="E168" s="11" t="s">
        <v>13</v>
      </c>
    </row>
    <row r="169">
      <c r="B169" s="61" t="s">
        <v>1791</v>
      </c>
      <c r="C169" s="45" t="s">
        <v>194</v>
      </c>
      <c r="D169" s="61" t="s">
        <v>1795</v>
      </c>
      <c r="E169" s="11" t="s">
        <v>9</v>
      </c>
    </row>
    <row r="170">
      <c r="B170" s="61" t="s">
        <v>1792</v>
      </c>
      <c r="C170" s="45" t="s">
        <v>279</v>
      </c>
      <c r="D170" s="61" t="s">
        <v>1793</v>
      </c>
      <c r="E170" s="11" t="s">
        <v>13</v>
      </c>
    </row>
    <row r="171">
      <c r="B171" s="61" t="s">
        <v>1794</v>
      </c>
      <c r="C171" s="45" t="s">
        <v>39</v>
      </c>
      <c r="D171" s="61" t="s">
        <v>1795</v>
      </c>
      <c r="E171" s="11" t="s">
        <v>9</v>
      </c>
    </row>
    <row r="172">
      <c r="B172" s="61" t="s">
        <v>1791</v>
      </c>
      <c r="C172" s="45" t="s">
        <v>184</v>
      </c>
      <c r="D172" s="61" t="s">
        <v>1793</v>
      </c>
      <c r="E172" s="11" t="s">
        <v>13</v>
      </c>
    </row>
    <row r="173">
      <c r="B173" s="61" t="s">
        <v>1792</v>
      </c>
      <c r="C173" s="45" t="s">
        <v>229</v>
      </c>
      <c r="D173" s="61" t="s">
        <v>1795</v>
      </c>
      <c r="E173" s="11" t="s">
        <v>9</v>
      </c>
    </row>
    <row r="174">
      <c r="B174" s="61" t="s">
        <v>1791</v>
      </c>
      <c r="C174" s="45" t="s">
        <v>210</v>
      </c>
      <c r="D174" s="61" t="s">
        <v>1794</v>
      </c>
      <c r="E174" s="11" t="s">
        <v>13</v>
      </c>
    </row>
    <row r="175">
      <c r="B175" s="61" t="s">
        <v>1793</v>
      </c>
      <c r="C175" s="45" t="s">
        <v>227</v>
      </c>
      <c r="D175" s="61" t="s">
        <v>1795</v>
      </c>
      <c r="E175" s="11" t="s">
        <v>9</v>
      </c>
    </row>
    <row r="176">
      <c r="B176" s="61" t="s">
        <v>1792</v>
      </c>
      <c r="C176" s="45" t="s">
        <v>248</v>
      </c>
      <c r="D176" s="61" t="s">
        <v>1794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1796</v>
      </c>
      <c r="C179" s="57" t="s">
        <v>219</v>
      </c>
      <c r="D179" s="61" t="s">
        <v>1797</v>
      </c>
      <c r="E179" s="11" t="s">
        <v>29</v>
      </c>
    </row>
    <row r="180">
      <c r="B180" s="61" t="s">
        <v>1798</v>
      </c>
      <c r="C180" s="94" t="s">
        <v>1015</v>
      </c>
      <c r="D180" s="61" t="s">
        <v>1799</v>
      </c>
      <c r="E180" s="11" t="s">
        <v>33</v>
      </c>
    </row>
    <row r="181">
      <c r="B181" s="61" t="s">
        <v>1800</v>
      </c>
      <c r="C181" s="57" t="s">
        <v>271</v>
      </c>
      <c r="D181" s="61" t="s">
        <v>1796</v>
      </c>
      <c r="E181" s="11" t="s">
        <v>29</v>
      </c>
    </row>
    <row r="182">
      <c r="B182" s="61" t="s">
        <v>1798</v>
      </c>
      <c r="C182" s="57" t="s">
        <v>291</v>
      </c>
      <c r="D182" s="61" t="s">
        <v>1797</v>
      </c>
      <c r="E182" s="11" t="s">
        <v>33</v>
      </c>
    </row>
    <row r="183">
      <c r="B183" s="61" t="s">
        <v>1800</v>
      </c>
      <c r="C183" s="57" t="s">
        <v>203</v>
      </c>
      <c r="D183" s="61" t="s">
        <v>1799</v>
      </c>
      <c r="E183" s="11" t="s">
        <v>29</v>
      </c>
    </row>
    <row r="184">
      <c r="B184" s="61" t="s">
        <v>1798</v>
      </c>
      <c r="C184" s="57" t="s">
        <v>222</v>
      </c>
      <c r="D184" s="61" t="s">
        <v>1796</v>
      </c>
      <c r="E184" s="11" t="s">
        <v>33</v>
      </c>
    </row>
    <row r="185">
      <c r="B185" s="61" t="s">
        <v>1800</v>
      </c>
      <c r="C185" s="57" t="s">
        <v>18</v>
      </c>
      <c r="D185" s="61" t="s">
        <v>1797</v>
      </c>
      <c r="E185" s="11" t="s">
        <v>29</v>
      </c>
    </row>
    <row r="186">
      <c r="B186" s="61" t="s">
        <v>1799</v>
      </c>
      <c r="C186" s="57" t="s">
        <v>225</v>
      </c>
      <c r="D186" s="61" t="s">
        <v>1796</v>
      </c>
      <c r="E186" s="11" t="s">
        <v>33</v>
      </c>
    </row>
    <row r="187">
      <c r="B187" s="61" t="s">
        <v>1800</v>
      </c>
      <c r="C187" s="57" t="s">
        <v>37</v>
      </c>
      <c r="D187" s="61" t="s">
        <v>1798</v>
      </c>
      <c r="E187" s="11" t="s">
        <v>29</v>
      </c>
    </row>
    <row r="188">
      <c r="B188" s="61" t="s">
        <v>1799</v>
      </c>
      <c r="C188" s="57" t="s">
        <v>440</v>
      </c>
      <c r="D188" s="61" t="s">
        <v>1797</v>
      </c>
      <c r="E188" s="11" t="s">
        <v>33</v>
      </c>
    </row>
    <row r="189">
      <c r="B189" s="61" t="s">
        <v>1797</v>
      </c>
      <c r="C189" s="57" t="s">
        <v>16</v>
      </c>
      <c r="D189" s="61" t="s">
        <v>1796</v>
      </c>
      <c r="E189" s="11" t="s">
        <v>29</v>
      </c>
    </row>
    <row r="190">
      <c r="B190" s="61" t="s">
        <v>1799</v>
      </c>
      <c r="C190" s="57" t="s">
        <v>640</v>
      </c>
      <c r="D190" s="61" t="s">
        <v>1798</v>
      </c>
      <c r="E190" s="11" t="s">
        <v>33</v>
      </c>
    </row>
    <row r="191">
      <c r="B191" s="61" t="s">
        <v>1796</v>
      </c>
      <c r="C191" s="45" t="s">
        <v>37</v>
      </c>
      <c r="D191" s="61" t="s">
        <v>1800</v>
      </c>
      <c r="E191" s="11" t="s">
        <v>29</v>
      </c>
    </row>
    <row r="192">
      <c r="B192" s="61" t="s">
        <v>1797</v>
      </c>
      <c r="C192" s="45" t="s">
        <v>181</v>
      </c>
      <c r="D192" s="61" t="s">
        <v>1798</v>
      </c>
      <c r="E192" s="11" t="s">
        <v>33</v>
      </c>
    </row>
    <row r="193">
      <c r="B193" s="61" t="s">
        <v>1799</v>
      </c>
      <c r="C193" s="45" t="s">
        <v>576</v>
      </c>
      <c r="D193" s="61" t="s">
        <v>1800</v>
      </c>
      <c r="E193" s="11" t="s">
        <v>29</v>
      </c>
    </row>
    <row r="194">
      <c r="B194" s="61" t="s">
        <v>1796</v>
      </c>
      <c r="C194" s="45" t="s">
        <v>41</v>
      </c>
      <c r="D194" s="61" t="s">
        <v>1798</v>
      </c>
      <c r="E194" s="11" t="s">
        <v>33</v>
      </c>
    </row>
    <row r="195">
      <c r="B195" s="61" t="s">
        <v>1797</v>
      </c>
      <c r="C195" s="45" t="s">
        <v>517</v>
      </c>
      <c r="D195" s="61" t="s">
        <v>1800</v>
      </c>
      <c r="E195" s="11" t="s">
        <v>29</v>
      </c>
    </row>
    <row r="196">
      <c r="B196" s="61" t="s">
        <v>1796</v>
      </c>
      <c r="C196" s="45" t="s">
        <v>688</v>
      </c>
      <c r="D196" s="61" t="s">
        <v>1799</v>
      </c>
      <c r="E196" s="11" t="s">
        <v>33</v>
      </c>
    </row>
    <row r="197">
      <c r="B197" s="61" t="s">
        <v>1798</v>
      </c>
      <c r="C197" s="45" t="s">
        <v>239</v>
      </c>
      <c r="D197" s="61" t="s">
        <v>1800</v>
      </c>
      <c r="E197" s="11" t="s">
        <v>29</v>
      </c>
    </row>
    <row r="198">
      <c r="B198" s="61" t="s">
        <v>1797</v>
      </c>
      <c r="C198" s="45" t="s">
        <v>16</v>
      </c>
      <c r="D198" s="61" t="s">
        <v>1799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859</v>
      </c>
      <c r="C201" s="57" t="s">
        <v>177</v>
      </c>
      <c r="D201" s="61" t="s">
        <v>1199</v>
      </c>
      <c r="E201" s="11" t="s">
        <v>29</v>
      </c>
    </row>
    <row r="202">
      <c r="B202" s="61" t="s">
        <v>920</v>
      </c>
      <c r="C202" s="57" t="s">
        <v>220</v>
      </c>
      <c r="D202" s="61" t="s">
        <v>1801</v>
      </c>
      <c r="E202" s="11" t="s">
        <v>33</v>
      </c>
    </row>
    <row r="203">
      <c r="B203" s="61" t="s">
        <v>1802</v>
      </c>
      <c r="C203" s="57" t="s">
        <v>161</v>
      </c>
      <c r="D203" s="61" t="s">
        <v>859</v>
      </c>
      <c r="E203" s="11" t="s">
        <v>29</v>
      </c>
    </row>
    <row r="204">
      <c r="B204" s="61" t="s">
        <v>920</v>
      </c>
      <c r="C204" s="57" t="s">
        <v>160</v>
      </c>
      <c r="D204" s="61" t="s">
        <v>1199</v>
      </c>
      <c r="E204" s="11" t="s">
        <v>33</v>
      </c>
    </row>
    <row r="205">
      <c r="B205" s="61" t="s">
        <v>1802</v>
      </c>
      <c r="C205" s="57" t="s">
        <v>311</v>
      </c>
      <c r="D205" s="61" t="s">
        <v>1801</v>
      </c>
      <c r="E205" s="11" t="s">
        <v>29</v>
      </c>
    </row>
    <row r="206">
      <c r="B206" s="61" t="s">
        <v>920</v>
      </c>
      <c r="C206" s="57" t="s">
        <v>181</v>
      </c>
      <c r="D206" s="61" t="s">
        <v>859</v>
      </c>
      <c r="E206" s="11" t="s">
        <v>33</v>
      </c>
    </row>
    <row r="207">
      <c r="B207" s="61" t="s">
        <v>1802</v>
      </c>
      <c r="C207" s="57" t="s">
        <v>24</v>
      </c>
      <c r="D207" s="61" t="s">
        <v>1199</v>
      </c>
      <c r="E207" s="11" t="s">
        <v>29</v>
      </c>
    </row>
    <row r="208">
      <c r="B208" s="61" t="s">
        <v>1801</v>
      </c>
      <c r="C208" s="57" t="s">
        <v>163</v>
      </c>
      <c r="D208" s="61" t="s">
        <v>859</v>
      </c>
      <c r="E208" s="11" t="s">
        <v>33</v>
      </c>
    </row>
    <row r="209">
      <c r="B209" s="61" t="s">
        <v>1802</v>
      </c>
      <c r="C209" s="57" t="s">
        <v>164</v>
      </c>
      <c r="D209" s="61" t="s">
        <v>920</v>
      </c>
      <c r="E209" s="11" t="s">
        <v>29</v>
      </c>
    </row>
    <row r="210">
      <c r="B210" s="61" t="s">
        <v>1801</v>
      </c>
      <c r="C210" s="57" t="s">
        <v>193</v>
      </c>
      <c r="D210" s="61" t="s">
        <v>1199</v>
      </c>
      <c r="E210" s="11" t="s">
        <v>33</v>
      </c>
    </row>
    <row r="211">
      <c r="B211" s="61" t="s">
        <v>1199</v>
      </c>
      <c r="C211" s="57" t="s">
        <v>248</v>
      </c>
      <c r="D211" s="61" t="s">
        <v>859</v>
      </c>
      <c r="E211" s="11" t="s">
        <v>29</v>
      </c>
    </row>
    <row r="212">
      <c r="B212" s="61" t="s">
        <v>1801</v>
      </c>
      <c r="C212" s="57" t="s">
        <v>173</v>
      </c>
      <c r="D212" s="61" t="s">
        <v>920</v>
      </c>
      <c r="E212" s="11" t="s">
        <v>33</v>
      </c>
    </row>
    <row r="213">
      <c r="B213" s="61" t="s">
        <v>859</v>
      </c>
      <c r="C213" s="45" t="s">
        <v>14</v>
      </c>
      <c r="D213" s="61" t="s">
        <v>1802</v>
      </c>
      <c r="E213" s="11" t="s">
        <v>29</v>
      </c>
    </row>
    <row r="214">
      <c r="B214" s="61" t="s">
        <v>1199</v>
      </c>
      <c r="C214" s="45" t="s">
        <v>979</v>
      </c>
      <c r="D214" s="61" t="s">
        <v>920</v>
      </c>
      <c r="E214" s="11" t="s">
        <v>33</v>
      </c>
    </row>
    <row r="215">
      <c r="B215" s="61" t="s">
        <v>1801</v>
      </c>
      <c r="C215" s="45" t="s">
        <v>233</v>
      </c>
      <c r="D215" s="61" t="s">
        <v>1802</v>
      </c>
      <c r="E215" s="11" t="s">
        <v>29</v>
      </c>
      <c r="L215" s="50">
        <v>2.0</v>
      </c>
    </row>
    <row r="216">
      <c r="B216" s="61" t="s">
        <v>859</v>
      </c>
      <c r="C216" s="45" t="s">
        <v>208</v>
      </c>
      <c r="D216" s="61" t="s">
        <v>920</v>
      </c>
      <c r="E216" s="11" t="s">
        <v>33</v>
      </c>
    </row>
    <row r="217">
      <c r="B217" s="61" t="s">
        <v>1199</v>
      </c>
      <c r="C217" s="45" t="s">
        <v>344</v>
      </c>
      <c r="D217" s="61" t="s">
        <v>1802</v>
      </c>
      <c r="E217" s="11" t="s">
        <v>29</v>
      </c>
    </row>
    <row r="218">
      <c r="B218" s="61" t="s">
        <v>859</v>
      </c>
      <c r="C218" s="45" t="s">
        <v>195</v>
      </c>
      <c r="D218" s="61" t="s">
        <v>1801</v>
      </c>
      <c r="E218" s="11" t="s">
        <v>33</v>
      </c>
    </row>
    <row r="219">
      <c r="B219" s="61" t="s">
        <v>920</v>
      </c>
      <c r="C219" s="45" t="s">
        <v>185</v>
      </c>
      <c r="D219" s="61" t="s">
        <v>1802</v>
      </c>
      <c r="E219" s="11" t="s">
        <v>29</v>
      </c>
    </row>
    <row r="220">
      <c r="B220" s="61" t="s">
        <v>1199</v>
      </c>
      <c r="C220" s="45" t="s">
        <v>344</v>
      </c>
      <c r="D220" s="61" t="s">
        <v>1801</v>
      </c>
      <c r="E220" s="11" t="s">
        <v>33</v>
      </c>
    </row>
    <row r="221">
      <c r="B221" s="52" t="s">
        <v>1803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1804</v>
      </c>
      <c r="C223" s="57" t="s">
        <v>41</v>
      </c>
      <c r="D223" s="62" t="s">
        <v>1412</v>
      </c>
      <c r="E223" s="11" t="s">
        <v>9</v>
      </c>
    </row>
    <row r="224">
      <c r="B224" s="62" t="s">
        <v>1805</v>
      </c>
      <c r="C224" s="57" t="s">
        <v>41</v>
      </c>
      <c r="D224" s="62" t="s">
        <v>1806</v>
      </c>
      <c r="E224" s="11" t="s">
        <v>13</v>
      </c>
    </row>
    <row r="225">
      <c r="B225" s="62" t="s">
        <v>1807</v>
      </c>
      <c r="C225" s="57" t="s">
        <v>196</v>
      </c>
      <c r="D225" s="62" t="s">
        <v>1804</v>
      </c>
      <c r="E225" s="11" t="s">
        <v>9</v>
      </c>
    </row>
    <row r="226">
      <c r="B226" s="62" t="s">
        <v>1805</v>
      </c>
      <c r="C226" s="57" t="s">
        <v>344</v>
      </c>
      <c r="D226" s="62" t="s">
        <v>1412</v>
      </c>
      <c r="E226" s="11" t="s">
        <v>13</v>
      </c>
    </row>
    <row r="227">
      <c r="B227" s="62" t="s">
        <v>1807</v>
      </c>
      <c r="C227" s="57" t="s">
        <v>248</v>
      </c>
      <c r="D227" s="62" t="s">
        <v>1806</v>
      </c>
      <c r="E227" s="11" t="s">
        <v>9</v>
      </c>
    </row>
    <row r="228">
      <c r="B228" s="62" t="s">
        <v>1805</v>
      </c>
      <c r="C228" s="57" t="s">
        <v>610</v>
      </c>
      <c r="D228" s="62" t="s">
        <v>1804</v>
      </c>
      <c r="E228" s="11" t="s">
        <v>13</v>
      </c>
    </row>
    <row r="229">
      <c r="B229" s="62" t="s">
        <v>1807</v>
      </c>
      <c r="C229" s="57" t="s">
        <v>16</v>
      </c>
      <c r="D229" s="62" t="s">
        <v>1412</v>
      </c>
      <c r="E229" s="11" t="s">
        <v>9</v>
      </c>
    </row>
    <row r="230">
      <c r="B230" s="62" t="s">
        <v>1806</v>
      </c>
      <c r="C230" s="57" t="s">
        <v>193</v>
      </c>
      <c r="D230" s="62" t="s">
        <v>1804</v>
      </c>
      <c r="E230" s="11" t="s">
        <v>13</v>
      </c>
    </row>
    <row r="231">
      <c r="B231" s="62" t="s">
        <v>1807</v>
      </c>
      <c r="C231" s="57" t="s">
        <v>193</v>
      </c>
      <c r="D231" s="62" t="s">
        <v>1805</v>
      </c>
      <c r="E231" s="11" t="s">
        <v>9</v>
      </c>
    </row>
    <row r="232">
      <c r="B232" s="62" t="s">
        <v>1806</v>
      </c>
      <c r="C232" s="57" t="s">
        <v>14</v>
      </c>
      <c r="D232" s="62" t="s">
        <v>1412</v>
      </c>
      <c r="E232" s="11" t="s">
        <v>13</v>
      </c>
    </row>
    <row r="233">
      <c r="B233" s="62" t="s">
        <v>1412</v>
      </c>
      <c r="C233" s="57" t="s">
        <v>41</v>
      </c>
      <c r="D233" s="62" t="s">
        <v>1804</v>
      </c>
      <c r="E233" s="11" t="s">
        <v>9</v>
      </c>
    </row>
    <row r="234">
      <c r="B234" s="62" t="s">
        <v>1806</v>
      </c>
      <c r="C234" s="57" t="s">
        <v>231</v>
      </c>
      <c r="D234" s="62" t="s">
        <v>1805</v>
      </c>
      <c r="E234" s="11" t="s">
        <v>13</v>
      </c>
    </row>
    <row r="235">
      <c r="B235" s="62" t="s">
        <v>1804</v>
      </c>
      <c r="C235" s="45" t="s">
        <v>440</v>
      </c>
      <c r="D235" s="62" t="s">
        <v>1807</v>
      </c>
      <c r="E235" s="11" t="s">
        <v>9</v>
      </c>
    </row>
    <row r="236">
      <c r="B236" s="62" t="s">
        <v>1412</v>
      </c>
      <c r="C236" s="45" t="s">
        <v>203</v>
      </c>
      <c r="D236" s="62" t="s">
        <v>1805</v>
      </c>
      <c r="E236" s="11" t="s">
        <v>13</v>
      </c>
    </row>
    <row r="237">
      <c r="B237" s="62" t="s">
        <v>1806</v>
      </c>
      <c r="C237" s="45" t="s">
        <v>41</v>
      </c>
      <c r="D237" s="62" t="s">
        <v>1807</v>
      </c>
      <c r="E237" s="11" t="s">
        <v>9</v>
      </c>
    </row>
    <row r="238">
      <c r="B238" s="62" t="s">
        <v>1804</v>
      </c>
      <c r="C238" s="45" t="s">
        <v>19</v>
      </c>
      <c r="D238" s="62" t="s">
        <v>1805</v>
      </c>
      <c r="E238" s="11" t="s">
        <v>13</v>
      </c>
    </row>
    <row r="239">
      <c r="B239" s="62" t="s">
        <v>1412</v>
      </c>
      <c r="C239" s="45" t="s">
        <v>155</v>
      </c>
      <c r="D239" s="62" t="s">
        <v>1807</v>
      </c>
      <c r="E239" s="11" t="s">
        <v>9</v>
      </c>
    </row>
    <row r="240">
      <c r="B240" s="62" t="s">
        <v>1804</v>
      </c>
      <c r="C240" s="45" t="s">
        <v>362</v>
      </c>
      <c r="D240" s="62" t="s">
        <v>1806</v>
      </c>
      <c r="E240" s="11" t="s">
        <v>13</v>
      </c>
    </row>
    <row r="241">
      <c r="B241" s="62" t="s">
        <v>1805</v>
      </c>
      <c r="C241" s="45" t="s">
        <v>181</v>
      </c>
      <c r="D241" s="62" t="s">
        <v>1807</v>
      </c>
      <c r="E241" s="11" t="s">
        <v>9</v>
      </c>
    </row>
    <row r="242">
      <c r="B242" s="62" t="s">
        <v>1412</v>
      </c>
      <c r="C242" s="45" t="s">
        <v>209</v>
      </c>
      <c r="D242" s="62" t="s">
        <v>1806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1808</v>
      </c>
      <c r="C245" s="45" t="s">
        <v>209</v>
      </c>
      <c r="D245" s="62" t="s">
        <v>1809</v>
      </c>
      <c r="E245" s="11" t="s">
        <v>9</v>
      </c>
    </row>
    <row r="246">
      <c r="B246" s="62" t="s">
        <v>1810</v>
      </c>
      <c r="C246" s="45" t="s">
        <v>464</v>
      </c>
      <c r="D246" s="62" t="s">
        <v>1811</v>
      </c>
      <c r="E246" s="11" t="s">
        <v>13</v>
      </c>
    </row>
    <row r="247">
      <c r="B247" s="62" t="s">
        <v>1812</v>
      </c>
      <c r="C247" s="45" t="s">
        <v>292</v>
      </c>
      <c r="D247" s="62" t="s">
        <v>1808</v>
      </c>
      <c r="E247" s="11" t="s">
        <v>9</v>
      </c>
    </row>
    <row r="248">
      <c r="B248" s="62" t="s">
        <v>1810</v>
      </c>
      <c r="C248" s="45" t="s">
        <v>229</v>
      </c>
      <c r="D248" s="62" t="s">
        <v>1809</v>
      </c>
      <c r="E248" s="11" t="s">
        <v>13</v>
      </c>
    </row>
    <row r="249">
      <c r="B249" s="62" t="s">
        <v>1812</v>
      </c>
      <c r="C249" s="45" t="s">
        <v>185</v>
      </c>
      <c r="D249" s="62" t="s">
        <v>1811</v>
      </c>
      <c r="E249" s="11" t="s">
        <v>9</v>
      </c>
    </row>
    <row r="250">
      <c r="B250" s="62" t="s">
        <v>1810</v>
      </c>
      <c r="C250" s="45" t="s">
        <v>161</v>
      </c>
      <c r="D250" s="62" t="s">
        <v>1808</v>
      </c>
      <c r="E250" s="11" t="s">
        <v>13</v>
      </c>
    </row>
    <row r="251">
      <c r="B251" s="62" t="s">
        <v>1812</v>
      </c>
      <c r="C251" s="45" t="s">
        <v>1813</v>
      </c>
      <c r="D251" s="62" t="s">
        <v>1809</v>
      </c>
      <c r="E251" s="11" t="s">
        <v>9</v>
      </c>
    </row>
    <row r="252">
      <c r="B252" s="62" t="s">
        <v>1811</v>
      </c>
      <c r="C252" s="45" t="s">
        <v>23</v>
      </c>
      <c r="D252" s="62" t="s">
        <v>1808</v>
      </c>
      <c r="E252" s="11" t="s">
        <v>13</v>
      </c>
    </row>
    <row r="253">
      <c r="B253" s="62" t="s">
        <v>1812</v>
      </c>
      <c r="C253" s="45" t="s">
        <v>1814</v>
      </c>
      <c r="D253" s="62" t="s">
        <v>1810</v>
      </c>
      <c r="E253" s="11" t="s">
        <v>9</v>
      </c>
    </row>
    <row r="254">
      <c r="B254" s="62" t="s">
        <v>1811</v>
      </c>
      <c r="C254" s="45" t="s">
        <v>16</v>
      </c>
      <c r="D254" s="62" t="s">
        <v>1809</v>
      </c>
      <c r="E254" s="11" t="s">
        <v>13</v>
      </c>
    </row>
    <row r="255">
      <c r="B255" s="62" t="s">
        <v>1809</v>
      </c>
      <c r="C255" s="45" t="s">
        <v>38</v>
      </c>
      <c r="D255" s="62" t="s">
        <v>1808</v>
      </c>
      <c r="E255" s="11" t="s">
        <v>9</v>
      </c>
    </row>
    <row r="256">
      <c r="B256" s="62" t="s">
        <v>1811</v>
      </c>
      <c r="C256" s="45" t="s">
        <v>426</v>
      </c>
      <c r="D256" s="62" t="s">
        <v>1810</v>
      </c>
      <c r="E256" s="11" t="s">
        <v>13</v>
      </c>
    </row>
    <row r="257">
      <c r="B257" s="62" t="s">
        <v>1808</v>
      </c>
      <c r="C257" s="45" t="s">
        <v>404</v>
      </c>
      <c r="D257" s="62" t="s">
        <v>1812</v>
      </c>
      <c r="E257" s="11" t="s">
        <v>9</v>
      </c>
    </row>
    <row r="258">
      <c r="B258" s="62" t="s">
        <v>1809</v>
      </c>
      <c r="C258" s="45" t="s">
        <v>230</v>
      </c>
      <c r="D258" s="62" t="s">
        <v>1810</v>
      </c>
      <c r="E258" s="11" t="s">
        <v>13</v>
      </c>
    </row>
    <row r="259">
      <c r="B259" s="62" t="s">
        <v>1811</v>
      </c>
      <c r="C259" s="45" t="s">
        <v>155</v>
      </c>
      <c r="D259" s="62" t="s">
        <v>1812</v>
      </c>
      <c r="E259" s="11" t="s">
        <v>9</v>
      </c>
    </row>
    <row r="260">
      <c r="B260" s="62" t="s">
        <v>1808</v>
      </c>
      <c r="C260" s="45" t="s">
        <v>327</v>
      </c>
      <c r="D260" s="62" t="s">
        <v>1810</v>
      </c>
      <c r="E260" s="11" t="s">
        <v>13</v>
      </c>
    </row>
    <row r="261">
      <c r="B261" s="62" t="s">
        <v>1809</v>
      </c>
      <c r="C261" s="45" t="s">
        <v>743</v>
      </c>
      <c r="D261" s="62" t="s">
        <v>1812</v>
      </c>
      <c r="E261" s="11" t="s">
        <v>9</v>
      </c>
    </row>
    <row r="262">
      <c r="B262" s="62" t="s">
        <v>1808</v>
      </c>
      <c r="C262" s="45" t="s">
        <v>38</v>
      </c>
      <c r="D262" s="62" t="s">
        <v>1811</v>
      </c>
      <c r="E262" s="11" t="s">
        <v>13</v>
      </c>
    </row>
    <row r="263">
      <c r="B263" s="62" t="s">
        <v>1810</v>
      </c>
      <c r="C263" s="45" t="s">
        <v>547</v>
      </c>
      <c r="D263" s="62" t="s">
        <v>1812</v>
      </c>
      <c r="E263" s="11" t="s">
        <v>9</v>
      </c>
    </row>
    <row r="264">
      <c r="B264" s="62" t="s">
        <v>1809</v>
      </c>
      <c r="C264" s="45" t="s">
        <v>18</v>
      </c>
      <c r="D264" s="62" t="s">
        <v>1811</v>
      </c>
      <c r="E264" s="11" t="s">
        <v>13</v>
      </c>
    </row>
    <row r="265">
      <c r="B265" s="52" t="s">
        <v>100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1370</v>
      </c>
      <c r="C267" s="57" t="s">
        <v>281</v>
      </c>
      <c r="D267" s="62" t="s">
        <v>1437</v>
      </c>
      <c r="E267" s="11" t="s">
        <v>29</v>
      </c>
    </row>
    <row r="268">
      <c r="B268" s="62" t="s">
        <v>1038</v>
      </c>
      <c r="C268" s="57" t="s">
        <v>38</v>
      </c>
      <c r="D268" s="62" t="s">
        <v>1815</v>
      </c>
      <c r="E268" s="11" t="s">
        <v>33</v>
      </c>
    </row>
    <row r="269">
      <c r="B269" s="62" t="s">
        <v>1816</v>
      </c>
      <c r="C269" s="57" t="s">
        <v>271</v>
      </c>
      <c r="D269" s="62" t="s">
        <v>1370</v>
      </c>
      <c r="E269" s="11" t="s">
        <v>29</v>
      </c>
    </row>
    <row r="270">
      <c r="B270" s="62" t="s">
        <v>1038</v>
      </c>
      <c r="C270" s="57" t="s">
        <v>315</v>
      </c>
      <c r="D270" s="62" t="s">
        <v>1437</v>
      </c>
      <c r="E270" s="11" t="s">
        <v>33</v>
      </c>
    </row>
    <row r="271">
      <c r="B271" s="62" t="s">
        <v>1816</v>
      </c>
      <c r="C271" s="57" t="s">
        <v>24</v>
      </c>
      <c r="D271" s="62" t="s">
        <v>1815</v>
      </c>
      <c r="E271" s="11" t="s">
        <v>29</v>
      </c>
    </row>
    <row r="272">
      <c r="B272" s="62" t="s">
        <v>1038</v>
      </c>
      <c r="C272" s="57" t="s">
        <v>27</v>
      </c>
      <c r="D272" s="62" t="s">
        <v>1370</v>
      </c>
      <c r="E272" s="11" t="s">
        <v>33</v>
      </c>
    </row>
    <row r="273">
      <c r="B273" s="62" t="s">
        <v>1816</v>
      </c>
      <c r="C273" s="57" t="s">
        <v>14</v>
      </c>
      <c r="D273" s="62" t="s">
        <v>1437</v>
      </c>
      <c r="E273" s="11" t="s">
        <v>29</v>
      </c>
    </row>
    <row r="274">
      <c r="B274" s="62" t="s">
        <v>1815</v>
      </c>
      <c r="C274" s="57" t="s">
        <v>7</v>
      </c>
      <c r="D274" s="62" t="s">
        <v>1370</v>
      </c>
      <c r="E274" s="11" t="s">
        <v>33</v>
      </c>
    </row>
    <row r="275">
      <c r="B275" s="62" t="s">
        <v>1816</v>
      </c>
      <c r="C275" s="57" t="s">
        <v>1619</v>
      </c>
      <c r="D275" s="62" t="s">
        <v>1038</v>
      </c>
      <c r="E275" s="11" t="s">
        <v>29</v>
      </c>
    </row>
    <row r="276">
      <c r="B276" s="62" t="s">
        <v>1815</v>
      </c>
      <c r="C276" s="57" t="s">
        <v>210</v>
      </c>
      <c r="D276" s="62" t="s">
        <v>1437</v>
      </c>
      <c r="E276" s="11" t="s">
        <v>33</v>
      </c>
    </row>
    <row r="277">
      <c r="B277" s="62" t="s">
        <v>1437</v>
      </c>
      <c r="C277" s="57" t="s">
        <v>257</v>
      </c>
      <c r="D277" s="62" t="s">
        <v>1370</v>
      </c>
      <c r="E277" s="11" t="s">
        <v>29</v>
      </c>
    </row>
    <row r="278">
      <c r="B278" s="62" t="s">
        <v>1815</v>
      </c>
      <c r="C278" s="57" t="s">
        <v>271</v>
      </c>
      <c r="D278" s="62" t="s">
        <v>1038</v>
      </c>
      <c r="E278" s="11" t="s">
        <v>33</v>
      </c>
    </row>
    <row r="279">
      <c r="B279" s="62" t="s">
        <v>1370</v>
      </c>
      <c r="C279" s="45" t="s">
        <v>194</v>
      </c>
      <c r="D279" s="62" t="s">
        <v>1816</v>
      </c>
      <c r="E279" s="11" t="s">
        <v>29</v>
      </c>
    </row>
    <row r="280">
      <c r="B280" s="62" t="s">
        <v>1437</v>
      </c>
      <c r="C280" s="45" t="s">
        <v>750</v>
      </c>
      <c r="D280" s="62" t="s">
        <v>1038</v>
      </c>
      <c r="E280" s="11" t="s">
        <v>33</v>
      </c>
    </row>
    <row r="281">
      <c r="B281" s="62" t="s">
        <v>1815</v>
      </c>
      <c r="C281" s="45" t="s">
        <v>279</v>
      </c>
      <c r="D281" s="62" t="s">
        <v>1816</v>
      </c>
      <c r="E281" s="11" t="s">
        <v>29</v>
      </c>
    </row>
    <row r="282">
      <c r="B282" s="62" t="s">
        <v>1370</v>
      </c>
      <c r="C282" s="45" t="s">
        <v>696</v>
      </c>
      <c r="D282" s="62" t="s">
        <v>1038</v>
      </c>
      <c r="E282" s="11" t="s">
        <v>33</v>
      </c>
    </row>
    <row r="283">
      <c r="B283" s="62" t="s">
        <v>1437</v>
      </c>
      <c r="C283" s="45" t="s">
        <v>20</v>
      </c>
      <c r="D283" s="62" t="s">
        <v>1816</v>
      </c>
      <c r="E283" s="11" t="s">
        <v>29</v>
      </c>
    </row>
    <row r="284">
      <c r="B284" s="62" t="s">
        <v>1370</v>
      </c>
      <c r="C284" s="45" t="s">
        <v>27</v>
      </c>
      <c r="D284" s="62" t="s">
        <v>1815</v>
      </c>
      <c r="E284" s="11" t="s">
        <v>33</v>
      </c>
    </row>
    <row r="285">
      <c r="B285" s="62" t="s">
        <v>1038</v>
      </c>
      <c r="C285" s="45" t="s">
        <v>967</v>
      </c>
      <c r="D285" s="62" t="s">
        <v>1816</v>
      </c>
      <c r="E285" s="11" t="s">
        <v>29</v>
      </c>
    </row>
    <row r="286">
      <c r="B286" s="62" t="s">
        <v>1437</v>
      </c>
      <c r="C286" s="45" t="s">
        <v>380</v>
      </c>
      <c r="D286" s="62" t="s">
        <v>1815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1817</v>
      </c>
      <c r="C289" s="57" t="s">
        <v>203</v>
      </c>
      <c r="D289" s="62" t="s">
        <v>1818</v>
      </c>
      <c r="E289" s="11" t="s">
        <v>29</v>
      </c>
    </row>
    <row r="290">
      <c r="B290" s="62" t="s">
        <v>1819</v>
      </c>
      <c r="C290" s="57" t="s">
        <v>264</v>
      </c>
      <c r="D290" s="62" t="s">
        <v>1820</v>
      </c>
      <c r="E290" s="11" t="s">
        <v>33</v>
      </c>
    </row>
    <row r="291">
      <c r="B291" s="62" t="s">
        <v>1821</v>
      </c>
      <c r="C291" s="57" t="s">
        <v>239</v>
      </c>
      <c r="D291" s="62" t="s">
        <v>1817</v>
      </c>
      <c r="E291" s="11" t="s">
        <v>29</v>
      </c>
    </row>
    <row r="292">
      <c r="B292" s="62" t="s">
        <v>1819</v>
      </c>
      <c r="C292" s="57" t="s">
        <v>908</v>
      </c>
      <c r="D292" s="62" t="s">
        <v>1818</v>
      </c>
      <c r="E292" s="11" t="s">
        <v>33</v>
      </c>
    </row>
    <row r="293">
      <c r="B293" s="62" t="s">
        <v>1821</v>
      </c>
      <c r="C293" s="57" t="s">
        <v>23</v>
      </c>
      <c r="D293" s="62" t="s">
        <v>1820</v>
      </c>
      <c r="E293" s="11" t="s">
        <v>29</v>
      </c>
    </row>
    <row r="294">
      <c r="B294" s="62" t="s">
        <v>1819</v>
      </c>
      <c r="C294" s="57" t="s">
        <v>426</v>
      </c>
      <c r="D294" s="62" t="s">
        <v>1817</v>
      </c>
      <c r="E294" s="11" t="s">
        <v>33</v>
      </c>
    </row>
    <row r="295">
      <c r="B295" s="62" t="s">
        <v>1821</v>
      </c>
      <c r="C295" s="57" t="s">
        <v>245</v>
      </c>
      <c r="D295" s="62" t="s">
        <v>1818</v>
      </c>
      <c r="E295" s="11" t="s">
        <v>29</v>
      </c>
    </row>
    <row r="296">
      <c r="B296" s="62" t="s">
        <v>1820</v>
      </c>
      <c r="C296" s="57" t="s">
        <v>218</v>
      </c>
      <c r="D296" s="62" t="s">
        <v>1817</v>
      </c>
      <c r="E296" s="11" t="s">
        <v>33</v>
      </c>
    </row>
    <row r="297">
      <c r="B297" s="62" t="s">
        <v>1821</v>
      </c>
      <c r="C297" s="57" t="s">
        <v>17</v>
      </c>
      <c r="D297" s="62" t="s">
        <v>1819</v>
      </c>
      <c r="E297" s="11" t="s">
        <v>29</v>
      </c>
    </row>
    <row r="298">
      <c r="B298" s="62" t="s">
        <v>1820</v>
      </c>
      <c r="C298" s="57" t="s">
        <v>193</v>
      </c>
      <c r="D298" s="62" t="s">
        <v>1818</v>
      </c>
      <c r="E298" s="11" t="s">
        <v>33</v>
      </c>
    </row>
    <row r="299">
      <c r="B299" s="62" t="s">
        <v>1818</v>
      </c>
      <c r="C299" s="57" t="s">
        <v>1822</v>
      </c>
      <c r="D299" s="62" t="s">
        <v>1817</v>
      </c>
      <c r="E299" s="11" t="s">
        <v>29</v>
      </c>
    </row>
    <row r="300">
      <c r="B300" s="62" t="s">
        <v>1820</v>
      </c>
      <c r="C300" s="57" t="s">
        <v>41</v>
      </c>
      <c r="D300" s="62" t="s">
        <v>1819</v>
      </c>
      <c r="E300" s="11" t="s">
        <v>33</v>
      </c>
    </row>
    <row r="301">
      <c r="B301" s="62" t="s">
        <v>1817</v>
      </c>
      <c r="C301" s="45" t="s">
        <v>38</v>
      </c>
      <c r="D301" s="62" t="s">
        <v>1821</v>
      </c>
      <c r="E301" s="11" t="s">
        <v>29</v>
      </c>
    </row>
    <row r="302">
      <c r="B302" s="62" t="s">
        <v>1818</v>
      </c>
      <c r="C302" s="45" t="s">
        <v>37</v>
      </c>
      <c r="D302" s="62" t="s">
        <v>1819</v>
      </c>
      <c r="E302" s="11" t="s">
        <v>33</v>
      </c>
    </row>
    <row r="303">
      <c r="B303" s="62" t="s">
        <v>1820</v>
      </c>
      <c r="C303" s="45" t="s">
        <v>344</v>
      </c>
      <c r="D303" s="62" t="s">
        <v>1821</v>
      </c>
      <c r="E303" s="11" t="s">
        <v>29</v>
      </c>
    </row>
    <row r="304">
      <c r="B304" s="62" t="s">
        <v>1817</v>
      </c>
      <c r="C304" s="45" t="s">
        <v>380</v>
      </c>
      <c r="D304" s="62" t="s">
        <v>1819</v>
      </c>
      <c r="E304" s="11" t="s">
        <v>33</v>
      </c>
    </row>
    <row r="305">
      <c r="B305" s="62" t="s">
        <v>1818</v>
      </c>
      <c r="C305" s="45" t="s">
        <v>38</v>
      </c>
      <c r="D305" s="62" t="s">
        <v>1821</v>
      </c>
      <c r="E305" s="11" t="s">
        <v>29</v>
      </c>
    </row>
    <row r="306">
      <c r="B306" s="62" t="s">
        <v>1817</v>
      </c>
      <c r="C306" s="45" t="s">
        <v>14</v>
      </c>
      <c r="D306" s="62" t="s">
        <v>1820</v>
      </c>
      <c r="E306" s="11" t="s">
        <v>33</v>
      </c>
    </row>
    <row r="307">
      <c r="B307" s="62" t="s">
        <v>1819</v>
      </c>
      <c r="C307" s="45" t="s">
        <v>38</v>
      </c>
      <c r="D307" s="62" t="s">
        <v>1821</v>
      </c>
      <c r="E307" s="11" t="s">
        <v>29</v>
      </c>
    </row>
    <row r="308">
      <c r="B308" s="62" t="s">
        <v>1818</v>
      </c>
      <c r="C308" s="45" t="s">
        <v>211</v>
      </c>
      <c r="D308" s="62" t="s">
        <v>1820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1518</v>
      </c>
      <c r="C311" s="57" t="s">
        <v>218</v>
      </c>
      <c r="D311" s="62" t="s">
        <v>1823</v>
      </c>
      <c r="E311" s="11" t="s">
        <v>9</v>
      </c>
    </row>
    <row r="312">
      <c r="B312" s="62" t="s">
        <v>1824</v>
      </c>
      <c r="C312" s="57" t="s">
        <v>751</v>
      </c>
      <c r="D312" s="62" t="s">
        <v>486</v>
      </c>
      <c r="E312" s="11" t="s">
        <v>13</v>
      </c>
    </row>
    <row r="313">
      <c r="B313" s="62" t="s">
        <v>1825</v>
      </c>
      <c r="C313" s="57" t="s">
        <v>161</v>
      </c>
      <c r="D313" s="62" t="s">
        <v>1518</v>
      </c>
      <c r="E313" s="11" t="s">
        <v>9</v>
      </c>
    </row>
    <row r="314">
      <c r="B314" s="62" t="s">
        <v>1824</v>
      </c>
      <c r="C314" s="57" t="s">
        <v>248</v>
      </c>
      <c r="D314" s="62" t="s">
        <v>1823</v>
      </c>
      <c r="E314" s="11" t="s">
        <v>13</v>
      </c>
    </row>
    <row r="315">
      <c r="B315" s="62" t="s">
        <v>1825</v>
      </c>
      <c r="C315" s="57" t="s">
        <v>311</v>
      </c>
      <c r="D315" s="62" t="s">
        <v>486</v>
      </c>
      <c r="E315" s="11" t="s">
        <v>9</v>
      </c>
    </row>
    <row r="316">
      <c r="B316" s="62" t="s">
        <v>1824</v>
      </c>
      <c r="C316" s="57" t="s">
        <v>18</v>
      </c>
      <c r="D316" s="62" t="s">
        <v>1518</v>
      </c>
      <c r="E316" s="11" t="s">
        <v>13</v>
      </c>
    </row>
    <row r="317">
      <c r="B317" s="62" t="s">
        <v>1825</v>
      </c>
      <c r="C317" s="57" t="s">
        <v>268</v>
      </c>
      <c r="D317" s="62" t="s">
        <v>1823</v>
      </c>
      <c r="E317" s="11" t="s">
        <v>9</v>
      </c>
    </row>
    <row r="318">
      <c r="B318" s="62" t="s">
        <v>486</v>
      </c>
      <c r="C318" s="57" t="s">
        <v>7</v>
      </c>
      <c r="D318" s="62" t="s">
        <v>1518</v>
      </c>
      <c r="E318" s="11" t="s">
        <v>13</v>
      </c>
    </row>
    <row r="319">
      <c r="B319" s="62" t="s">
        <v>1825</v>
      </c>
      <c r="C319" s="57" t="s">
        <v>163</v>
      </c>
      <c r="D319" s="62" t="s">
        <v>1824</v>
      </c>
      <c r="E319" s="11" t="s">
        <v>9</v>
      </c>
    </row>
    <row r="320">
      <c r="B320" s="62" t="s">
        <v>486</v>
      </c>
      <c r="C320" s="57" t="s">
        <v>248</v>
      </c>
      <c r="D320" s="62" t="s">
        <v>1823</v>
      </c>
      <c r="E320" s="11" t="s">
        <v>13</v>
      </c>
    </row>
    <row r="321">
      <c r="B321" s="62" t="s">
        <v>1823</v>
      </c>
      <c r="C321" s="57" t="s">
        <v>20</v>
      </c>
      <c r="D321" s="62" t="s">
        <v>1518</v>
      </c>
      <c r="E321" s="11" t="s">
        <v>9</v>
      </c>
    </row>
    <row r="322">
      <c r="B322" s="62" t="s">
        <v>486</v>
      </c>
      <c r="C322" s="57" t="s">
        <v>610</v>
      </c>
      <c r="D322" s="62" t="s">
        <v>1824</v>
      </c>
      <c r="E322" s="11" t="s">
        <v>13</v>
      </c>
    </row>
    <row r="323">
      <c r="B323" s="62" t="s">
        <v>1518</v>
      </c>
      <c r="C323" s="45" t="s">
        <v>545</v>
      </c>
      <c r="D323" s="62" t="s">
        <v>1825</v>
      </c>
      <c r="E323" s="11" t="s">
        <v>9</v>
      </c>
    </row>
    <row r="324">
      <c r="B324" s="62" t="s">
        <v>1823</v>
      </c>
      <c r="C324" s="45" t="s">
        <v>610</v>
      </c>
      <c r="D324" s="62" t="s">
        <v>1824</v>
      </c>
      <c r="E324" s="11" t="s">
        <v>13</v>
      </c>
    </row>
    <row r="325">
      <c r="B325" s="62" t="s">
        <v>486</v>
      </c>
      <c r="C325" s="45" t="s">
        <v>362</v>
      </c>
      <c r="D325" s="62" t="s">
        <v>1825</v>
      </c>
      <c r="E325" s="11" t="s">
        <v>9</v>
      </c>
    </row>
    <row r="326">
      <c r="B326" s="62" t="s">
        <v>1518</v>
      </c>
      <c r="C326" s="45" t="s">
        <v>245</v>
      </c>
      <c r="D326" s="62" t="s">
        <v>1824</v>
      </c>
      <c r="E326" s="11" t="s">
        <v>13</v>
      </c>
    </row>
    <row r="327">
      <c r="B327" s="62" t="s">
        <v>1823</v>
      </c>
      <c r="C327" s="45" t="s">
        <v>248</v>
      </c>
      <c r="D327" s="62" t="s">
        <v>1825</v>
      </c>
      <c r="E327" s="11" t="s">
        <v>9</v>
      </c>
    </row>
    <row r="328">
      <c r="B328" s="62" t="s">
        <v>1518</v>
      </c>
      <c r="C328" s="45" t="s">
        <v>18</v>
      </c>
      <c r="D328" s="62" t="s">
        <v>486</v>
      </c>
      <c r="E328" s="11" t="s">
        <v>13</v>
      </c>
    </row>
    <row r="329">
      <c r="B329" s="62" t="s">
        <v>1824</v>
      </c>
      <c r="C329" s="45" t="s">
        <v>36</v>
      </c>
      <c r="D329" s="62" t="s">
        <v>1825</v>
      </c>
      <c r="E329" s="11" t="s">
        <v>9</v>
      </c>
    </row>
    <row r="330">
      <c r="B330" s="62" t="s">
        <v>1823</v>
      </c>
      <c r="C330" s="45" t="s">
        <v>20</v>
      </c>
      <c r="D330" s="62" t="s">
        <v>486</v>
      </c>
      <c r="E330" s="11" t="s">
        <v>13</v>
      </c>
    </row>
    <row r="331">
      <c r="B331" s="52" t="s">
        <v>122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56" t="s">
        <v>341</v>
      </c>
      <c r="C333" s="45" t="s">
        <v>376</v>
      </c>
      <c r="D333" s="62" t="s">
        <v>1826</v>
      </c>
      <c r="E333" s="11" t="s">
        <v>29</v>
      </c>
    </row>
    <row r="334">
      <c r="B334" s="62" t="s">
        <v>123</v>
      </c>
      <c r="C334" s="45" t="s">
        <v>18</v>
      </c>
      <c r="D334" s="62" t="s">
        <v>126</v>
      </c>
      <c r="E334" s="11" t="s">
        <v>33</v>
      </c>
    </row>
    <row r="335">
      <c r="B335" s="62" t="s">
        <v>468</v>
      </c>
      <c r="C335" s="45" t="s">
        <v>16</v>
      </c>
      <c r="D335" s="56" t="s">
        <v>341</v>
      </c>
      <c r="E335" s="11" t="s">
        <v>29</v>
      </c>
    </row>
    <row r="336">
      <c r="B336" s="62" t="s">
        <v>123</v>
      </c>
      <c r="C336" s="45" t="s">
        <v>525</v>
      </c>
      <c r="D336" s="62" t="s">
        <v>1826</v>
      </c>
      <c r="E336" s="11" t="s">
        <v>33</v>
      </c>
    </row>
    <row r="337">
      <c r="B337" s="62" t="s">
        <v>468</v>
      </c>
      <c r="C337" s="45" t="s">
        <v>225</v>
      </c>
      <c r="D337" s="62" t="s">
        <v>126</v>
      </c>
      <c r="E337" s="11" t="s">
        <v>29</v>
      </c>
    </row>
    <row r="338">
      <c r="B338" s="62" t="s">
        <v>123</v>
      </c>
      <c r="C338" s="45" t="s">
        <v>464</v>
      </c>
      <c r="D338" s="56" t="s">
        <v>341</v>
      </c>
      <c r="E338" s="11" t="s">
        <v>33</v>
      </c>
    </row>
    <row r="339">
      <c r="B339" s="62" t="s">
        <v>468</v>
      </c>
      <c r="C339" s="45" t="s">
        <v>248</v>
      </c>
      <c r="D339" s="62" t="s">
        <v>1826</v>
      </c>
      <c r="E339" s="11" t="s">
        <v>29</v>
      </c>
    </row>
    <row r="340">
      <c r="B340" s="62" t="s">
        <v>126</v>
      </c>
      <c r="C340" s="45" t="s">
        <v>43</v>
      </c>
      <c r="D340" s="56" t="s">
        <v>341</v>
      </c>
      <c r="E340" s="11" t="s">
        <v>33</v>
      </c>
    </row>
    <row r="341">
      <c r="B341" s="62" t="s">
        <v>468</v>
      </c>
      <c r="C341" s="45" t="s">
        <v>181</v>
      </c>
      <c r="D341" s="62" t="s">
        <v>123</v>
      </c>
      <c r="E341" s="11" t="s">
        <v>29</v>
      </c>
    </row>
    <row r="342">
      <c r="B342" s="62" t="s">
        <v>126</v>
      </c>
      <c r="C342" s="45" t="s">
        <v>250</v>
      </c>
      <c r="D342" s="62" t="s">
        <v>1826</v>
      </c>
      <c r="E342" s="11" t="s">
        <v>33</v>
      </c>
    </row>
    <row r="343">
      <c r="B343" s="62" t="s">
        <v>1826</v>
      </c>
      <c r="C343" s="45" t="s">
        <v>20</v>
      </c>
      <c r="D343" s="56" t="s">
        <v>341</v>
      </c>
      <c r="E343" s="11" t="s">
        <v>29</v>
      </c>
    </row>
    <row r="344">
      <c r="B344" s="62" t="s">
        <v>126</v>
      </c>
      <c r="C344" s="45" t="s">
        <v>20</v>
      </c>
      <c r="D344" s="62" t="s">
        <v>123</v>
      </c>
      <c r="E344" s="11" t="s">
        <v>33</v>
      </c>
    </row>
    <row r="345">
      <c r="B345" s="56" t="s">
        <v>341</v>
      </c>
      <c r="C345" s="45" t="s">
        <v>198</v>
      </c>
      <c r="D345" s="62" t="s">
        <v>468</v>
      </c>
      <c r="E345" s="11" t="s">
        <v>29</v>
      </c>
    </row>
    <row r="346">
      <c r="B346" s="62" t="s">
        <v>1826</v>
      </c>
      <c r="C346" s="45" t="s">
        <v>232</v>
      </c>
      <c r="D346" s="62" t="s">
        <v>123</v>
      </c>
      <c r="E346" s="11" t="s">
        <v>33</v>
      </c>
    </row>
    <row r="347">
      <c r="B347" s="62" t="s">
        <v>126</v>
      </c>
      <c r="C347" s="45" t="s">
        <v>18</v>
      </c>
      <c r="D347" s="62" t="s">
        <v>468</v>
      </c>
      <c r="E347" s="11" t="s">
        <v>29</v>
      </c>
    </row>
    <row r="348">
      <c r="B348" s="56" t="s">
        <v>341</v>
      </c>
      <c r="C348" s="45" t="s">
        <v>14</v>
      </c>
      <c r="D348" s="62" t="s">
        <v>123</v>
      </c>
      <c r="E348" s="11" t="s">
        <v>33</v>
      </c>
    </row>
    <row r="349">
      <c r="B349" s="62" t="s">
        <v>1826</v>
      </c>
      <c r="C349" s="45" t="s">
        <v>394</v>
      </c>
      <c r="D349" s="62" t="s">
        <v>468</v>
      </c>
      <c r="E349" s="11" t="s">
        <v>29</v>
      </c>
    </row>
    <row r="350">
      <c r="B350" s="56" t="s">
        <v>341</v>
      </c>
      <c r="C350" s="45" t="s">
        <v>17</v>
      </c>
      <c r="D350" s="62" t="s">
        <v>126</v>
      </c>
      <c r="E350" s="11" t="s">
        <v>33</v>
      </c>
    </row>
    <row r="351">
      <c r="B351" s="62" t="s">
        <v>123</v>
      </c>
      <c r="C351" s="45" t="s">
        <v>219</v>
      </c>
      <c r="D351" s="62" t="s">
        <v>468</v>
      </c>
      <c r="E351" s="11" t="s">
        <v>29</v>
      </c>
    </row>
    <row r="352">
      <c r="B352" s="62" t="s">
        <v>1826</v>
      </c>
      <c r="C352" s="45" t="s">
        <v>185</v>
      </c>
      <c r="D352" s="62" t="s">
        <v>126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861</v>
      </c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1827</v>
      </c>
      <c r="C3" s="57" t="s">
        <v>181</v>
      </c>
      <c r="D3" s="62" t="s">
        <v>1763</v>
      </c>
      <c r="E3" s="11" t="s">
        <v>29</v>
      </c>
    </row>
    <row r="4">
      <c r="A4" s="90"/>
      <c r="B4" s="61" t="s">
        <v>1828</v>
      </c>
      <c r="C4" s="57" t="s">
        <v>292</v>
      </c>
      <c r="D4" s="61" t="s">
        <v>1759</v>
      </c>
      <c r="E4" s="11" t="s">
        <v>33</v>
      </c>
    </row>
    <row r="5">
      <c r="A5" s="90"/>
      <c r="B5" s="62" t="s">
        <v>1829</v>
      </c>
      <c r="C5" s="57" t="s">
        <v>582</v>
      </c>
      <c r="D5" s="61" t="s">
        <v>1827</v>
      </c>
      <c r="E5" s="11" t="s">
        <v>29</v>
      </c>
    </row>
    <row r="6">
      <c r="A6" s="90"/>
      <c r="B6" s="61" t="s">
        <v>1828</v>
      </c>
      <c r="C6" s="57" t="s">
        <v>17</v>
      </c>
      <c r="D6" s="62" t="s">
        <v>1763</v>
      </c>
      <c r="E6" s="11" t="s">
        <v>33</v>
      </c>
    </row>
    <row r="7">
      <c r="A7" s="90"/>
      <c r="B7" s="62" t="s">
        <v>1829</v>
      </c>
      <c r="C7" s="57" t="s">
        <v>344</v>
      </c>
      <c r="D7" s="61" t="s">
        <v>1759</v>
      </c>
      <c r="E7" s="11" t="s">
        <v>29</v>
      </c>
    </row>
    <row r="8">
      <c r="A8" s="90"/>
      <c r="B8" s="61" t="s">
        <v>1828</v>
      </c>
      <c r="C8" s="57" t="s">
        <v>1242</v>
      </c>
      <c r="D8" s="61" t="s">
        <v>1827</v>
      </c>
      <c r="E8" s="11" t="s">
        <v>33</v>
      </c>
    </row>
    <row r="9">
      <c r="A9" s="90"/>
      <c r="B9" s="62" t="s">
        <v>1829</v>
      </c>
      <c r="C9" s="57" t="s">
        <v>257</v>
      </c>
      <c r="D9" s="62" t="s">
        <v>1763</v>
      </c>
      <c r="E9" s="11" t="s">
        <v>29</v>
      </c>
    </row>
    <row r="10">
      <c r="A10" s="90"/>
      <c r="B10" s="61" t="s">
        <v>1759</v>
      </c>
      <c r="C10" s="57" t="s">
        <v>17</v>
      </c>
      <c r="D10" s="61" t="s">
        <v>1827</v>
      </c>
      <c r="E10" s="11" t="s">
        <v>33</v>
      </c>
    </row>
    <row r="11">
      <c r="A11" s="90"/>
      <c r="B11" s="62" t="s">
        <v>1829</v>
      </c>
      <c r="C11" s="57" t="s">
        <v>219</v>
      </c>
      <c r="D11" s="61" t="s">
        <v>1828</v>
      </c>
      <c r="E11" s="11" t="s">
        <v>29</v>
      </c>
    </row>
    <row r="12">
      <c r="A12" s="90"/>
      <c r="B12" s="61" t="s">
        <v>1759</v>
      </c>
      <c r="C12" s="57" t="s">
        <v>290</v>
      </c>
      <c r="D12" s="62" t="s">
        <v>1763</v>
      </c>
      <c r="E12" s="11" t="s">
        <v>33</v>
      </c>
    </row>
    <row r="13">
      <c r="A13" s="90"/>
      <c r="B13" s="62" t="s">
        <v>1763</v>
      </c>
      <c r="C13" s="57" t="s">
        <v>497</v>
      </c>
      <c r="D13" s="61" t="s">
        <v>1827</v>
      </c>
      <c r="E13" s="11" t="s">
        <v>29</v>
      </c>
      <c r="J13" s="50" t="s">
        <v>514</v>
      </c>
    </row>
    <row r="14">
      <c r="A14" s="90"/>
      <c r="B14" s="61" t="s">
        <v>1759</v>
      </c>
      <c r="C14" s="57" t="s">
        <v>23</v>
      </c>
      <c r="D14" s="61" t="s">
        <v>1828</v>
      </c>
      <c r="E14" s="11" t="s">
        <v>33</v>
      </c>
    </row>
    <row r="15">
      <c r="A15" s="90"/>
      <c r="B15" s="61" t="s">
        <v>1827</v>
      </c>
      <c r="C15" s="45" t="s">
        <v>1227</v>
      </c>
      <c r="D15" s="62" t="s">
        <v>1829</v>
      </c>
      <c r="E15" s="11" t="s">
        <v>29</v>
      </c>
    </row>
    <row r="16">
      <c r="A16" s="90"/>
      <c r="B16" s="62" t="s">
        <v>1763</v>
      </c>
      <c r="C16" s="45" t="s">
        <v>19</v>
      </c>
      <c r="D16" s="61" t="s">
        <v>1828</v>
      </c>
      <c r="E16" s="11" t="s">
        <v>33</v>
      </c>
    </row>
    <row r="17">
      <c r="A17" s="90"/>
      <c r="B17" s="61" t="s">
        <v>1759</v>
      </c>
      <c r="C17" s="45" t="s">
        <v>1245</v>
      </c>
      <c r="D17" s="62" t="s">
        <v>1829</v>
      </c>
      <c r="E17" s="11" t="s">
        <v>29</v>
      </c>
    </row>
    <row r="18">
      <c r="A18" s="90"/>
      <c r="B18" s="61" t="s">
        <v>1827</v>
      </c>
      <c r="C18" s="45" t="s">
        <v>1830</v>
      </c>
      <c r="D18" s="61" t="s">
        <v>1828</v>
      </c>
      <c r="E18" s="11" t="s">
        <v>33</v>
      </c>
    </row>
    <row r="19">
      <c r="A19" s="90"/>
      <c r="B19" s="62" t="s">
        <v>1763</v>
      </c>
      <c r="C19" s="45" t="s">
        <v>281</v>
      </c>
      <c r="D19" s="62" t="s">
        <v>1829</v>
      </c>
      <c r="E19" s="11" t="s">
        <v>29</v>
      </c>
    </row>
    <row r="20">
      <c r="A20" s="90"/>
      <c r="B20" s="61" t="s">
        <v>1827</v>
      </c>
      <c r="C20" s="45" t="s">
        <v>165</v>
      </c>
      <c r="D20" s="61" t="s">
        <v>1759</v>
      </c>
      <c r="E20" s="11" t="s">
        <v>33</v>
      </c>
    </row>
    <row r="21">
      <c r="A21" s="90"/>
      <c r="B21" s="61" t="s">
        <v>1828</v>
      </c>
      <c r="C21" s="45" t="s">
        <v>443</v>
      </c>
      <c r="D21" s="62" t="s">
        <v>1829</v>
      </c>
      <c r="E21" s="11" t="s">
        <v>29</v>
      </c>
    </row>
    <row r="22">
      <c r="A22" s="90"/>
      <c r="B22" s="62" t="s">
        <v>1763</v>
      </c>
      <c r="C22" s="45" t="s">
        <v>196</v>
      </c>
      <c r="D22" s="61" t="s">
        <v>1759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1831</v>
      </c>
      <c r="C25" s="57" t="s">
        <v>23</v>
      </c>
      <c r="D25" s="61" t="s">
        <v>1832</v>
      </c>
      <c r="E25" s="11" t="s">
        <v>9</v>
      </c>
    </row>
    <row r="26">
      <c r="A26" s="90"/>
      <c r="B26" s="61" t="s">
        <v>522</v>
      </c>
      <c r="C26" s="57" t="s">
        <v>1553</v>
      </c>
      <c r="D26" s="61" t="s">
        <v>1029</v>
      </c>
      <c r="E26" s="11" t="s">
        <v>13</v>
      </c>
    </row>
    <row r="27">
      <c r="A27" s="90"/>
      <c r="B27" s="62" t="s">
        <v>1833</v>
      </c>
      <c r="C27" s="57" t="s">
        <v>155</v>
      </c>
      <c r="D27" s="62" t="s">
        <v>1831</v>
      </c>
      <c r="E27" s="11" t="s">
        <v>9</v>
      </c>
    </row>
    <row r="28">
      <c r="A28" s="90"/>
      <c r="B28" s="61" t="s">
        <v>522</v>
      </c>
      <c r="C28" s="57" t="s">
        <v>20</v>
      </c>
      <c r="D28" s="61" t="s">
        <v>1832</v>
      </c>
      <c r="E28" s="11" t="s">
        <v>13</v>
      </c>
    </row>
    <row r="29">
      <c r="A29" s="90"/>
      <c r="B29" s="62" t="s">
        <v>1833</v>
      </c>
      <c r="C29" s="57" t="s">
        <v>1834</v>
      </c>
      <c r="D29" s="61" t="s">
        <v>1029</v>
      </c>
      <c r="E29" s="11" t="s">
        <v>9</v>
      </c>
    </row>
    <row r="30">
      <c r="A30" s="90"/>
      <c r="B30" s="61" t="s">
        <v>522</v>
      </c>
      <c r="C30" s="57" t="s">
        <v>158</v>
      </c>
      <c r="D30" s="62" t="s">
        <v>1831</v>
      </c>
      <c r="E30" s="11" t="s">
        <v>13</v>
      </c>
    </row>
    <row r="31">
      <c r="A31" s="90"/>
      <c r="B31" s="62" t="s">
        <v>1833</v>
      </c>
      <c r="C31" s="57" t="s">
        <v>1835</v>
      </c>
      <c r="D31" s="61" t="s">
        <v>1832</v>
      </c>
      <c r="E31" s="11" t="s">
        <v>9</v>
      </c>
    </row>
    <row r="32">
      <c r="A32" s="90"/>
      <c r="B32" s="61" t="s">
        <v>1029</v>
      </c>
      <c r="C32" s="57" t="s">
        <v>23</v>
      </c>
      <c r="D32" s="62" t="s">
        <v>1831</v>
      </c>
      <c r="E32" s="11" t="s">
        <v>13</v>
      </c>
    </row>
    <row r="33">
      <c r="A33" s="90"/>
      <c r="B33" s="62" t="s">
        <v>1833</v>
      </c>
      <c r="C33" s="57" t="s">
        <v>229</v>
      </c>
      <c r="D33" s="61" t="s">
        <v>522</v>
      </c>
      <c r="E33" s="11" t="s">
        <v>9</v>
      </c>
    </row>
    <row r="34">
      <c r="A34" s="90"/>
      <c r="B34" s="61" t="s">
        <v>1029</v>
      </c>
      <c r="C34" s="57" t="s">
        <v>227</v>
      </c>
      <c r="D34" s="61" t="s">
        <v>1832</v>
      </c>
      <c r="E34" s="11" t="s">
        <v>13</v>
      </c>
    </row>
    <row r="35">
      <c r="A35" s="90"/>
      <c r="B35" s="61" t="s">
        <v>1832</v>
      </c>
      <c r="C35" s="57" t="s">
        <v>20</v>
      </c>
      <c r="D35" s="62" t="s">
        <v>1831</v>
      </c>
      <c r="E35" s="11" t="s">
        <v>9</v>
      </c>
    </row>
    <row r="36">
      <c r="A36" s="90"/>
      <c r="B36" s="61" t="s">
        <v>1029</v>
      </c>
      <c r="C36" s="57" t="s">
        <v>554</v>
      </c>
      <c r="D36" s="61" t="s">
        <v>522</v>
      </c>
      <c r="E36" s="11" t="s">
        <v>13</v>
      </c>
    </row>
    <row r="37">
      <c r="A37" s="90"/>
      <c r="B37" s="62" t="s">
        <v>1831</v>
      </c>
      <c r="C37" s="45" t="s">
        <v>18</v>
      </c>
      <c r="D37" s="62" t="s">
        <v>1833</v>
      </c>
      <c r="E37" s="11" t="s">
        <v>9</v>
      </c>
    </row>
    <row r="38">
      <c r="A38" s="90"/>
      <c r="B38" s="61" t="s">
        <v>1832</v>
      </c>
      <c r="C38" s="45" t="s">
        <v>301</v>
      </c>
      <c r="D38" s="61" t="s">
        <v>522</v>
      </c>
      <c r="E38" s="11" t="s">
        <v>13</v>
      </c>
    </row>
    <row r="39">
      <c r="A39" s="90"/>
      <c r="B39" s="61" t="s">
        <v>1029</v>
      </c>
      <c r="C39" s="45" t="s">
        <v>1836</v>
      </c>
      <c r="D39" s="62" t="s">
        <v>1833</v>
      </c>
      <c r="E39" s="11" t="s">
        <v>9</v>
      </c>
    </row>
    <row r="40">
      <c r="A40" s="90"/>
      <c r="B40" s="62" t="s">
        <v>1831</v>
      </c>
      <c r="C40" s="45" t="s">
        <v>158</v>
      </c>
      <c r="D40" s="61" t="s">
        <v>522</v>
      </c>
      <c r="E40" s="11" t="s">
        <v>13</v>
      </c>
    </row>
    <row r="41">
      <c r="A41" s="90"/>
      <c r="B41" s="61" t="s">
        <v>1832</v>
      </c>
      <c r="C41" s="45" t="s">
        <v>193</v>
      </c>
      <c r="D41" s="62" t="s">
        <v>1833</v>
      </c>
      <c r="E41" s="11" t="s">
        <v>9</v>
      </c>
    </row>
    <row r="42">
      <c r="A42" s="90"/>
      <c r="B42" s="62" t="s">
        <v>1831</v>
      </c>
      <c r="C42" s="45" t="s">
        <v>157</v>
      </c>
      <c r="D42" s="61" t="s">
        <v>1029</v>
      </c>
      <c r="E42" s="11" t="s">
        <v>13</v>
      </c>
    </row>
    <row r="43">
      <c r="A43" s="90"/>
      <c r="B43" s="61" t="s">
        <v>522</v>
      </c>
      <c r="C43" s="45" t="s">
        <v>286</v>
      </c>
      <c r="D43" s="62" t="s">
        <v>1833</v>
      </c>
      <c r="E43" s="11" t="s">
        <v>9</v>
      </c>
    </row>
    <row r="44">
      <c r="A44" s="91"/>
      <c r="B44" s="61" t="s">
        <v>1832</v>
      </c>
      <c r="C44" s="45" t="s">
        <v>574</v>
      </c>
      <c r="D44" s="61" t="s">
        <v>1029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1837</v>
      </c>
      <c r="C47" s="45" t="s">
        <v>44</v>
      </c>
      <c r="D47" s="61" t="s">
        <v>1838</v>
      </c>
      <c r="E47" s="11" t="s">
        <v>29</v>
      </c>
    </row>
    <row r="48">
      <c r="B48" s="61" t="s">
        <v>1839</v>
      </c>
      <c r="C48" s="45" t="s">
        <v>7</v>
      </c>
      <c r="D48" s="61" t="s">
        <v>1840</v>
      </c>
      <c r="E48" s="11" t="s">
        <v>33</v>
      </c>
    </row>
    <row r="49">
      <c r="B49" s="61" t="s">
        <v>1841</v>
      </c>
      <c r="C49" s="45" t="s">
        <v>301</v>
      </c>
      <c r="D49" s="61" t="s">
        <v>1837</v>
      </c>
      <c r="E49" s="11" t="s">
        <v>29</v>
      </c>
    </row>
    <row r="50">
      <c r="B50" s="61" t="s">
        <v>1839</v>
      </c>
      <c r="C50" s="45" t="s">
        <v>184</v>
      </c>
      <c r="D50" s="61" t="s">
        <v>1838</v>
      </c>
      <c r="E50" s="11" t="s">
        <v>33</v>
      </c>
    </row>
    <row r="51">
      <c r="B51" s="61" t="s">
        <v>1841</v>
      </c>
      <c r="C51" s="45" t="s">
        <v>219</v>
      </c>
      <c r="D51" s="61" t="s">
        <v>1840</v>
      </c>
      <c r="E51" s="11" t="s">
        <v>29</v>
      </c>
      <c r="I51" s="50" t="s">
        <v>514</v>
      </c>
    </row>
    <row r="52">
      <c r="B52" s="61" t="s">
        <v>1839</v>
      </c>
      <c r="C52" s="45" t="s">
        <v>477</v>
      </c>
      <c r="D52" s="61" t="s">
        <v>1837</v>
      </c>
      <c r="E52" s="11" t="s">
        <v>33</v>
      </c>
    </row>
    <row r="53">
      <c r="B53" s="61" t="s">
        <v>1841</v>
      </c>
      <c r="C53" s="45" t="s">
        <v>271</v>
      </c>
      <c r="D53" s="61" t="s">
        <v>1838</v>
      </c>
      <c r="E53" s="11" t="s">
        <v>29</v>
      </c>
    </row>
    <row r="54">
      <c r="B54" s="61" t="s">
        <v>1840</v>
      </c>
      <c r="C54" s="45" t="s">
        <v>366</v>
      </c>
      <c r="D54" s="61" t="s">
        <v>1837</v>
      </c>
      <c r="E54" s="11" t="s">
        <v>33</v>
      </c>
    </row>
    <row r="55">
      <c r="B55" s="61" t="s">
        <v>1841</v>
      </c>
      <c r="C55" s="45" t="s">
        <v>292</v>
      </c>
      <c r="D55" s="61" t="s">
        <v>1839</v>
      </c>
      <c r="E55" s="11" t="s">
        <v>29</v>
      </c>
    </row>
    <row r="56">
      <c r="B56" s="61" t="s">
        <v>1840</v>
      </c>
      <c r="C56" s="45" t="s">
        <v>534</v>
      </c>
      <c r="D56" s="61" t="s">
        <v>1838</v>
      </c>
      <c r="E56" s="11" t="s">
        <v>33</v>
      </c>
    </row>
    <row r="57">
      <c r="B57" s="61" t="s">
        <v>1838</v>
      </c>
      <c r="C57" s="45" t="s">
        <v>267</v>
      </c>
      <c r="D57" s="61" t="s">
        <v>1837</v>
      </c>
      <c r="E57" s="11" t="s">
        <v>29</v>
      </c>
    </row>
    <row r="58">
      <c r="B58" s="61" t="s">
        <v>1840</v>
      </c>
      <c r="C58" s="45" t="s">
        <v>155</v>
      </c>
      <c r="D58" s="61" t="s">
        <v>1839</v>
      </c>
      <c r="E58" s="11" t="s">
        <v>33</v>
      </c>
    </row>
    <row r="59">
      <c r="B59" s="61" t="s">
        <v>1837</v>
      </c>
      <c r="C59" s="45" t="s">
        <v>220</v>
      </c>
      <c r="D59" s="61" t="s">
        <v>1841</v>
      </c>
      <c r="E59" s="11" t="s">
        <v>29</v>
      </c>
    </row>
    <row r="60">
      <c r="B60" s="61" t="s">
        <v>1838</v>
      </c>
      <c r="C60" s="45" t="s">
        <v>524</v>
      </c>
      <c r="D60" s="61" t="s">
        <v>1839</v>
      </c>
      <c r="E60" s="11" t="s">
        <v>33</v>
      </c>
    </row>
    <row r="61">
      <c r="B61" s="61" t="s">
        <v>1840</v>
      </c>
      <c r="C61" s="45" t="s">
        <v>220</v>
      </c>
      <c r="D61" s="61" t="s">
        <v>1841</v>
      </c>
      <c r="E61" s="11" t="s">
        <v>29</v>
      </c>
    </row>
    <row r="62">
      <c r="B62" s="61" t="s">
        <v>1837</v>
      </c>
      <c r="C62" s="45" t="s">
        <v>36</v>
      </c>
      <c r="D62" s="61" t="s">
        <v>1839</v>
      </c>
      <c r="E62" s="11" t="s">
        <v>33</v>
      </c>
    </row>
    <row r="63">
      <c r="B63" s="61" t="s">
        <v>1838</v>
      </c>
      <c r="C63" s="45" t="s">
        <v>289</v>
      </c>
      <c r="D63" s="61" t="s">
        <v>1841</v>
      </c>
      <c r="E63" s="11" t="s">
        <v>29</v>
      </c>
    </row>
    <row r="64">
      <c r="B64" s="61" t="s">
        <v>1837</v>
      </c>
      <c r="C64" s="45" t="s">
        <v>940</v>
      </c>
      <c r="D64" s="61" t="s">
        <v>1840</v>
      </c>
      <c r="E64" s="11" t="s">
        <v>33</v>
      </c>
    </row>
    <row r="65">
      <c r="B65" s="61" t="s">
        <v>1839</v>
      </c>
      <c r="C65" s="45" t="s">
        <v>195</v>
      </c>
      <c r="D65" s="61" t="s">
        <v>1841</v>
      </c>
      <c r="E65" s="11" t="s">
        <v>29</v>
      </c>
    </row>
    <row r="66">
      <c r="B66" s="61" t="s">
        <v>1838</v>
      </c>
      <c r="C66" s="45" t="s">
        <v>208</v>
      </c>
      <c r="D66" s="61" t="s">
        <v>1840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1842</v>
      </c>
      <c r="C69" s="57" t="s">
        <v>23</v>
      </c>
      <c r="D69" s="61" t="s">
        <v>1843</v>
      </c>
      <c r="E69" s="11" t="s">
        <v>9</v>
      </c>
    </row>
    <row r="70">
      <c r="B70" s="61" t="s">
        <v>401</v>
      </c>
      <c r="C70" s="57" t="s">
        <v>911</v>
      </c>
      <c r="D70" s="61" t="s">
        <v>1844</v>
      </c>
      <c r="E70" s="11" t="s">
        <v>13</v>
      </c>
    </row>
    <row r="71">
      <c r="B71" s="61" t="s">
        <v>1845</v>
      </c>
      <c r="C71" s="57" t="s">
        <v>344</v>
      </c>
      <c r="D71" s="61" t="s">
        <v>1842</v>
      </c>
      <c r="E71" s="11" t="s">
        <v>9</v>
      </c>
    </row>
    <row r="72">
      <c r="B72" s="61" t="s">
        <v>401</v>
      </c>
      <c r="C72" s="57" t="s">
        <v>208</v>
      </c>
      <c r="D72" s="61" t="s">
        <v>1843</v>
      </c>
      <c r="E72" s="11" t="s">
        <v>13</v>
      </c>
    </row>
    <row r="73">
      <c r="B73" s="61" t="s">
        <v>1845</v>
      </c>
      <c r="C73" s="57" t="s">
        <v>41</v>
      </c>
      <c r="D73" s="61" t="s">
        <v>1844</v>
      </c>
      <c r="E73" s="11" t="s">
        <v>9</v>
      </c>
    </row>
    <row r="74">
      <c r="B74" s="61" t="s">
        <v>401</v>
      </c>
      <c r="C74" s="57" t="s">
        <v>155</v>
      </c>
      <c r="D74" s="61" t="s">
        <v>1842</v>
      </c>
      <c r="E74" s="11" t="s">
        <v>13</v>
      </c>
    </row>
    <row r="75">
      <c r="B75" s="61" t="s">
        <v>1845</v>
      </c>
      <c r="C75" s="57" t="s">
        <v>19</v>
      </c>
      <c r="D75" s="61" t="s">
        <v>1843</v>
      </c>
      <c r="E75" s="11" t="s">
        <v>9</v>
      </c>
    </row>
    <row r="76">
      <c r="B76" s="61" t="s">
        <v>1844</v>
      </c>
      <c r="C76" s="57" t="s">
        <v>248</v>
      </c>
      <c r="D76" s="61" t="s">
        <v>1842</v>
      </c>
      <c r="E76" s="11" t="s">
        <v>13</v>
      </c>
    </row>
    <row r="77">
      <c r="B77" s="61" t="s">
        <v>1845</v>
      </c>
      <c r="C77" s="57" t="s">
        <v>257</v>
      </c>
      <c r="D77" s="61" t="s">
        <v>401</v>
      </c>
      <c r="E77" s="11" t="s">
        <v>9</v>
      </c>
    </row>
    <row r="78">
      <c r="B78" s="61" t="s">
        <v>1844</v>
      </c>
      <c r="C78" s="57" t="s">
        <v>248</v>
      </c>
      <c r="D78" s="61" t="s">
        <v>1843</v>
      </c>
      <c r="E78" s="11" t="s">
        <v>13</v>
      </c>
    </row>
    <row r="79">
      <c r="B79" s="61" t="s">
        <v>1843</v>
      </c>
      <c r="C79" s="57" t="s">
        <v>7</v>
      </c>
      <c r="D79" s="61" t="s">
        <v>1842</v>
      </c>
      <c r="E79" s="11" t="s">
        <v>9</v>
      </c>
    </row>
    <row r="80">
      <c r="B80" s="61" t="s">
        <v>1844</v>
      </c>
      <c r="C80" s="57" t="s">
        <v>582</v>
      </c>
      <c r="D80" s="61" t="s">
        <v>401</v>
      </c>
      <c r="E80" s="11" t="s">
        <v>13</v>
      </c>
    </row>
    <row r="81">
      <c r="B81" s="61" t="s">
        <v>1842</v>
      </c>
      <c r="C81" s="45" t="s">
        <v>250</v>
      </c>
      <c r="D81" s="61" t="s">
        <v>1845</v>
      </c>
      <c r="E81" s="11" t="s">
        <v>9</v>
      </c>
    </row>
    <row r="82">
      <c r="B82" s="61" t="s">
        <v>1843</v>
      </c>
      <c r="C82" s="45" t="s">
        <v>209</v>
      </c>
      <c r="D82" s="61" t="s">
        <v>401</v>
      </c>
      <c r="E82" s="11" t="s">
        <v>13</v>
      </c>
    </row>
    <row r="83">
      <c r="B83" s="61" t="s">
        <v>1844</v>
      </c>
      <c r="C83" s="45" t="s">
        <v>352</v>
      </c>
      <c r="D83" s="61" t="s">
        <v>1845</v>
      </c>
      <c r="E83" s="11" t="s">
        <v>9</v>
      </c>
    </row>
    <row r="84">
      <c r="B84" s="61" t="s">
        <v>1842</v>
      </c>
      <c r="C84" s="45" t="s">
        <v>181</v>
      </c>
      <c r="D84" s="61" t="s">
        <v>401</v>
      </c>
      <c r="E84" s="11" t="s">
        <v>13</v>
      </c>
    </row>
    <row r="85">
      <c r="B85" s="61" t="s">
        <v>1843</v>
      </c>
      <c r="C85" s="45" t="s">
        <v>271</v>
      </c>
      <c r="D85" s="61" t="s">
        <v>1845</v>
      </c>
      <c r="E85" s="11" t="s">
        <v>9</v>
      </c>
    </row>
    <row r="86">
      <c r="B86" s="61" t="s">
        <v>1842</v>
      </c>
      <c r="C86" s="45" t="s">
        <v>165</v>
      </c>
      <c r="D86" s="61" t="s">
        <v>1844</v>
      </c>
      <c r="E86" s="11" t="s">
        <v>13</v>
      </c>
    </row>
    <row r="87">
      <c r="B87" s="61" t="s">
        <v>401</v>
      </c>
      <c r="C87" s="45" t="s">
        <v>508</v>
      </c>
      <c r="D87" s="61" t="s">
        <v>1845</v>
      </c>
      <c r="E87" s="11" t="s">
        <v>9</v>
      </c>
    </row>
    <row r="88">
      <c r="B88" s="61" t="s">
        <v>1843</v>
      </c>
      <c r="C88" s="45" t="s">
        <v>7</v>
      </c>
      <c r="D88" s="61" t="s">
        <v>1844</v>
      </c>
      <c r="E88" s="11" t="s">
        <v>13</v>
      </c>
    </row>
    <row r="89">
      <c r="B89" s="1" t="s">
        <v>1777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973</v>
      </c>
      <c r="C91" s="45" t="s">
        <v>1846</v>
      </c>
      <c r="D91" s="61" t="s">
        <v>1158</v>
      </c>
      <c r="E91" s="11" t="s">
        <v>9</v>
      </c>
    </row>
    <row r="92">
      <c r="B92" s="61" t="s">
        <v>1847</v>
      </c>
      <c r="C92" s="45" t="s">
        <v>302</v>
      </c>
      <c r="D92" s="61" t="s">
        <v>1848</v>
      </c>
      <c r="E92" s="11" t="s">
        <v>13</v>
      </c>
    </row>
    <row r="93">
      <c r="B93" s="61" t="s">
        <v>1849</v>
      </c>
      <c r="C93" s="45" t="s">
        <v>344</v>
      </c>
      <c r="D93" s="61" t="s">
        <v>973</v>
      </c>
      <c r="E93" s="11" t="s">
        <v>9</v>
      </c>
    </row>
    <row r="94">
      <c r="B94" s="61" t="s">
        <v>1847</v>
      </c>
      <c r="C94" s="45" t="s">
        <v>327</v>
      </c>
      <c r="D94" s="61" t="s">
        <v>1158</v>
      </c>
      <c r="E94" s="11" t="s">
        <v>13</v>
      </c>
    </row>
    <row r="95">
      <c r="B95" s="61" t="s">
        <v>1849</v>
      </c>
      <c r="C95" s="45" t="s">
        <v>23</v>
      </c>
      <c r="D95" s="61" t="s">
        <v>1848</v>
      </c>
      <c r="E95" s="11" t="s">
        <v>9</v>
      </c>
    </row>
    <row r="96">
      <c r="B96" s="61" t="s">
        <v>1847</v>
      </c>
      <c r="C96" s="45" t="s">
        <v>443</v>
      </c>
      <c r="D96" s="61" t="s">
        <v>973</v>
      </c>
      <c r="E96" s="11" t="s">
        <v>13</v>
      </c>
    </row>
    <row r="97">
      <c r="B97" s="61" t="s">
        <v>1849</v>
      </c>
      <c r="C97" s="45" t="s">
        <v>44</v>
      </c>
      <c r="D97" s="61" t="s">
        <v>1158</v>
      </c>
      <c r="E97" s="11" t="s">
        <v>9</v>
      </c>
    </row>
    <row r="98">
      <c r="B98" s="61" t="s">
        <v>1848</v>
      </c>
      <c r="C98" s="45" t="s">
        <v>248</v>
      </c>
      <c r="D98" s="61" t="s">
        <v>973</v>
      </c>
      <c r="E98" s="11" t="s">
        <v>13</v>
      </c>
    </row>
    <row r="99">
      <c r="B99" s="61" t="s">
        <v>1849</v>
      </c>
      <c r="C99" s="45" t="s">
        <v>158</v>
      </c>
      <c r="D99" s="61" t="s">
        <v>1847</v>
      </c>
      <c r="E99" s="11" t="s">
        <v>9</v>
      </c>
    </row>
    <row r="100">
      <c r="B100" s="61" t="s">
        <v>1848</v>
      </c>
      <c r="C100" s="45" t="s">
        <v>911</v>
      </c>
      <c r="D100" s="61" t="s">
        <v>1158</v>
      </c>
      <c r="E100" s="11" t="s">
        <v>13</v>
      </c>
    </row>
    <row r="101">
      <c r="B101" s="61" t="s">
        <v>1158</v>
      </c>
      <c r="C101" s="45" t="s">
        <v>366</v>
      </c>
      <c r="D101" s="61" t="s">
        <v>973</v>
      </c>
      <c r="E101" s="11" t="s">
        <v>9</v>
      </c>
    </row>
    <row r="102">
      <c r="B102" s="61" t="s">
        <v>1848</v>
      </c>
      <c r="C102" s="45" t="s">
        <v>44</v>
      </c>
      <c r="D102" s="61" t="s">
        <v>1847</v>
      </c>
      <c r="E102" s="11" t="s">
        <v>13</v>
      </c>
      <c r="L102" s="78"/>
    </row>
    <row r="103">
      <c r="B103" s="61" t="s">
        <v>973</v>
      </c>
      <c r="C103" s="45" t="s">
        <v>208</v>
      </c>
      <c r="D103" s="61" t="s">
        <v>1849</v>
      </c>
      <c r="E103" s="11" t="s">
        <v>9</v>
      </c>
    </row>
    <row r="104">
      <c r="B104" s="61" t="s">
        <v>1158</v>
      </c>
      <c r="C104" s="45" t="s">
        <v>23</v>
      </c>
      <c r="D104" s="61" t="s">
        <v>1847</v>
      </c>
      <c r="E104" s="11" t="s">
        <v>13</v>
      </c>
    </row>
    <row r="105">
      <c r="B105" s="61" t="s">
        <v>1848</v>
      </c>
      <c r="C105" s="45" t="s">
        <v>18</v>
      </c>
      <c r="D105" s="61" t="s">
        <v>1849</v>
      </c>
      <c r="E105" s="11" t="s">
        <v>9</v>
      </c>
    </row>
    <row r="106">
      <c r="B106" s="61" t="s">
        <v>973</v>
      </c>
      <c r="C106" s="45" t="s">
        <v>393</v>
      </c>
      <c r="D106" s="61" t="s">
        <v>1847</v>
      </c>
      <c r="E106" s="11" t="s">
        <v>13</v>
      </c>
    </row>
    <row r="107">
      <c r="B107" s="61" t="s">
        <v>1158</v>
      </c>
      <c r="C107" s="45" t="s">
        <v>248</v>
      </c>
      <c r="D107" s="61" t="s">
        <v>1849</v>
      </c>
      <c r="E107" s="11" t="s">
        <v>9</v>
      </c>
    </row>
    <row r="108">
      <c r="B108" s="61" t="s">
        <v>973</v>
      </c>
      <c r="C108" s="45" t="s">
        <v>7</v>
      </c>
      <c r="D108" s="61" t="s">
        <v>1848</v>
      </c>
      <c r="E108" s="11" t="s">
        <v>13</v>
      </c>
    </row>
    <row r="109">
      <c r="B109" s="61" t="s">
        <v>1847</v>
      </c>
      <c r="C109" s="45" t="s">
        <v>23</v>
      </c>
      <c r="D109" s="61" t="s">
        <v>1849</v>
      </c>
      <c r="E109" s="11" t="s">
        <v>9</v>
      </c>
    </row>
    <row r="110">
      <c r="B110" s="61" t="s">
        <v>1158</v>
      </c>
      <c r="C110" s="45" t="s">
        <v>209</v>
      </c>
      <c r="D110" s="61" t="s">
        <v>1848</v>
      </c>
      <c r="E110" s="11" t="s">
        <v>13</v>
      </c>
    </row>
    <row r="111">
      <c r="B111" s="1" t="s">
        <v>1782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1850</v>
      </c>
      <c r="C113" s="57" t="s">
        <v>185</v>
      </c>
      <c r="D113" s="61" t="s">
        <v>1851</v>
      </c>
      <c r="E113" s="11" t="s">
        <v>9</v>
      </c>
    </row>
    <row r="114">
      <c r="B114" s="61" t="s">
        <v>641</v>
      </c>
      <c r="C114" s="57" t="s">
        <v>173</v>
      </c>
      <c r="D114" s="61" t="s">
        <v>1852</v>
      </c>
      <c r="E114" s="11" t="s">
        <v>13</v>
      </c>
    </row>
    <row r="115">
      <c r="B115" s="61" t="s">
        <v>1853</v>
      </c>
      <c r="C115" s="57" t="s">
        <v>442</v>
      </c>
      <c r="D115" s="61" t="s">
        <v>1850</v>
      </c>
      <c r="E115" s="11" t="s">
        <v>9</v>
      </c>
    </row>
    <row r="116">
      <c r="B116" s="61" t="s">
        <v>641</v>
      </c>
      <c r="C116" s="57" t="s">
        <v>362</v>
      </c>
      <c r="D116" s="61" t="s">
        <v>1851</v>
      </c>
      <c r="E116" s="11" t="s">
        <v>13</v>
      </c>
    </row>
    <row r="117">
      <c r="B117" s="61" t="s">
        <v>1853</v>
      </c>
      <c r="C117" s="57" t="s">
        <v>195</v>
      </c>
      <c r="D117" s="61" t="s">
        <v>1852</v>
      </c>
      <c r="E117" s="11" t="s">
        <v>9</v>
      </c>
    </row>
    <row r="118">
      <c r="B118" s="61" t="s">
        <v>641</v>
      </c>
      <c r="C118" s="57" t="s">
        <v>180</v>
      </c>
      <c r="D118" s="61" t="s">
        <v>1850</v>
      </c>
      <c r="E118" s="11" t="s">
        <v>13</v>
      </c>
    </row>
    <row r="119">
      <c r="B119" s="61" t="s">
        <v>1853</v>
      </c>
      <c r="C119" s="57" t="s">
        <v>281</v>
      </c>
      <c r="D119" s="61" t="s">
        <v>1851</v>
      </c>
      <c r="E119" s="11" t="s">
        <v>9</v>
      </c>
    </row>
    <row r="120">
      <c r="B120" s="61" t="s">
        <v>1852</v>
      </c>
      <c r="C120" s="57" t="s">
        <v>19</v>
      </c>
      <c r="D120" s="61" t="s">
        <v>1850</v>
      </c>
      <c r="E120" s="11" t="s">
        <v>13</v>
      </c>
    </row>
    <row r="121">
      <c r="B121" s="61" t="s">
        <v>1853</v>
      </c>
      <c r="C121" s="57" t="s">
        <v>394</v>
      </c>
      <c r="D121" s="61" t="s">
        <v>641</v>
      </c>
      <c r="E121" s="11" t="s">
        <v>9</v>
      </c>
    </row>
    <row r="122">
      <c r="B122" s="61" t="s">
        <v>1852</v>
      </c>
      <c r="C122" s="57" t="s">
        <v>196</v>
      </c>
      <c r="D122" s="61" t="s">
        <v>1851</v>
      </c>
      <c r="E122" s="11" t="s">
        <v>13</v>
      </c>
    </row>
    <row r="123">
      <c r="B123" s="61" t="s">
        <v>1851</v>
      </c>
      <c r="C123" s="57" t="s">
        <v>225</v>
      </c>
      <c r="D123" s="61" t="s">
        <v>1850</v>
      </c>
      <c r="E123" s="11" t="s">
        <v>9</v>
      </c>
    </row>
    <row r="124">
      <c r="B124" s="61" t="s">
        <v>1852</v>
      </c>
      <c r="C124" s="57" t="s">
        <v>326</v>
      </c>
      <c r="D124" s="61" t="s">
        <v>641</v>
      </c>
      <c r="E124" s="11" t="s">
        <v>13</v>
      </c>
    </row>
    <row r="125">
      <c r="B125" s="61" t="s">
        <v>1850</v>
      </c>
      <c r="C125" s="45" t="s">
        <v>547</v>
      </c>
      <c r="D125" s="61" t="s">
        <v>1853</v>
      </c>
      <c r="E125" s="11" t="s">
        <v>9</v>
      </c>
    </row>
    <row r="126">
      <c r="B126" s="61" t="s">
        <v>1851</v>
      </c>
      <c r="C126" s="45" t="s">
        <v>173</v>
      </c>
      <c r="D126" s="61" t="s">
        <v>641</v>
      </c>
      <c r="E126" s="11" t="s">
        <v>13</v>
      </c>
    </row>
    <row r="127">
      <c r="B127" s="61" t="s">
        <v>1852</v>
      </c>
      <c r="C127" s="45" t="s">
        <v>16</v>
      </c>
      <c r="D127" s="61" t="s">
        <v>1853</v>
      </c>
      <c r="E127" s="11" t="s">
        <v>9</v>
      </c>
    </row>
    <row r="128">
      <c r="B128" s="61" t="s">
        <v>1850</v>
      </c>
      <c r="C128" s="45" t="s">
        <v>1854</v>
      </c>
      <c r="D128" s="61" t="s">
        <v>641</v>
      </c>
      <c r="E128" s="11" t="s">
        <v>13</v>
      </c>
    </row>
    <row r="129">
      <c r="B129" s="61" t="s">
        <v>1851</v>
      </c>
      <c r="C129" s="45" t="s">
        <v>173</v>
      </c>
      <c r="D129" s="61" t="s">
        <v>1853</v>
      </c>
      <c r="E129" s="11" t="s">
        <v>9</v>
      </c>
    </row>
    <row r="130">
      <c r="B130" s="61" t="s">
        <v>1850</v>
      </c>
      <c r="C130" s="45" t="s">
        <v>17</v>
      </c>
      <c r="D130" s="61" t="s">
        <v>1852</v>
      </c>
      <c r="E130" s="11" t="s">
        <v>13</v>
      </c>
    </row>
    <row r="131">
      <c r="B131" s="61" t="s">
        <v>641</v>
      </c>
      <c r="C131" s="45" t="s">
        <v>42</v>
      </c>
      <c r="D131" s="61" t="s">
        <v>1853</v>
      </c>
      <c r="E131" s="11" t="s">
        <v>9</v>
      </c>
    </row>
    <row r="132">
      <c r="B132" s="61" t="s">
        <v>1851</v>
      </c>
      <c r="C132" s="45" t="s">
        <v>248</v>
      </c>
      <c r="D132" s="61" t="s">
        <v>1852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1855</v>
      </c>
      <c r="C135" s="57" t="s">
        <v>394</v>
      </c>
      <c r="D135" s="61" t="s">
        <v>420</v>
      </c>
      <c r="E135" s="11" t="s">
        <v>29</v>
      </c>
    </row>
    <row r="136">
      <c r="B136" s="61" t="s">
        <v>1856</v>
      </c>
      <c r="C136" s="57" t="s">
        <v>344</v>
      </c>
      <c r="D136" s="61" t="s">
        <v>1857</v>
      </c>
      <c r="E136" s="11" t="s">
        <v>33</v>
      </c>
    </row>
    <row r="137">
      <c r="B137" s="61" t="s">
        <v>1858</v>
      </c>
      <c r="C137" s="57" t="s">
        <v>302</v>
      </c>
      <c r="D137" s="61" t="s">
        <v>1855</v>
      </c>
      <c r="E137" s="11" t="s">
        <v>29</v>
      </c>
    </row>
    <row r="138">
      <c r="B138" s="61" t="s">
        <v>1856</v>
      </c>
      <c r="C138" s="57" t="s">
        <v>344</v>
      </c>
      <c r="D138" s="61" t="s">
        <v>420</v>
      </c>
      <c r="E138" s="11" t="s">
        <v>33</v>
      </c>
    </row>
    <row r="139">
      <c r="B139" s="61" t="s">
        <v>1858</v>
      </c>
      <c r="C139" s="57" t="s">
        <v>194</v>
      </c>
      <c r="D139" s="61" t="s">
        <v>1857</v>
      </c>
      <c r="E139" s="11" t="s">
        <v>29</v>
      </c>
    </row>
    <row r="140">
      <c r="B140" s="61" t="s">
        <v>1856</v>
      </c>
      <c r="C140" s="57" t="s">
        <v>248</v>
      </c>
      <c r="D140" s="61" t="s">
        <v>1855</v>
      </c>
      <c r="E140" s="11" t="s">
        <v>33</v>
      </c>
    </row>
    <row r="141">
      <c r="B141" s="61" t="s">
        <v>1858</v>
      </c>
      <c r="C141" s="57" t="s">
        <v>264</v>
      </c>
      <c r="D141" s="61" t="s">
        <v>420</v>
      </c>
      <c r="E141" s="11" t="s">
        <v>29</v>
      </c>
    </row>
    <row r="142">
      <c r="B142" s="61" t="s">
        <v>1857</v>
      </c>
      <c r="C142" s="57" t="s">
        <v>248</v>
      </c>
      <c r="D142" s="61" t="s">
        <v>1855</v>
      </c>
      <c r="E142" s="11" t="s">
        <v>33</v>
      </c>
    </row>
    <row r="143">
      <c r="B143" s="61" t="s">
        <v>1858</v>
      </c>
      <c r="C143" s="57" t="s">
        <v>342</v>
      </c>
      <c r="D143" s="61" t="s">
        <v>1856</v>
      </c>
      <c r="E143" s="11" t="s">
        <v>29</v>
      </c>
    </row>
    <row r="144">
      <c r="B144" s="61" t="s">
        <v>1857</v>
      </c>
      <c r="C144" s="57" t="s">
        <v>319</v>
      </c>
      <c r="D144" s="61" t="s">
        <v>420</v>
      </c>
      <c r="E144" s="11" t="s">
        <v>33</v>
      </c>
    </row>
    <row r="145">
      <c r="B145" s="61" t="s">
        <v>420</v>
      </c>
      <c r="C145" s="57" t="s">
        <v>278</v>
      </c>
      <c r="D145" s="61" t="s">
        <v>1855</v>
      </c>
      <c r="E145" s="11" t="s">
        <v>29</v>
      </c>
    </row>
    <row r="146">
      <c r="B146" s="61" t="s">
        <v>1857</v>
      </c>
      <c r="C146" s="57" t="s">
        <v>218</v>
      </c>
      <c r="D146" s="61" t="s">
        <v>1856</v>
      </c>
      <c r="E146" s="11" t="s">
        <v>33</v>
      </c>
    </row>
    <row r="147">
      <c r="B147" s="61" t="s">
        <v>1855</v>
      </c>
      <c r="C147" s="45" t="s">
        <v>155</v>
      </c>
      <c r="D147" s="61" t="s">
        <v>1858</v>
      </c>
      <c r="E147" s="11" t="s">
        <v>29</v>
      </c>
    </row>
    <row r="148">
      <c r="B148" s="61" t="s">
        <v>420</v>
      </c>
      <c r="C148" s="45" t="s">
        <v>408</v>
      </c>
      <c r="D148" s="61" t="s">
        <v>1856</v>
      </c>
      <c r="E148" s="11" t="s">
        <v>33</v>
      </c>
    </row>
    <row r="149">
      <c r="B149" s="61" t="s">
        <v>1857</v>
      </c>
      <c r="C149" s="45" t="s">
        <v>185</v>
      </c>
      <c r="D149" s="61" t="s">
        <v>1858</v>
      </c>
      <c r="E149" s="11" t="s">
        <v>29</v>
      </c>
    </row>
    <row r="150">
      <c r="B150" s="61" t="s">
        <v>1855</v>
      </c>
      <c r="C150" s="45" t="s">
        <v>162</v>
      </c>
      <c r="D150" s="61" t="s">
        <v>1856</v>
      </c>
      <c r="E150" s="11" t="s">
        <v>33</v>
      </c>
    </row>
    <row r="151">
      <c r="B151" s="61" t="s">
        <v>420</v>
      </c>
      <c r="C151" s="45" t="s">
        <v>298</v>
      </c>
      <c r="D151" s="61" t="s">
        <v>1858</v>
      </c>
      <c r="E151" s="11" t="s">
        <v>29</v>
      </c>
    </row>
    <row r="152">
      <c r="B152" s="61" t="s">
        <v>1855</v>
      </c>
      <c r="C152" s="45" t="s">
        <v>14</v>
      </c>
      <c r="D152" s="61" t="s">
        <v>1857</v>
      </c>
      <c r="E152" s="11" t="s">
        <v>33</v>
      </c>
    </row>
    <row r="153">
      <c r="B153" s="61" t="s">
        <v>1856</v>
      </c>
      <c r="C153" s="45" t="s">
        <v>219</v>
      </c>
      <c r="D153" s="61" t="s">
        <v>1858</v>
      </c>
      <c r="E153" s="11" t="s">
        <v>29</v>
      </c>
    </row>
    <row r="154">
      <c r="B154" s="61" t="s">
        <v>420</v>
      </c>
      <c r="C154" s="45" t="s">
        <v>184</v>
      </c>
      <c r="D154" s="61" t="s">
        <v>1857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1859</v>
      </c>
      <c r="C157" s="45" t="s">
        <v>1121</v>
      </c>
      <c r="D157" s="61" t="s">
        <v>1860</v>
      </c>
      <c r="E157" s="11" t="s">
        <v>9</v>
      </c>
    </row>
    <row r="158">
      <c r="B158" s="61" t="s">
        <v>1861</v>
      </c>
      <c r="C158" s="45" t="s">
        <v>16</v>
      </c>
      <c r="D158" s="61" t="s">
        <v>961</v>
      </c>
      <c r="E158" s="11" t="s">
        <v>13</v>
      </c>
    </row>
    <row r="159">
      <c r="B159" s="61" t="s">
        <v>1862</v>
      </c>
      <c r="C159" s="45" t="s">
        <v>42</v>
      </c>
      <c r="D159" s="61" t="s">
        <v>1859</v>
      </c>
      <c r="E159" s="11" t="s">
        <v>9</v>
      </c>
    </row>
    <row r="160">
      <c r="B160" s="61" t="s">
        <v>1861</v>
      </c>
      <c r="C160" s="45" t="s">
        <v>549</v>
      </c>
      <c r="D160" s="61" t="s">
        <v>1860</v>
      </c>
      <c r="E160" s="11" t="s">
        <v>13</v>
      </c>
    </row>
    <row r="161">
      <c r="B161" s="61" t="s">
        <v>1862</v>
      </c>
      <c r="C161" s="45" t="s">
        <v>352</v>
      </c>
      <c r="D161" s="61" t="s">
        <v>961</v>
      </c>
      <c r="E161" s="11" t="s">
        <v>9</v>
      </c>
    </row>
    <row r="162">
      <c r="B162" s="61" t="s">
        <v>1861</v>
      </c>
      <c r="C162" s="45" t="s">
        <v>244</v>
      </c>
      <c r="D162" s="61" t="s">
        <v>1859</v>
      </c>
      <c r="E162" s="11" t="s">
        <v>13</v>
      </c>
    </row>
    <row r="163">
      <c r="B163" s="61" t="s">
        <v>1862</v>
      </c>
      <c r="C163" s="45" t="s">
        <v>218</v>
      </c>
      <c r="D163" s="61" t="s">
        <v>1860</v>
      </c>
      <c r="E163" s="11" t="s">
        <v>9</v>
      </c>
    </row>
    <row r="164">
      <c r="B164" s="61" t="s">
        <v>961</v>
      </c>
      <c r="C164" s="45" t="s">
        <v>16</v>
      </c>
      <c r="D164" s="61" t="s">
        <v>1859</v>
      </c>
      <c r="E164" s="11" t="s">
        <v>13</v>
      </c>
    </row>
    <row r="165">
      <c r="B165" s="61" t="s">
        <v>1862</v>
      </c>
      <c r="C165" s="45" t="s">
        <v>18</v>
      </c>
      <c r="D165" s="61" t="s">
        <v>1861</v>
      </c>
      <c r="E165" s="11" t="s">
        <v>9</v>
      </c>
    </row>
    <row r="166">
      <c r="B166" s="61" t="s">
        <v>961</v>
      </c>
      <c r="C166" s="45" t="s">
        <v>433</v>
      </c>
      <c r="D166" s="61" t="s">
        <v>1860</v>
      </c>
      <c r="E166" s="11" t="s">
        <v>13</v>
      </c>
    </row>
    <row r="167">
      <c r="B167" s="61" t="s">
        <v>1860</v>
      </c>
      <c r="C167" s="45" t="s">
        <v>16</v>
      </c>
      <c r="D167" s="61" t="s">
        <v>1859</v>
      </c>
      <c r="E167" s="11" t="s">
        <v>9</v>
      </c>
    </row>
    <row r="168">
      <c r="B168" s="61" t="s">
        <v>961</v>
      </c>
      <c r="C168" s="45" t="s">
        <v>464</v>
      </c>
      <c r="D168" s="61" t="s">
        <v>1861</v>
      </c>
      <c r="E168" s="11" t="s">
        <v>13</v>
      </c>
    </row>
    <row r="169">
      <c r="B169" s="61" t="s">
        <v>1859</v>
      </c>
      <c r="C169" s="45" t="s">
        <v>158</v>
      </c>
      <c r="D169" s="61" t="s">
        <v>1862</v>
      </c>
      <c r="E169" s="11" t="s">
        <v>9</v>
      </c>
    </row>
    <row r="170">
      <c r="B170" s="61" t="s">
        <v>1860</v>
      </c>
      <c r="C170" s="45" t="s">
        <v>19</v>
      </c>
      <c r="D170" s="61" t="s">
        <v>1861</v>
      </c>
      <c r="E170" s="11" t="s">
        <v>13</v>
      </c>
    </row>
    <row r="171">
      <c r="B171" s="61" t="s">
        <v>961</v>
      </c>
      <c r="C171" s="45" t="s">
        <v>334</v>
      </c>
      <c r="D171" s="61" t="s">
        <v>1862</v>
      </c>
      <c r="E171" s="11" t="s">
        <v>9</v>
      </c>
    </row>
    <row r="172">
      <c r="B172" s="61" t="s">
        <v>1859</v>
      </c>
      <c r="C172" s="45" t="s">
        <v>185</v>
      </c>
      <c r="D172" s="61" t="s">
        <v>1861</v>
      </c>
      <c r="E172" s="11" t="s">
        <v>13</v>
      </c>
    </row>
    <row r="173">
      <c r="B173" s="61" t="s">
        <v>1860</v>
      </c>
      <c r="C173" s="45" t="s">
        <v>463</v>
      </c>
      <c r="D173" s="61" t="s">
        <v>1862</v>
      </c>
      <c r="E173" s="11" t="s">
        <v>9</v>
      </c>
    </row>
    <row r="174">
      <c r="B174" s="61" t="s">
        <v>1859</v>
      </c>
      <c r="C174" s="45" t="s">
        <v>41</v>
      </c>
      <c r="D174" s="61" t="s">
        <v>961</v>
      </c>
      <c r="E174" s="11" t="s">
        <v>13</v>
      </c>
    </row>
    <row r="175">
      <c r="B175" s="61" t="s">
        <v>1861</v>
      </c>
      <c r="C175" s="45" t="s">
        <v>20</v>
      </c>
      <c r="D175" s="61" t="s">
        <v>1862</v>
      </c>
      <c r="E175" s="11" t="s">
        <v>9</v>
      </c>
    </row>
    <row r="176">
      <c r="B176" s="61" t="s">
        <v>1860</v>
      </c>
      <c r="C176" s="45" t="s">
        <v>209</v>
      </c>
      <c r="D176" s="61" t="s">
        <v>961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1863</v>
      </c>
      <c r="C179" s="45" t="s">
        <v>21</v>
      </c>
      <c r="D179" s="61" t="s">
        <v>1533</v>
      </c>
      <c r="E179" s="11" t="s">
        <v>29</v>
      </c>
    </row>
    <row r="180">
      <c r="B180" s="61" t="s">
        <v>1297</v>
      </c>
      <c r="C180" s="45" t="s">
        <v>208</v>
      </c>
      <c r="D180" s="61" t="s">
        <v>1864</v>
      </c>
      <c r="E180" s="11" t="s">
        <v>33</v>
      </c>
    </row>
    <row r="181">
      <c r="B181" s="61" t="s">
        <v>1865</v>
      </c>
      <c r="C181" s="45" t="s">
        <v>357</v>
      </c>
      <c r="D181" s="61" t="s">
        <v>1863</v>
      </c>
      <c r="E181" s="11" t="s">
        <v>29</v>
      </c>
    </row>
    <row r="182">
      <c r="B182" s="61" t="s">
        <v>1297</v>
      </c>
      <c r="C182" s="45" t="s">
        <v>1866</v>
      </c>
      <c r="D182" s="61" t="s">
        <v>1533</v>
      </c>
      <c r="E182" s="11" t="s">
        <v>33</v>
      </c>
    </row>
    <row r="183">
      <c r="B183" s="61" t="s">
        <v>1865</v>
      </c>
      <c r="C183" s="45" t="s">
        <v>448</v>
      </c>
      <c r="D183" s="61" t="s">
        <v>1864</v>
      </c>
      <c r="E183" s="11" t="s">
        <v>29</v>
      </c>
    </row>
    <row r="184">
      <c r="B184" s="61" t="s">
        <v>1297</v>
      </c>
      <c r="C184" s="45" t="s">
        <v>248</v>
      </c>
      <c r="D184" s="61" t="s">
        <v>1863</v>
      </c>
      <c r="E184" s="11" t="s">
        <v>33</v>
      </c>
    </row>
    <row r="185">
      <c r="B185" s="61" t="s">
        <v>1865</v>
      </c>
      <c r="C185" s="45" t="s">
        <v>237</v>
      </c>
      <c r="D185" s="61" t="s">
        <v>1533</v>
      </c>
      <c r="E185" s="11" t="s">
        <v>29</v>
      </c>
    </row>
    <row r="186">
      <c r="B186" s="61" t="s">
        <v>1864</v>
      </c>
      <c r="C186" s="45" t="s">
        <v>16</v>
      </c>
      <c r="D186" s="61" t="s">
        <v>1863</v>
      </c>
      <c r="E186" s="11" t="s">
        <v>33</v>
      </c>
    </row>
    <row r="187">
      <c r="B187" s="61" t="s">
        <v>1865</v>
      </c>
      <c r="C187" s="45" t="s">
        <v>357</v>
      </c>
      <c r="D187" s="61" t="s">
        <v>1297</v>
      </c>
      <c r="E187" s="11" t="s">
        <v>29</v>
      </c>
    </row>
    <row r="188">
      <c r="B188" s="61" t="s">
        <v>1864</v>
      </c>
      <c r="C188" s="45" t="s">
        <v>344</v>
      </c>
      <c r="D188" s="61" t="s">
        <v>1533</v>
      </c>
      <c r="E188" s="11" t="s">
        <v>33</v>
      </c>
    </row>
    <row r="189">
      <c r="B189" s="61" t="s">
        <v>1533</v>
      </c>
      <c r="C189" s="45" t="s">
        <v>362</v>
      </c>
      <c r="D189" s="61" t="s">
        <v>1863</v>
      </c>
      <c r="E189" s="11" t="s">
        <v>29</v>
      </c>
    </row>
    <row r="190">
      <c r="B190" s="61" t="s">
        <v>1864</v>
      </c>
      <c r="C190" s="45" t="s">
        <v>7</v>
      </c>
      <c r="D190" s="61" t="s">
        <v>1297</v>
      </c>
      <c r="E190" s="11" t="s">
        <v>33</v>
      </c>
    </row>
    <row r="191">
      <c r="B191" s="61" t="s">
        <v>1863</v>
      </c>
      <c r="C191" s="45" t="s">
        <v>342</v>
      </c>
      <c r="D191" s="61" t="s">
        <v>1865</v>
      </c>
      <c r="E191" s="11" t="s">
        <v>29</v>
      </c>
    </row>
    <row r="192">
      <c r="B192" s="61" t="s">
        <v>1533</v>
      </c>
      <c r="C192" s="45" t="s">
        <v>165</v>
      </c>
      <c r="D192" s="61" t="s">
        <v>1297</v>
      </c>
      <c r="E192" s="11" t="s">
        <v>33</v>
      </c>
    </row>
    <row r="193">
      <c r="B193" s="61" t="s">
        <v>1864</v>
      </c>
      <c r="C193" s="45" t="s">
        <v>352</v>
      </c>
      <c r="D193" s="61" t="s">
        <v>1865</v>
      </c>
      <c r="E193" s="11" t="s">
        <v>29</v>
      </c>
    </row>
    <row r="194">
      <c r="B194" s="61" t="s">
        <v>1863</v>
      </c>
      <c r="C194" s="45" t="s">
        <v>41</v>
      </c>
      <c r="D194" s="61" t="s">
        <v>1297</v>
      </c>
      <c r="E194" s="11" t="s">
        <v>33</v>
      </c>
    </row>
    <row r="195">
      <c r="B195" s="61" t="s">
        <v>1533</v>
      </c>
      <c r="C195" s="45" t="s">
        <v>233</v>
      </c>
      <c r="D195" s="61" t="s">
        <v>1865</v>
      </c>
      <c r="E195" s="11" t="s">
        <v>29</v>
      </c>
    </row>
    <row r="196">
      <c r="B196" s="61" t="s">
        <v>1863</v>
      </c>
      <c r="C196" s="45" t="s">
        <v>281</v>
      </c>
      <c r="D196" s="61" t="s">
        <v>1864</v>
      </c>
      <c r="E196" s="11" t="s">
        <v>33</v>
      </c>
    </row>
    <row r="197">
      <c r="B197" s="61" t="s">
        <v>1297</v>
      </c>
      <c r="C197" s="45" t="s">
        <v>210</v>
      </c>
      <c r="D197" s="61" t="s">
        <v>1865</v>
      </c>
      <c r="E197" s="11" t="s">
        <v>29</v>
      </c>
    </row>
    <row r="198">
      <c r="B198" s="61" t="s">
        <v>1533</v>
      </c>
      <c r="C198" s="45" t="s">
        <v>291</v>
      </c>
      <c r="D198" s="61" t="s">
        <v>1864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1199</v>
      </c>
      <c r="C201" s="45" t="s">
        <v>182</v>
      </c>
      <c r="D201" s="61" t="s">
        <v>1867</v>
      </c>
      <c r="E201" s="11" t="s">
        <v>29</v>
      </c>
    </row>
    <row r="202">
      <c r="B202" s="61" t="s">
        <v>154</v>
      </c>
      <c r="C202" s="45" t="s">
        <v>155</v>
      </c>
      <c r="D202" s="61" t="s">
        <v>1069</v>
      </c>
      <c r="E202" s="11" t="s">
        <v>33</v>
      </c>
    </row>
    <row r="203">
      <c r="B203" s="61" t="s">
        <v>482</v>
      </c>
      <c r="C203" s="45" t="s">
        <v>173</v>
      </c>
      <c r="D203" s="61" t="s">
        <v>1199</v>
      </c>
      <c r="E203" s="11" t="s">
        <v>29</v>
      </c>
    </row>
    <row r="204">
      <c r="B204" s="61" t="s">
        <v>154</v>
      </c>
      <c r="C204" s="45" t="s">
        <v>344</v>
      </c>
      <c r="D204" s="61" t="s">
        <v>1867</v>
      </c>
      <c r="E204" s="11" t="s">
        <v>33</v>
      </c>
    </row>
    <row r="205">
      <c r="B205" s="61" t="s">
        <v>482</v>
      </c>
      <c r="C205" s="45" t="s">
        <v>21</v>
      </c>
      <c r="D205" s="61" t="s">
        <v>1069</v>
      </c>
      <c r="E205" s="11" t="s">
        <v>29</v>
      </c>
    </row>
    <row r="206">
      <c r="B206" s="61" t="s">
        <v>154</v>
      </c>
      <c r="C206" s="45" t="s">
        <v>155</v>
      </c>
      <c r="D206" s="61" t="s">
        <v>1199</v>
      </c>
      <c r="E206" s="11" t="s">
        <v>33</v>
      </c>
    </row>
    <row r="207">
      <c r="B207" s="61" t="s">
        <v>482</v>
      </c>
      <c r="C207" s="45" t="s">
        <v>271</v>
      </c>
      <c r="D207" s="61" t="s">
        <v>1867</v>
      </c>
      <c r="E207" s="11" t="s">
        <v>29</v>
      </c>
    </row>
    <row r="208">
      <c r="B208" s="61" t="s">
        <v>1069</v>
      </c>
      <c r="C208" s="45" t="s">
        <v>43</v>
      </c>
      <c r="D208" s="61" t="s">
        <v>1199</v>
      </c>
      <c r="E208" s="11" t="s">
        <v>33</v>
      </c>
    </row>
    <row r="209">
      <c r="B209" s="61" t="s">
        <v>482</v>
      </c>
      <c r="C209" s="45" t="s">
        <v>291</v>
      </c>
      <c r="D209" s="61" t="s">
        <v>154</v>
      </c>
      <c r="E209" s="11" t="s">
        <v>29</v>
      </c>
    </row>
    <row r="210">
      <c r="B210" s="61" t="s">
        <v>1069</v>
      </c>
      <c r="C210" s="45" t="s">
        <v>173</v>
      </c>
      <c r="D210" s="61" t="s">
        <v>1867</v>
      </c>
      <c r="E210" s="11" t="s">
        <v>33</v>
      </c>
    </row>
    <row r="211">
      <c r="B211" s="61" t="s">
        <v>1867</v>
      </c>
      <c r="C211" s="45" t="s">
        <v>610</v>
      </c>
      <c r="D211" s="61" t="s">
        <v>1199</v>
      </c>
      <c r="E211" s="11" t="s">
        <v>29</v>
      </c>
    </row>
    <row r="212">
      <c r="B212" s="61" t="s">
        <v>1069</v>
      </c>
      <c r="C212" s="45" t="s">
        <v>41</v>
      </c>
      <c r="D212" s="61" t="s">
        <v>154</v>
      </c>
      <c r="E212" s="11" t="s">
        <v>33</v>
      </c>
    </row>
    <row r="213">
      <c r="B213" s="61" t="s">
        <v>1199</v>
      </c>
      <c r="C213" s="45" t="s">
        <v>155</v>
      </c>
      <c r="D213" s="61" t="s">
        <v>482</v>
      </c>
      <c r="E213" s="11" t="s">
        <v>29</v>
      </c>
    </row>
    <row r="214">
      <c r="B214" s="61" t="s">
        <v>1867</v>
      </c>
      <c r="C214" s="45" t="s">
        <v>195</v>
      </c>
      <c r="D214" s="61" t="s">
        <v>154</v>
      </c>
      <c r="E214" s="11" t="s">
        <v>33</v>
      </c>
    </row>
    <row r="215">
      <c r="B215" s="61" t="s">
        <v>1069</v>
      </c>
      <c r="C215" s="45" t="s">
        <v>292</v>
      </c>
      <c r="D215" s="61" t="s">
        <v>482</v>
      </c>
      <c r="E215" s="11" t="s">
        <v>29</v>
      </c>
    </row>
    <row r="216">
      <c r="B216" s="61" t="s">
        <v>1199</v>
      </c>
      <c r="C216" s="45" t="s">
        <v>181</v>
      </c>
      <c r="D216" s="61" t="s">
        <v>154</v>
      </c>
      <c r="E216" s="11" t="s">
        <v>33</v>
      </c>
    </row>
    <row r="217">
      <c r="B217" s="61" t="s">
        <v>1867</v>
      </c>
      <c r="C217" s="45" t="s">
        <v>336</v>
      </c>
      <c r="D217" s="61" t="s">
        <v>482</v>
      </c>
      <c r="E217" s="11" t="s">
        <v>29</v>
      </c>
    </row>
    <row r="218">
      <c r="B218" s="61" t="s">
        <v>1199</v>
      </c>
      <c r="C218" s="45" t="s">
        <v>525</v>
      </c>
      <c r="D218" s="61" t="s">
        <v>1069</v>
      </c>
      <c r="E218" s="11" t="s">
        <v>33</v>
      </c>
    </row>
    <row r="219">
      <c r="B219" s="61" t="s">
        <v>154</v>
      </c>
      <c r="C219" s="45" t="s">
        <v>248</v>
      </c>
      <c r="D219" s="61" t="s">
        <v>482</v>
      </c>
      <c r="E219" s="11" t="s">
        <v>29</v>
      </c>
    </row>
    <row r="220">
      <c r="B220" s="61" t="s">
        <v>1867</v>
      </c>
      <c r="C220" s="45" t="s">
        <v>908</v>
      </c>
      <c r="D220" s="61" t="s">
        <v>1069</v>
      </c>
      <c r="E220" s="11" t="s">
        <v>33</v>
      </c>
    </row>
    <row r="221">
      <c r="B221" s="52" t="s">
        <v>1803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1868</v>
      </c>
      <c r="C223" s="57" t="s">
        <v>14</v>
      </c>
      <c r="D223" s="62" t="s">
        <v>1869</v>
      </c>
      <c r="E223" s="11" t="s">
        <v>9</v>
      </c>
    </row>
    <row r="224">
      <c r="B224" s="62" t="s">
        <v>1870</v>
      </c>
      <c r="C224" s="57" t="s">
        <v>357</v>
      </c>
      <c r="D224" s="62" t="s">
        <v>1871</v>
      </c>
      <c r="E224" s="11" t="s">
        <v>13</v>
      </c>
    </row>
    <row r="225">
      <c r="B225" s="62" t="s">
        <v>1872</v>
      </c>
      <c r="C225" s="57" t="s">
        <v>302</v>
      </c>
      <c r="D225" s="62" t="s">
        <v>1868</v>
      </c>
      <c r="E225" s="11" t="s">
        <v>9</v>
      </c>
    </row>
    <row r="226">
      <c r="B226" s="62" t="s">
        <v>1870</v>
      </c>
      <c r="C226" s="57" t="s">
        <v>16</v>
      </c>
      <c r="D226" s="62" t="s">
        <v>1869</v>
      </c>
      <c r="E226" s="11" t="s">
        <v>13</v>
      </c>
    </row>
    <row r="227">
      <c r="B227" s="62" t="s">
        <v>1872</v>
      </c>
      <c r="C227" s="57" t="s">
        <v>220</v>
      </c>
      <c r="D227" s="62" t="s">
        <v>1871</v>
      </c>
      <c r="E227" s="11" t="s">
        <v>9</v>
      </c>
    </row>
    <row r="228">
      <c r="B228" s="62" t="s">
        <v>1870</v>
      </c>
      <c r="C228" s="57" t="s">
        <v>197</v>
      </c>
      <c r="D228" s="62" t="s">
        <v>1868</v>
      </c>
      <c r="E228" s="11" t="s">
        <v>13</v>
      </c>
    </row>
    <row r="229">
      <c r="B229" s="62" t="s">
        <v>1872</v>
      </c>
      <c r="C229" s="57" t="s">
        <v>536</v>
      </c>
      <c r="D229" s="62" t="s">
        <v>1869</v>
      </c>
      <c r="E229" s="11" t="s">
        <v>9</v>
      </c>
    </row>
    <row r="230">
      <c r="B230" s="62" t="s">
        <v>1871</v>
      </c>
      <c r="C230" s="57" t="s">
        <v>251</v>
      </c>
      <c r="D230" s="62" t="s">
        <v>1868</v>
      </c>
      <c r="E230" s="11" t="s">
        <v>13</v>
      </c>
    </row>
    <row r="231">
      <c r="B231" s="62" t="s">
        <v>1872</v>
      </c>
      <c r="C231" s="57" t="s">
        <v>697</v>
      </c>
      <c r="D231" s="62" t="s">
        <v>1870</v>
      </c>
      <c r="E231" s="11" t="s">
        <v>9</v>
      </c>
    </row>
    <row r="232">
      <c r="B232" s="62" t="s">
        <v>1871</v>
      </c>
      <c r="C232" s="57" t="s">
        <v>394</v>
      </c>
      <c r="D232" s="62" t="s">
        <v>1869</v>
      </c>
      <c r="E232" s="11" t="s">
        <v>13</v>
      </c>
    </row>
    <row r="233">
      <c r="B233" s="62" t="s">
        <v>1869</v>
      </c>
      <c r="C233" s="57" t="s">
        <v>218</v>
      </c>
      <c r="D233" s="62" t="s">
        <v>1868</v>
      </c>
      <c r="E233" s="11" t="s">
        <v>9</v>
      </c>
    </row>
    <row r="234">
      <c r="B234" s="62" t="s">
        <v>1871</v>
      </c>
      <c r="C234" s="57" t="s">
        <v>313</v>
      </c>
      <c r="D234" s="62" t="s">
        <v>1870</v>
      </c>
      <c r="E234" s="11" t="s">
        <v>13</v>
      </c>
    </row>
    <row r="235">
      <c r="B235" s="62" t="s">
        <v>1868</v>
      </c>
      <c r="C235" s="45" t="s">
        <v>536</v>
      </c>
      <c r="D235" s="62" t="s">
        <v>1872</v>
      </c>
      <c r="E235" s="11" t="s">
        <v>9</v>
      </c>
    </row>
    <row r="236">
      <c r="B236" s="62" t="s">
        <v>1869</v>
      </c>
      <c r="C236" s="45" t="s">
        <v>173</v>
      </c>
      <c r="D236" s="62" t="s">
        <v>1870</v>
      </c>
      <c r="E236" s="11" t="s">
        <v>13</v>
      </c>
    </row>
    <row r="237">
      <c r="B237" s="62" t="s">
        <v>1871</v>
      </c>
      <c r="C237" s="45" t="s">
        <v>163</v>
      </c>
      <c r="D237" s="62" t="s">
        <v>1872</v>
      </c>
      <c r="E237" s="11" t="s">
        <v>9</v>
      </c>
    </row>
    <row r="238">
      <c r="B238" s="62" t="s">
        <v>1868</v>
      </c>
      <c r="C238" s="45" t="s">
        <v>281</v>
      </c>
      <c r="D238" s="62" t="s">
        <v>1870</v>
      </c>
      <c r="E238" s="11" t="s">
        <v>13</v>
      </c>
    </row>
    <row r="239">
      <c r="B239" s="62" t="s">
        <v>1869</v>
      </c>
      <c r="C239" s="45" t="s">
        <v>155</v>
      </c>
      <c r="D239" s="62" t="s">
        <v>1872</v>
      </c>
      <c r="E239" s="11" t="s">
        <v>9</v>
      </c>
    </row>
    <row r="240">
      <c r="B240" s="62" t="s">
        <v>1868</v>
      </c>
      <c r="C240" s="45" t="s">
        <v>394</v>
      </c>
      <c r="D240" s="62" t="s">
        <v>1871</v>
      </c>
      <c r="E240" s="11" t="s">
        <v>13</v>
      </c>
    </row>
    <row r="241">
      <c r="B241" s="62" t="s">
        <v>1870</v>
      </c>
      <c r="C241" s="45" t="s">
        <v>566</v>
      </c>
      <c r="D241" s="62" t="s">
        <v>1872</v>
      </c>
      <c r="E241" s="11" t="s">
        <v>9</v>
      </c>
    </row>
    <row r="242">
      <c r="B242" s="62" t="s">
        <v>1869</v>
      </c>
      <c r="C242" s="45" t="s">
        <v>210</v>
      </c>
      <c r="D242" s="62" t="s">
        <v>1871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1873</v>
      </c>
      <c r="C245" s="45" t="s">
        <v>231</v>
      </c>
      <c r="D245" s="62" t="s">
        <v>1874</v>
      </c>
      <c r="E245" s="11" t="s">
        <v>9</v>
      </c>
    </row>
    <row r="246">
      <c r="B246" s="62" t="s">
        <v>1711</v>
      </c>
      <c r="C246" s="45" t="s">
        <v>220</v>
      </c>
      <c r="D246" s="62" t="s">
        <v>1875</v>
      </c>
      <c r="E246" s="11" t="s">
        <v>13</v>
      </c>
    </row>
    <row r="247">
      <c r="B247" s="62" t="s">
        <v>365</v>
      </c>
      <c r="C247" s="45" t="s">
        <v>248</v>
      </c>
      <c r="D247" s="62" t="s">
        <v>1873</v>
      </c>
      <c r="E247" s="11" t="s">
        <v>9</v>
      </c>
    </row>
    <row r="248">
      <c r="B248" s="62" t="s">
        <v>1711</v>
      </c>
      <c r="C248" s="45" t="s">
        <v>251</v>
      </c>
      <c r="D248" s="62" t="s">
        <v>1874</v>
      </c>
      <c r="E248" s="11" t="s">
        <v>13</v>
      </c>
    </row>
    <row r="249">
      <c r="B249" s="62" t="s">
        <v>365</v>
      </c>
      <c r="C249" s="45" t="s">
        <v>16</v>
      </c>
      <c r="D249" s="62" t="s">
        <v>1875</v>
      </c>
      <c r="E249" s="11" t="s">
        <v>9</v>
      </c>
    </row>
    <row r="250">
      <c r="B250" s="62" t="s">
        <v>1711</v>
      </c>
      <c r="C250" s="45" t="s">
        <v>220</v>
      </c>
      <c r="D250" s="62" t="s">
        <v>1873</v>
      </c>
      <c r="E250" s="11" t="s">
        <v>13</v>
      </c>
    </row>
    <row r="251">
      <c r="B251" s="62" t="s">
        <v>365</v>
      </c>
      <c r="C251" s="45" t="s">
        <v>173</v>
      </c>
      <c r="D251" s="62" t="s">
        <v>1874</v>
      </c>
      <c r="E251" s="11" t="s">
        <v>9</v>
      </c>
    </row>
    <row r="252">
      <c r="B252" s="62" t="s">
        <v>1875</v>
      </c>
      <c r="C252" s="45" t="s">
        <v>41</v>
      </c>
      <c r="D252" s="62" t="s">
        <v>1873</v>
      </c>
      <c r="E252" s="11" t="s">
        <v>13</v>
      </c>
    </row>
    <row r="253">
      <c r="B253" s="62" t="s">
        <v>365</v>
      </c>
      <c r="C253" s="45" t="s">
        <v>233</v>
      </c>
      <c r="D253" s="62" t="s">
        <v>1711</v>
      </c>
      <c r="E253" s="11" t="s">
        <v>9</v>
      </c>
    </row>
    <row r="254">
      <c r="B254" s="62" t="s">
        <v>1875</v>
      </c>
      <c r="C254" s="45" t="s">
        <v>173</v>
      </c>
      <c r="D254" s="62" t="s">
        <v>1874</v>
      </c>
      <c r="E254" s="11" t="s">
        <v>13</v>
      </c>
    </row>
    <row r="255">
      <c r="B255" s="62" t="s">
        <v>1874</v>
      </c>
      <c r="C255" s="45" t="s">
        <v>16</v>
      </c>
      <c r="D255" s="62" t="s">
        <v>1873</v>
      </c>
      <c r="E255" s="11" t="s">
        <v>9</v>
      </c>
    </row>
    <row r="256">
      <c r="B256" s="62" t="s">
        <v>1875</v>
      </c>
      <c r="C256" s="45" t="s">
        <v>193</v>
      </c>
      <c r="D256" s="62" t="s">
        <v>1711</v>
      </c>
      <c r="E256" s="11" t="s">
        <v>13</v>
      </c>
    </row>
    <row r="257">
      <c r="B257" s="62" t="s">
        <v>1873</v>
      </c>
      <c r="C257" s="45" t="s">
        <v>185</v>
      </c>
      <c r="D257" s="62" t="s">
        <v>365</v>
      </c>
      <c r="E257" s="11" t="s">
        <v>9</v>
      </c>
    </row>
    <row r="258">
      <c r="B258" s="62" t="s">
        <v>1874</v>
      </c>
      <c r="C258" s="45" t="s">
        <v>159</v>
      </c>
      <c r="D258" s="62" t="s">
        <v>1711</v>
      </c>
      <c r="E258" s="11" t="s">
        <v>13</v>
      </c>
    </row>
    <row r="259">
      <c r="B259" s="62" t="s">
        <v>1875</v>
      </c>
      <c r="C259" s="45" t="s">
        <v>161</v>
      </c>
      <c r="D259" s="62" t="s">
        <v>365</v>
      </c>
      <c r="E259" s="11" t="s">
        <v>9</v>
      </c>
    </row>
    <row r="260">
      <c r="B260" s="62" t="s">
        <v>1873</v>
      </c>
      <c r="C260" s="45" t="s">
        <v>219</v>
      </c>
      <c r="D260" s="62" t="s">
        <v>1711</v>
      </c>
      <c r="E260" s="11" t="s">
        <v>13</v>
      </c>
    </row>
    <row r="261">
      <c r="B261" s="62" t="s">
        <v>1874</v>
      </c>
      <c r="C261" s="45" t="s">
        <v>162</v>
      </c>
      <c r="D261" s="62" t="s">
        <v>365</v>
      </c>
      <c r="E261" s="11" t="s">
        <v>9</v>
      </c>
    </row>
    <row r="262">
      <c r="B262" s="62" t="s">
        <v>1873</v>
      </c>
      <c r="C262" s="45" t="s">
        <v>342</v>
      </c>
      <c r="D262" s="62" t="s">
        <v>1875</v>
      </c>
      <c r="E262" s="11" t="s">
        <v>13</v>
      </c>
    </row>
    <row r="263">
      <c r="B263" s="62" t="s">
        <v>1711</v>
      </c>
      <c r="C263" s="45" t="s">
        <v>281</v>
      </c>
      <c r="D263" s="62" t="s">
        <v>365</v>
      </c>
      <c r="E263" s="11" t="s">
        <v>9</v>
      </c>
    </row>
    <row r="264">
      <c r="B264" s="62" t="s">
        <v>1874</v>
      </c>
      <c r="C264" s="45" t="s">
        <v>158</v>
      </c>
      <c r="D264" s="62" t="s">
        <v>1875</v>
      </c>
      <c r="E264" s="11" t="s">
        <v>13</v>
      </c>
    </row>
    <row r="265">
      <c r="B265" s="52" t="s">
        <v>100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1437</v>
      </c>
      <c r="C267" s="45" t="s">
        <v>193</v>
      </c>
      <c r="D267" s="62" t="s">
        <v>1876</v>
      </c>
      <c r="E267" s="11" t="s">
        <v>29</v>
      </c>
    </row>
    <row r="268">
      <c r="B268" s="62" t="s">
        <v>1435</v>
      </c>
      <c r="C268" s="45" t="s">
        <v>18</v>
      </c>
      <c r="D268" s="62" t="s">
        <v>1815</v>
      </c>
      <c r="E268" s="11" t="s">
        <v>33</v>
      </c>
    </row>
    <row r="269">
      <c r="B269" s="62" t="s">
        <v>1877</v>
      </c>
      <c r="C269" s="45" t="s">
        <v>908</v>
      </c>
      <c r="D269" s="62" t="s">
        <v>1437</v>
      </c>
      <c r="E269" s="11" t="s">
        <v>29</v>
      </c>
    </row>
    <row r="270">
      <c r="B270" s="62" t="s">
        <v>1435</v>
      </c>
      <c r="C270" s="45" t="s">
        <v>24</v>
      </c>
      <c r="D270" s="62" t="s">
        <v>1876</v>
      </c>
      <c r="E270" s="11" t="s">
        <v>33</v>
      </c>
    </row>
    <row r="271">
      <c r="B271" s="62" t="s">
        <v>1877</v>
      </c>
      <c r="C271" s="45" t="s">
        <v>487</v>
      </c>
      <c r="D271" s="62" t="s">
        <v>1815</v>
      </c>
      <c r="E271" s="11" t="s">
        <v>29</v>
      </c>
    </row>
    <row r="272">
      <c r="B272" s="62" t="s">
        <v>1435</v>
      </c>
      <c r="C272" s="45" t="s">
        <v>205</v>
      </c>
      <c r="D272" s="62" t="s">
        <v>1437</v>
      </c>
      <c r="E272" s="11" t="s">
        <v>33</v>
      </c>
    </row>
    <row r="273">
      <c r="B273" s="62" t="s">
        <v>1877</v>
      </c>
      <c r="C273" s="45" t="s">
        <v>166</v>
      </c>
      <c r="D273" s="62" t="s">
        <v>1876</v>
      </c>
      <c r="E273" s="11" t="s">
        <v>29</v>
      </c>
    </row>
    <row r="274">
      <c r="B274" s="62" t="s">
        <v>1815</v>
      </c>
      <c r="C274" s="45" t="s">
        <v>342</v>
      </c>
      <c r="D274" s="62" t="s">
        <v>1437</v>
      </c>
      <c r="E274" s="11" t="s">
        <v>33</v>
      </c>
    </row>
    <row r="275">
      <c r="B275" s="62" t="s">
        <v>1877</v>
      </c>
      <c r="C275" s="45" t="s">
        <v>162</v>
      </c>
      <c r="D275" s="62" t="s">
        <v>1435</v>
      </c>
      <c r="E275" s="11" t="s">
        <v>29</v>
      </c>
    </row>
    <row r="276">
      <c r="B276" s="62" t="s">
        <v>1815</v>
      </c>
      <c r="C276" s="45" t="s">
        <v>432</v>
      </c>
      <c r="D276" s="62" t="s">
        <v>1876</v>
      </c>
      <c r="E276" s="11" t="s">
        <v>33</v>
      </c>
    </row>
    <row r="277">
      <c r="B277" s="62" t="s">
        <v>1876</v>
      </c>
      <c r="C277" s="45" t="s">
        <v>176</v>
      </c>
      <c r="D277" s="62" t="s">
        <v>1437</v>
      </c>
      <c r="E277" s="11" t="s">
        <v>29</v>
      </c>
    </row>
    <row r="278">
      <c r="B278" s="62" t="s">
        <v>1815</v>
      </c>
      <c r="C278" s="45" t="s">
        <v>185</v>
      </c>
      <c r="D278" s="62" t="s">
        <v>1435</v>
      </c>
      <c r="E278" s="11" t="s">
        <v>33</v>
      </c>
    </row>
    <row r="279">
      <c r="B279" s="62" t="s">
        <v>1437</v>
      </c>
      <c r="C279" s="45" t="s">
        <v>1402</v>
      </c>
      <c r="D279" s="62" t="s">
        <v>1877</v>
      </c>
      <c r="E279" s="11" t="s">
        <v>29</v>
      </c>
    </row>
    <row r="280">
      <c r="B280" s="62" t="s">
        <v>1876</v>
      </c>
      <c r="C280" s="45" t="s">
        <v>1878</v>
      </c>
      <c r="D280" s="62" t="s">
        <v>1435</v>
      </c>
      <c r="E280" s="11" t="s">
        <v>33</v>
      </c>
    </row>
    <row r="281">
      <c r="B281" s="62" t="s">
        <v>1815</v>
      </c>
      <c r="C281" s="45" t="s">
        <v>257</v>
      </c>
      <c r="D281" s="62" t="s">
        <v>1877</v>
      </c>
      <c r="E281" s="11" t="s">
        <v>29</v>
      </c>
    </row>
    <row r="282">
      <c r="B282" s="62" t="s">
        <v>1437</v>
      </c>
      <c r="C282" s="45" t="s">
        <v>227</v>
      </c>
      <c r="D282" s="62" t="s">
        <v>1435</v>
      </c>
      <c r="E282" s="11" t="s">
        <v>33</v>
      </c>
    </row>
    <row r="283">
      <c r="B283" s="62" t="s">
        <v>1876</v>
      </c>
      <c r="C283" s="45" t="s">
        <v>245</v>
      </c>
      <c r="D283" s="62" t="s">
        <v>1877</v>
      </c>
      <c r="E283" s="11" t="s">
        <v>29</v>
      </c>
    </row>
    <row r="284">
      <c r="B284" s="62" t="s">
        <v>1437</v>
      </c>
      <c r="C284" s="45" t="s">
        <v>244</v>
      </c>
      <c r="D284" s="62" t="s">
        <v>1815</v>
      </c>
      <c r="E284" s="11" t="s">
        <v>33</v>
      </c>
    </row>
    <row r="285">
      <c r="B285" s="62" t="s">
        <v>1435</v>
      </c>
      <c r="C285" s="45" t="s">
        <v>354</v>
      </c>
      <c r="D285" s="62" t="s">
        <v>1877</v>
      </c>
      <c r="E285" s="11" t="s">
        <v>29</v>
      </c>
    </row>
    <row r="286">
      <c r="B286" s="62" t="s">
        <v>1876</v>
      </c>
      <c r="C286" s="45" t="s">
        <v>1472</v>
      </c>
      <c r="D286" s="62" t="s">
        <v>1815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1879</v>
      </c>
      <c r="C289" s="45" t="s">
        <v>163</v>
      </c>
      <c r="D289" s="62" t="s">
        <v>1880</v>
      </c>
      <c r="E289" s="11" t="s">
        <v>29</v>
      </c>
    </row>
    <row r="290">
      <c r="B290" s="62" t="s">
        <v>1881</v>
      </c>
      <c r="C290" s="45" t="s">
        <v>163</v>
      </c>
      <c r="D290" s="62" t="s">
        <v>1882</v>
      </c>
      <c r="E290" s="11" t="s">
        <v>33</v>
      </c>
    </row>
    <row r="291">
      <c r="B291" s="62" t="s">
        <v>1257</v>
      </c>
      <c r="C291" s="45" t="s">
        <v>43</v>
      </c>
      <c r="D291" s="62" t="s">
        <v>1879</v>
      </c>
      <c r="E291" s="11" t="s">
        <v>29</v>
      </c>
    </row>
    <row r="292">
      <c r="B292" s="62" t="s">
        <v>1881</v>
      </c>
      <c r="C292" s="45" t="s">
        <v>1590</v>
      </c>
      <c r="D292" s="62" t="s">
        <v>1880</v>
      </c>
      <c r="E292" s="11" t="s">
        <v>33</v>
      </c>
    </row>
    <row r="293">
      <c r="B293" s="62" t="s">
        <v>1257</v>
      </c>
      <c r="C293" s="45" t="s">
        <v>158</v>
      </c>
      <c r="D293" s="62" t="s">
        <v>1882</v>
      </c>
      <c r="E293" s="11" t="s">
        <v>29</v>
      </c>
    </row>
    <row r="294">
      <c r="B294" s="62" t="s">
        <v>1881</v>
      </c>
      <c r="C294" s="45" t="s">
        <v>7</v>
      </c>
      <c r="D294" s="62" t="s">
        <v>1879</v>
      </c>
      <c r="E294" s="11" t="s">
        <v>33</v>
      </c>
    </row>
    <row r="295">
      <c r="B295" s="62" t="s">
        <v>1257</v>
      </c>
      <c r="C295" s="45" t="s">
        <v>23</v>
      </c>
      <c r="D295" s="62" t="s">
        <v>1880</v>
      </c>
      <c r="E295" s="11" t="s">
        <v>29</v>
      </c>
    </row>
    <row r="296">
      <c r="B296" s="62" t="s">
        <v>1882</v>
      </c>
      <c r="C296" s="45" t="s">
        <v>173</v>
      </c>
      <c r="D296" s="62" t="s">
        <v>1879</v>
      </c>
      <c r="E296" s="11" t="s">
        <v>33</v>
      </c>
    </row>
    <row r="297">
      <c r="B297" s="62" t="s">
        <v>1257</v>
      </c>
      <c r="C297" s="45" t="s">
        <v>185</v>
      </c>
      <c r="D297" s="62" t="s">
        <v>1881</v>
      </c>
      <c r="E297" s="11" t="s">
        <v>29</v>
      </c>
    </row>
    <row r="298">
      <c r="B298" s="62" t="s">
        <v>1882</v>
      </c>
      <c r="C298" s="45" t="s">
        <v>517</v>
      </c>
      <c r="D298" s="62" t="s">
        <v>1880</v>
      </c>
      <c r="E298" s="11" t="s">
        <v>33</v>
      </c>
    </row>
    <row r="299">
      <c r="B299" s="62" t="s">
        <v>1880</v>
      </c>
      <c r="C299" s="45" t="s">
        <v>464</v>
      </c>
      <c r="D299" s="62" t="s">
        <v>1879</v>
      </c>
      <c r="E299" s="11" t="s">
        <v>29</v>
      </c>
    </row>
    <row r="300">
      <c r="B300" s="62" t="s">
        <v>1882</v>
      </c>
      <c r="C300" s="45" t="s">
        <v>383</v>
      </c>
      <c r="D300" s="62" t="s">
        <v>1881</v>
      </c>
      <c r="E300" s="11" t="s">
        <v>33</v>
      </c>
    </row>
    <row r="301">
      <c r="B301" s="62" t="s">
        <v>1879</v>
      </c>
      <c r="C301" s="45" t="s">
        <v>517</v>
      </c>
      <c r="D301" s="62" t="s">
        <v>1257</v>
      </c>
      <c r="E301" s="11" t="s">
        <v>29</v>
      </c>
    </row>
    <row r="302">
      <c r="B302" s="62" t="s">
        <v>1880</v>
      </c>
      <c r="C302" s="45" t="s">
        <v>574</v>
      </c>
      <c r="D302" s="62" t="s">
        <v>1881</v>
      </c>
      <c r="E302" s="11" t="s">
        <v>33</v>
      </c>
    </row>
    <row r="303">
      <c r="B303" s="62" t="s">
        <v>1882</v>
      </c>
      <c r="C303" s="45" t="s">
        <v>675</v>
      </c>
      <c r="D303" s="62" t="s">
        <v>1257</v>
      </c>
      <c r="E303" s="11" t="s">
        <v>29</v>
      </c>
    </row>
    <row r="304">
      <c r="B304" s="62" t="s">
        <v>1879</v>
      </c>
      <c r="C304" s="45" t="s">
        <v>193</v>
      </c>
      <c r="D304" s="62" t="s">
        <v>1881</v>
      </c>
      <c r="E304" s="11" t="s">
        <v>33</v>
      </c>
    </row>
    <row r="305">
      <c r="B305" s="62" t="s">
        <v>1880</v>
      </c>
      <c r="C305" s="45" t="s">
        <v>155</v>
      </c>
      <c r="D305" s="62" t="s">
        <v>1257</v>
      </c>
      <c r="E305" s="11" t="s">
        <v>29</v>
      </c>
    </row>
    <row r="306">
      <c r="B306" s="62" t="s">
        <v>1879</v>
      </c>
      <c r="C306" s="45" t="s">
        <v>16</v>
      </c>
      <c r="D306" s="62" t="s">
        <v>1882</v>
      </c>
      <c r="E306" s="11" t="s">
        <v>33</v>
      </c>
    </row>
    <row r="307">
      <c r="B307" s="62" t="s">
        <v>1881</v>
      </c>
      <c r="C307" s="45" t="s">
        <v>251</v>
      </c>
      <c r="D307" s="62" t="s">
        <v>1257</v>
      </c>
      <c r="E307" s="11" t="s">
        <v>29</v>
      </c>
    </row>
    <row r="308">
      <c r="B308" s="62" t="s">
        <v>1880</v>
      </c>
      <c r="C308" s="45" t="s">
        <v>181</v>
      </c>
      <c r="D308" s="62" t="s">
        <v>1882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1883</v>
      </c>
      <c r="C311" s="57" t="s">
        <v>158</v>
      </c>
      <c r="D311" s="62" t="s">
        <v>1516</v>
      </c>
      <c r="E311" s="11" t="s">
        <v>9</v>
      </c>
    </row>
    <row r="312">
      <c r="B312" s="62" t="s">
        <v>1884</v>
      </c>
      <c r="C312" s="57" t="s">
        <v>198</v>
      </c>
      <c r="D312" s="62" t="s">
        <v>1885</v>
      </c>
      <c r="E312" s="11" t="s">
        <v>13</v>
      </c>
    </row>
    <row r="313">
      <c r="B313" s="62" t="s">
        <v>1886</v>
      </c>
      <c r="C313" s="57" t="s">
        <v>173</v>
      </c>
      <c r="D313" s="62" t="s">
        <v>1883</v>
      </c>
      <c r="E313" s="11" t="s">
        <v>9</v>
      </c>
    </row>
    <row r="314">
      <c r="B314" s="62" t="s">
        <v>1884</v>
      </c>
      <c r="C314" s="57" t="s">
        <v>210</v>
      </c>
      <c r="D314" s="62" t="s">
        <v>1516</v>
      </c>
      <c r="E314" s="11" t="s">
        <v>13</v>
      </c>
    </row>
    <row r="315">
      <c r="B315" s="62" t="s">
        <v>1886</v>
      </c>
      <c r="C315" s="57" t="s">
        <v>209</v>
      </c>
      <c r="D315" s="62" t="s">
        <v>1885</v>
      </c>
      <c r="E315" s="11" t="s">
        <v>9</v>
      </c>
    </row>
    <row r="316">
      <c r="B316" s="62" t="s">
        <v>1884</v>
      </c>
      <c r="C316" s="57" t="s">
        <v>14</v>
      </c>
      <c r="D316" s="62" t="s">
        <v>1883</v>
      </c>
      <c r="E316" s="11" t="s">
        <v>13</v>
      </c>
    </row>
    <row r="317">
      <c r="B317" s="62" t="s">
        <v>1886</v>
      </c>
      <c r="C317" s="57" t="s">
        <v>790</v>
      </c>
      <c r="D317" s="62" t="s">
        <v>1516</v>
      </c>
      <c r="E317" s="11" t="s">
        <v>9</v>
      </c>
    </row>
    <row r="318">
      <c r="B318" s="62" t="s">
        <v>1885</v>
      </c>
      <c r="C318" s="57" t="s">
        <v>181</v>
      </c>
      <c r="D318" s="62" t="s">
        <v>1883</v>
      </c>
      <c r="E318" s="11" t="s">
        <v>13</v>
      </c>
    </row>
    <row r="319">
      <c r="B319" s="62" t="s">
        <v>1886</v>
      </c>
      <c r="C319" s="57" t="s">
        <v>7</v>
      </c>
      <c r="D319" s="62" t="s">
        <v>1884</v>
      </c>
      <c r="E319" s="11" t="s">
        <v>9</v>
      </c>
    </row>
    <row r="320">
      <c r="B320" s="62" t="s">
        <v>1885</v>
      </c>
      <c r="C320" s="57" t="s">
        <v>14</v>
      </c>
      <c r="D320" s="62" t="s">
        <v>1516</v>
      </c>
      <c r="E320" s="11" t="s">
        <v>13</v>
      </c>
    </row>
    <row r="321">
      <c r="B321" s="62" t="s">
        <v>1516</v>
      </c>
      <c r="C321" s="57" t="s">
        <v>23</v>
      </c>
      <c r="D321" s="62" t="s">
        <v>1883</v>
      </c>
      <c r="E321" s="11" t="s">
        <v>9</v>
      </c>
    </row>
    <row r="322">
      <c r="B322" s="62" t="s">
        <v>1885</v>
      </c>
      <c r="C322" s="57" t="s">
        <v>196</v>
      </c>
      <c r="D322" s="62" t="s">
        <v>1884</v>
      </c>
      <c r="E322" s="11" t="s">
        <v>13</v>
      </c>
    </row>
    <row r="323">
      <c r="B323" s="62" t="s">
        <v>1883</v>
      </c>
      <c r="C323" s="45" t="s">
        <v>161</v>
      </c>
      <c r="D323" s="62" t="s">
        <v>1886</v>
      </c>
      <c r="E323" s="11" t="s">
        <v>9</v>
      </c>
    </row>
    <row r="324">
      <c r="B324" s="62" t="s">
        <v>1516</v>
      </c>
      <c r="C324" s="45" t="s">
        <v>23</v>
      </c>
      <c r="D324" s="62" t="s">
        <v>1884</v>
      </c>
      <c r="E324" s="11" t="s">
        <v>13</v>
      </c>
    </row>
    <row r="325">
      <c r="B325" s="62" t="s">
        <v>1885</v>
      </c>
      <c r="C325" s="45" t="s">
        <v>18</v>
      </c>
      <c r="D325" s="62" t="s">
        <v>1886</v>
      </c>
      <c r="E325" s="11" t="s">
        <v>9</v>
      </c>
    </row>
    <row r="326">
      <c r="B326" s="62" t="s">
        <v>1883</v>
      </c>
      <c r="C326" s="45" t="s">
        <v>357</v>
      </c>
      <c r="D326" s="62" t="s">
        <v>1884</v>
      </c>
      <c r="E326" s="11" t="s">
        <v>13</v>
      </c>
    </row>
    <row r="327">
      <c r="B327" s="62" t="s">
        <v>1516</v>
      </c>
      <c r="C327" s="45" t="s">
        <v>163</v>
      </c>
      <c r="D327" s="62" t="s">
        <v>1886</v>
      </c>
      <c r="E327" s="11" t="s">
        <v>9</v>
      </c>
    </row>
    <row r="328">
      <c r="B328" s="62" t="s">
        <v>1883</v>
      </c>
      <c r="C328" s="45" t="s">
        <v>193</v>
      </c>
      <c r="D328" s="62" t="s">
        <v>1885</v>
      </c>
      <c r="E328" s="11" t="s">
        <v>13</v>
      </c>
    </row>
    <row r="329">
      <c r="B329" s="62" t="s">
        <v>1884</v>
      </c>
      <c r="C329" s="45" t="s">
        <v>185</v>
      </c>
      <c r="D329" s="62" t="s">
        <v>1886</v>
      </c>
      <c r="E329" s="11" t="s">
        <v>9</v>
      </c>
    </row>
    <row r="330">
      <c r="B330" s="62" t="s">
        <v>1516</v>
      </c>
      <c r="C330" s="45" t="s">
        <v>193</v>
      </c>
      <c r="D330" s="62" t="s">
        <v>1885</v>
      </c>
      <c r="E330" s="11" t="s">
        <v>13</v>
      </c>
    </row>
    <row r="331">
      <c r="B331" s="52" t="s">
        <v>122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1887</v>
      </c>
      <c r="C333" s="45" t="s">
        <v>208</v>
      </c>
      <c r="D333" s="62" t="s">
        <v>1888</v>
      </c>
      <c r="E333" s="11" t="s">
        <v>29</v>
      </c>
    </row>
    <row r="334">
      <c r="B334" s="62" t="s">
        <v>1889</v>
      </c>
      <c r="C334" s="45" t="s">
        <v>162</v>
      </c>
      <c r="D334" s="62" t="s">
        <v>124</v>
      </c>
      <c r="E334" s="11" t="s">
        <v>33</v>
      </c>
    </row>
    <row r="335">
      <c r="B335" s="62" t="s">
        <v>1890</v>
      </c>
      <c r="C335" s="45" t="s">
        <v>16</v>
      </c>
      <c r="D335" s="62" t="s">
        <v>1887</v>
      </c>
      <c r="E335" s="11" t="s">
        <v>29</v>
      </c>
    </row>
    <row r="336">
      <c r="B336" s="62" t="s">
        <v>1889</v>
      </c>
      <c r="C336" s="45" t="s">
        <v>194</v>
      </c>
      <c r="D336" s="62" t="s">
        <v>1888</v>
      </c>
      <c r="E336" s="11" t="s">
        <v>33</v>
      </c>
    </row>
    <row r="337">
      <c r="B337" s="62" t="s">
        <v>1890</v>
      </c>
      <c r="C337" s="45" t="s">
        <v>220</v>
      </c>
      <c r="D337" s="62" t="s">
        <v>124</v>
      </c>
      <c r="E337" s="11" t="s">
        <v>29</v>
      </c>
    </row>
    <row r="338">
      <c r="B338" s="62" t="s">
        <v>1889</v>
      </c>
      <c r="C338" s="45" t="s">
        <v>164</v>
      </c>
      <c r="D338" s="62" t="s">
        <v>1887</v>
      </c>
      <c r="E338" s="11" t="s">
        <v>33</v>
      </c>
    </row>
    <row r="339">
      <c r="B339" s="62" t="s">
        <v>1890</v>
      </c>
      <c r="C339" s="45" t="s">
        <v>187</v>
      </c>
      <c r="D339" s="62" t="s">
        <v>1888</v>
      </c>
      <c r="E339" s="11" t="s">
        <v>29</v>
      </c>
    </row>
    <row r="340">
      <c r="B340" s="62" t="s">
        <v>124</v>
      </c>
      <c r="C340" s="45" t="s">
        <v>1891</v>
      </c>
      <c r="D340" s="62" t="s">
        <v>1887</v>
      </c>
      <c r="E340" s="11" t="s">
        <v>33</v>
      </c>
    </row>
    <row r="341">
      <c r="B341" s="62" t="s">
        <v>1890</v>
      </c>
      <c r="C341" s="45" t="s">
        <v>712</v>
      </c>
      <c r="D341" s="62" t="s">
        <v>1889</v>
      </c>
      <c r="E341" s="11" t="s">
        <v>29</v>
      </c>
    </row>
    <row r="342">
      <c r="B342" s="62" t="s">
        <v>124</v>
      </c>
      <c r="C342" s="45" t="s">
        <v>187</v>
      </c>
      <c r="D342" s="62" t="s">
        <v>1888</v>
      </c>
      <c r="E342" s="11" t="s">
        <v>33</v>
      </c>
    </row>
    <row r="343">
      <c r="B343" s="62" t="s">
        <v>1888</v>
      </c>
      <c r="C343" s="45" t="s">
        <v>155</v>
      </c>
      <c r="D343" s="62" t="s">
        <v>1887</v>
      </c>
      <c r="E343" s="11" t="s">
        <v>29</v>
      </c>
    </row>
    <row r="344">
      <c r="B344" s="62" t="s">
        <v>124</v>
      </c>
      <c r="C344" s="45" t="s">
        <v>166</v>
      </c>
      <c r="D344" s="62" t="s">
        <v>1889</v>
      </c>
      <c r="E344" s="11" t="s">
        <v>33</v>
      </c>
    </row>
    <row r="345">
      <c r="B345" s="62" t="s">
        <v>1887</v>
      </c>
      <c r="C345" s="45" t="s">
        <v>7</v>
      </c>
      <c r="D345" s="62" t="s">
        <v>1890</v>
      </c>
      <c r="E345" s="11" t="s">
        <v>29</v>
      </c>
    </row>
    <row r="346">
      <c r="B346" s="62" t="s">
        <v>1888</v>
      </c>
      <c r="C346" s="45" t="s">
        <v>218</v>
      </c>
      <c r="D346" s="62" t="s">
        <v>1889</v>
      </c>
      <c r="E346" s="11" t="s">
        <v>33</v>
      </c>
    </row>
    <row r="347">
      <c r="B347" s="62" t="s">
        <v>124</v>
      </c>
      <c r="C347" s="45" t="s">
        <v>737</v>
      </c>
      <c r="D347" s="62" t="s">
        <v>1890</v>
      </c>
      <c r="E347" s="11" t="s">
        <v>29</v>
      </c>
    </row>
    <row r="348">
      <c r="B348" s="62" t="s">
        <v>1887</v>
      </c>
      <c r="C348" s="45" t="s">
        <v>162</v>
      </c>
      <c r="D348" s="62" t="s">
        <v>1889</v>
      </c>
      <c r="E348" s="11" t="s">
        <v>33</v>
      </c>
    </row>
    <row r="349">
      <c r="B349" s="62" t="s">
        <v>1888</v>
      </c>
      <c r="C349" s="45" t="s">
        <v>225</v>
      </c>
      <c r="D349" s="62" t="s">
        <v>1890</v>
      </c>
      <c r="E349" s="11" t="s">
        <v>29</v>
      </c>
    </row>
    <row r="350">
      <c r="B350" s="62" t="s">
        <v>1887</v>
      </c>
      <c r="C350" s="45" t="s">
        <v>14</v>
      </c>
      <c r="D350" s="62" t="s">
        <v>124</v>
      </c>
      <c r="E350" s="11" t="s">
        <v>33</v>
      </c>
    </row>
    <row r="351">
      <c r="B351" s="62" t="s">
        <v>1889</v>
      </c>
      <c r="C351" s="45" t="s">
        <v>251</v>
      </c>
      <c r="D351" s="62" t="s">
        <v>1890</v>
      </c>
      <c r="E351" s="11" t="s">
        <v>29</v>
      </c>
    </row>
    <row r="352">
      <c r="B352" s="62" t="s">
        <v>1888</v>
      </c>
      <c r="C352" s="45" t="s">
        <v>193</v>
      </c>
      <c r="D352" s="62" t="s">
        <v>124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1892</v>
      </c>
      <c r="C3" s="45" t="s">
        <v>229</v>
      </c>
      <c r="D3" s="62" t="s">
        <v>1827</v>
      </c>
      <c r="E3" s="11" t="s">
        <v>29</v>
      </c>
    </row>
    <row r="4">
      <c r="A4" s="90"/>
      <c r="B4" s="61" t="s">
        <v>1828</v>
      </c>
      <c r="C4" s="45" t="s">
        <v>162</v>
      </c>
      <c r="D4" s="61" t="s">
        <v>1893</v>
      </c>
      <c r="E4" s="11" t="s">
        <v>33</v>
      </c>
    </row>
    <row r="5">
      <c r="A5" s="90"/>
      <c r="B5" s="62" t="s">
        <v>1894</v>
      </c>
      <c r="C5" s="45" t="s">
        <v>16</v>
      </c>
      <c r="D5" s="61" t="s">
        <v>1892</v>
      </c>
      <c r="E5" s="11" t="s">
        <v>29</v>
      </c>
    </row>
    <row r="6">
      <c r="A6" s="90"/>
      <c r="B6" s="61" t="s">
        <v>1828</v>
      </c>
      <c r="C6" s="45" t="s">
        <v>404</v>
      </c>
      <c r="D6" s="62" t="s">
        <v>1827</v>
      </c>
      <c r="E6" s="11" t="s">
        <v>33</v>
      </c>
    </row>
    <row r="7">
      <c r="A7" s="90"/>
      <c r="B7" s="62" t="s">
        <v>1894</v>
      </c>
      <c r="C7" s="45" t="s">
        <v>209</v>
      </c>
      <c r="D7" s="61" t="s">
        <v>1893</v>
      </c>
      <c r="E7" s="11" t="s">
        <v>29</v>
      </c>
    </row>
    <row r="8">
      <c r="A8" s="90"/>
      <c r="B8" s="61" t="s">
        <v>1828</v>
      </c>
      <c r="C8" s="45" t="s">
        <v>163</v>
      </c>
      <c r="D8" s="61" t="s">
        <v>1892</v>
      </c>
      <c r="E8" s="11" t="s">
        <v>33</v>
      </c>
    </row>
    <row r="9">
      <c r="A9" s="90"/>
      <c r="B9" s="62" t="s">
        <v>1894</v>
      </c>
      <c r="C9" s="45" t="s">
        <v>225</v>
      </c>
      <c r="D9" s="62" t="s">
        <v>1827</v>
      </c>
      <c r="E9" s="11" t="s">
        <v>29</v>
      </c>
    </row>
    <row r="10">
      <c r="A10" s="90"/>
      <c r="B10" s="61" t="s">
        <v>1893</v>
      </c>
      <c r="C10" s="45" t="s">
        <v>27</v>
      </c>
      <c r="D10" s="61" t="s">
        <v>1892</v>
      </c>
      <c r="E10" s="11" t="s">
        <v>33</v>
      </c>
    </row>
    <row r="11">
      <c r="A11" s="90"/>
      <c r="B11" s="62" t="s">
        <v>1894</v>
      </c>
      <c r="C11" s="45" t="s">
        <v>292</v>
      </c>
      <c r="D11" s="61" t="s">
        <v>1828</v>
      </c>
      <c r="E11" s="11" t="s">
        <v>29</v>
      </c>
    </row>
    <row r="12">
      <c r="A12" s="90"/>
      <c r="B12" s="61" t="s">
        <v>1893</v>
      </c>
      <c r="C12" s="45" t="s">
        <v>42</v>
      </c>
      <c r="D12" s="62" t="s">
        <v>1827</v>
      </c>
      <c r="E12" s="11" t="s">
        <v>33</v>
      </c>
    </row>
    <row r="13">
      <c r="A13" s="90"/>
      <c r="B13" s="62" t="s">
        <v>1827</v>
      </c>
      <c r="C13" s="45" t="s">
        <v>545</v>
      </c>
      <c r="D13" s="61" t="s">
        <v>1892</v>
      </c>
      <c r="E13" s="11" t="s">
        <v>29</v>
      </c>
    </row>
    <row r="14">
      <c r="A14" s="90"/>
      <c r="B14" s="61" t="s">
        <v>1893</v>
      </c>
      <c r="C14" s="45" t="s">
        <v>302</v>
      </c>
      <c r="D14" s="61" t="s">
        <v>1828</v>
      </c>
      <c r="E14" s="11" t="s">
        <v>33</v>
      </c>
    </row>
    <row r="15">
      <c r="A15" s="90"/>
      <c r="B15" s="61" t="s">
        <v>1892</v>
      </c>
      <c r="C15" s="45" t="s">
        <v>1895</v>
      </c>
      <c r="D15" s="62" t="s">
        <v>1894</v>
      </c>
      <c r="E15" s="11" t="s">
        <v>29</v>
      </c>
    </row>
    <row r="16">
      <c r="A16" s="90"/>
      <c r="B16" s="62" t="s">
        <v>1827</v>
      </c>
      <c r="C16" s="45" t="s">
        <v>958</v>
      </c>
      <c r="D16" s="61" t="s">
        <v>1828</v>
      </c>
      <c r="E16" s="11" t="s">
        <v>33</v>
      </c>
    </row>
    <row r="17">
      <c r="A17" s="90"/>
      <c r="B17" s="61" t="s">
        <v>1893</v>
      </c>
      <c r="C17" s="45" t="s">
        <v>43</v>
      </c>
      <c r="D17" s="62" t="s">
        <v>1894</v>
      </c>
      <c r="E17" s="11" t="s">
        <v>29</v>
      </c>
    </row>
    <row r="18">
      <c r="A18" s="90"/>
      <c r="B18" s="61" t="s">
        <v>1892</v>
      </c>
      <c r="C18" s="45" t="s">
        <v>545</v>
      </c>
      <c r="D18" s="61" t="s">
        <v>1828</v>
      </c>
      <c r="E18" s="11" t="s">
        <v>33</v>
      </c>
    </row>
    <row r="19">
      <c r="A19" s="90"/>
      <c r="B19" s="62" t="s">
        <v>1827</v>
      </c>
      <c r="C19" s="45" t="s">
        <v>688</v>
      </c>
      <c r="D19" s="62" t="s">
        <v>1894</v>
      </c>
      <c r="E19" s="11" t="s">
        <v>29</v>
      </c>
    </row>
    <row r="20">
      <c r="A20" s="90"/>
      <c r="B20" s="61" t="s">
        <v>1892</v>
      </c>
      <c r="C20" s="45" t="s">
        <v>301</v>
      </c>
      <c r="D20" s="61" t="s">
        <v>1893</v>
      </c>
      <c r="E20" s="11" t="s">
        <v>33</v>
      </c>
    </row>
    <row r="21">
      <c r="A21" s="90"/>
      <c r="B21" s="61" t="s">
        <v>1828</v>
      </c>
      <c r="C21" s="45" t="s">
        <v>177</v>
      </c>
      <c r="D21" s="62" t="s">
        <v>1894</v>
      </c>
      <c r="E21" s="11" t="s">
        <v>29</v>
      </c>
    </row>
    <row r="22">
      <c r="A22" s="90"/>
      <c r="B22" s="62" t="s">
        <v>1827</v>
      </c>
      <c r="C22" s="45" t="s">
        <v>311</v>
      </c>
      <c r="D22" s="61" t="s">
        <v>1893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1896</v>
      </c>
      <c r="C25" s="57" t="s">
        <v>43</v>
      </c>
      <c r="D25" s="61" t="s">
        <v>478</v>
      </c>
      <c r="E25" s="11" t="s">
        <v>9</v>
      </c>
    </row>
    <row r="26">
      <c r="A26" s="90"/>
      <c r="B26" s="61" t="s">
        <v>1270</v>
      </c>
      <c r="C26" s="57" t="s">
        <v>195</v>
      </c>
      <c r="D26" s="61" t="s">
        <v>1897</v>
      </c>
      <c r="E26" s="11" t="s">
        <v>13</v>
      </c>
    </row>
    <row r="27">
      <c r="A27" s="90"/>
      <c r="B27" s="62" t="s">
        <v>1833</v>
      </c>
      <c r="C27" s="57" t="s">
        <v>449</v>
      </c>
      <c r="D27" s="62" t="s">
        <v>1896</v>
      </c>
      <c r="E27" s="11" t="s">
        <v>9</v>
      </c>
    </row>
    <row r="28">
      <c r="A28" s="90"/>
      <c r="B28" s="61" t="s">
        <v>1270</v>
      </c>
      <c r="C28" s="57" t="s">
        <v>176</v>
      </c>
      <c r="D28" s="61" t="s">
        <v>478</v>
      </c>
      <c r="E28" s="11" t="s">
        <v>13</v>
      </c>
    </row>
    <row r="29">
      <c r="A29" s="90"/>
      <c r="B29" s="62" t="s">
        <v>1833</v>
      </c>
      <c r="C29" s="57" t="s">
        <v>464</v>
      </c>
      <c r="D29" s="61" t="s">
        <v>1897</v>
      </c>
      <c r="E29" s="11" t="s">
        <v>9</v>
      </c>
    </row>
    <row r="30">
      <c r="A30" s="90"/>
      <c r="B30" s="61" t="s">
        <v>1270</v>
      </c>
      <c r="C30" s="57" t="s">
        <v>181</v>
      </c>
      <c r="D30" s="62" t="s">
        <v>1896</v>
      </c>
      <c r="E30" s="11" t="s">
        <v>13</v>
      </c>
    </row>
    <row r="31">
      <c r="A31" s="90"/>
      <c r="B31" s="62" t="s">
        <v>1833</v>
      </c>
      <c r="C31" s="57" t="s">
        <v>281</v>
      </c>
      <c r="D31" s="61" t="s">
        <v>478</v>
      </c>
      <c r="E31" s="11" t="s">
        <v>9</v>
      </c>
    </row>
    <row r="32">
      <c r="A32" s="90"/>
      <c r="B32" s="61" t="s">
        <v>1897</v>
      </c>
      <c r="C32" s="57" t="s">
        <v>219</v>
      </c>
      <c r="D32" s="62" t="s">
        <v>1896</v>
      </c>
      <c r="E32" s="11" t="s">
        <v>13</v>
      </c>
    </row>
    <row r="33">
      <c r="A33" s="90"/>
      <c r="B33" s="62" t="s">
        <v>1833</v>
      </c>
      <c r="C33" s="57" t="s">
        <v>41</v>
      </c>
      <c r="D33" s="61" t="s">
        <v>1270</v>
      </c>
      <c r="E33" s="11" t="s">
        <v>9</v>
      </c>
    </row>
    <row r="34">
      <c r="A34" s="90"/>
      <c r="B34" s="61" t="s">
        <v>1897</v>
      </c>
      <c r="C34" s="57" t="s">
        <v>176</v>
      </c>
      <c r="D34" s="61" t="s">
        <v>478</v>
      </c>
      <c r="E34" s="11" t="s">
        <v>13</v>
      </c>
    </row>
    <row r="35">
      <c r="A35" s="90"/>
      <c r="B35" s="61" t="s">
        <v>478</v>
      </c>
      <c r="C35" s="57" t="s">
        <v>302</v>
      </c>
      <c r="D35" s="62" t="s">
        <v>1896</v>
      </c>
      <c r="E35" s="11" t="s">
        <v>9</v>
      </c>
    </row>
    <row r="36">
      <c r="A36" s="90"/>
      <c r="B36" s="61" t="s">
        <v>1897</v>
      </c>
      <c r="C36" s="57" t="s">
        <v>16</v>
      </c>
      <c r="D36" s="61" t="s">
        <v>1270</v>
      </c>
      <c r="E36" s="11" t="s">
        <v>13</v>
      </c>
    </row>
    <row r="37">
      <c r="A37" s="90"/>
      <c r="B37" s="62" t="s">
        <v>1896</v>
      </c>
      <c r="C37" s="45" t="s">
        <v>7</v>
      </c>
      <c r="D37" s="62" t="s">
        <v>1833</v>
      </c>
      <c r="E37" s="11" t="s">
        <v>9</v>
      </c>
    </row>
    <row r="38">
      <c r="A38" s="90"/>
      <c r="B38" s="61" t="s">
        <v>478</v>
      </c>
      <c r="C38" s="45" t="s">
        <v>459</v>
      </c>
      <c r="D38" s="61" t="s">
        <v>1270</v>
      </c>
      <c r="E38" s="11" t="s">
        <v>13</v>
      </c>
    </row>
    <row r="39">
      <c r="A39" s="90"/>
      <c r="B39" s="61" t="s">
        <v>1897</v>
      </c>
      <c r="C39" s="45" t="s">
        <v>301</v>
      </c>
      <c r="D39" s="62" t="s">
        <v>1833</v>
      </c>
      <c r="E39" s="11" t="s">
        <v>9</v>
      </c>
    </row>
    <row r="40">
      <c r="A40" s="90"/>
      <c r="B40" s="62" t="s">
        <v>1896</v>
      </c>
      <c r="C40" s="45" t="s">
        <v>534</v>
      </c>
      <c r="D40" s="61" t="s">
        <v>1270</v>
      </c>
      <c r="E40" s="11" t="s">
        <v>13</v>
      </c>
    </row>
    <row r="41">
      <c r="A41" s="90"/>
      <c r="B41" s="61" t="s">
        <v>478</v>
      </c>
      <c r="C41" s="45" t="s">
        <v>1107</v>
      </c>
      <c r="D41" s="62" t="s">
        <v>1833</v>
      </c>
      <c r="E41" s="11" t="s">
        <v>9</v>
      </c>
    </row>
    <row r="42">
      <c r="A42" s="90"/>
      <c r="B42" s="62" t="s">
        <v>1896</v>
      </c>
      <c r="C42" s="45" t="s">
        <v>195</v>
      </c>
      <c r="D42" s="61" t="s">
        <v>1897</v>
      </c>
      <c r="E42" s="11" t="s">
        <v>13</v>
      </c>
    </row>
    <row r="43">
      <c r="A43" s="90"/>
      <c r="B43" s="61" t="s">
        <v>1270</v>
      </c>
      <c r="C43" s="45" t="s">
        <v>210</v>
      </c>
      <c r="D43" s="62" t="s">
        <v>1833</v>
      </c>
      <c r="E43" s="11" t="s">
        <v>9</v>
      </c>
    </row>
    <row r="44">
      <c r="A44" s="91"/>
      <c r="B44" s="61" t="s">
        <v>478</v>
      </c>
      <c r="C44" s="45" t="s">
        <v>171</v>
      </c>
      <c r="D44" s="61" t="s">
        <v>1897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1898</v>
      </c>
      <c r="C47" s="57" t="s">
        <v>41</v>
      </c>
      <c r="D47" s="61" t="s">
        <v>1899</v>
      </c>
      <c r="E47" s="11" t="s">
        <v>29</v>
      </c>
    </row>
    <row r="48">
      <c r="B48" s="61" t="s">
        <v>1900</v>
      </c>
      <c r="C48" s="57" t="s">
        <v>158</v>
      </c>
      <c r="D48" s="61" t="s">
        <v>1901</v>
      </c>
      <c r="E48" s="11" t="s">
        <v>33</v>
      </c>
    </row>
    <row r="49">
      <c r="B49" s="61" t="s">
        <v>1771</v>
      </c>
      <c r="C49" s="57" t="s">
        <v>180</v>
      </c>
      <c r="D49" s="61" t="s">
        <v>1898</v>
      </c>
      <c r="E49" s="11" t="s">
        <v>29</v>
      </c>
    </row>
    <row r="50">
      <c r="B50" s="61" t="s">
        <v>1900</v>
      </c>
      <c r="C50" s="57" t="s">
        <v>291</v>
      </c>
      <c r="D50" s="61" t="s">
        <v>1899</v>
      </c>
      <c r="E50" s="11" t="s">
        <v>33</v>
      </c>
    </row>
    <row r="51">
      <c r="B51" s="61" t="s">
        <v>1771</v>
      </c>
      <c r="C51" s="57" t="s">
        <v>20</v>
      </c>
      <c r="D51" s="61" t="s">
        <v>1901</v>
      </c>
      <c r="E51" s="11" t="s">
        <v>29</v>
      </c>
    </row>
    <row r="52">
      <c r="B52" s="61" t="s">
        <v>1900</v>
      </c>
      <c r="C52" s="57" t="s">
        <v>244</v>
      </c>
      <c r="D52" s="61" t="s">
        <v>1898</v>
      </c>
      <c r="E52" s="11" t="s">
        <v>33</v>
      </c>
    </row>
    <row r="53">
      <c r="B53" s="61" t="s">
        <v>1771</v>
      </c>
      <c r="C53" s="57" t="s">
        <v>351</v>
      </c>
      <c r="D53" s="61" t="s">
        <v>1899</v>
      </c>
      <c r="E53" s="11" t="s">
        <v>29</v>
      </c>
    </row>
    <row r="54">
      <c r="B54" s="61" t="s">
        <v>1901</v>
      </c>
      <c r="C54" s="57" t="s">
        <v>155</v>
      </c>
      <c r="D54" s="61" t="s">
        <v>1898</v>
      </c>
      <c r="E54" s="11" t="s">
        <v>33</v>
      </c>
    </row>
    <row r="55">
      <c r="B55" s="61" t="s">
        <v>1771</v>
      </c>
      <c r="C55" s="57" t="s">
        <v>271</v>
      </c>
      <c r="D55" s="61" t="s">
        <v>1900</v>
      </c>
      <c r="E55" s="11" t="s">
        <v>29</v>
      </c>
    </row>
    <row r="56">
      <c r="B56" s="61" t="s">
        <v>1901</v>
      </c>
      <c r="C56" s="57" t="s">
        <v>301</v>
      </c>
      <c r="D56" s="61" t="s">
        <v>1899</v>
      </c>
      <c r="E56" s="11" t="s">
        <v>33</v>
      </c>
    </row>
    <row r="57">
      <c r="B57" s="61" t="s">
        <v>1899</v>
      </c>
      <c r="C57" s="57" t="s">
        <v>18</v>
      </c>
      <c r="D57" s="61" t="s">
        <v>1898</v>
      </c>
      <c r="E57" s="11" t="s">
        <v>29</v>
      </c>
    </row>
    <row r="58">
      <c r="B58" s="61" t="s">
        <v>1901</v>
      </c>
      <c r="C58" s="57" t="s">
        <v>41</v>
      </c>
      <c r="D58" s="61" t="s">
        <v>1900</v>
      </c>
      <c r="E58" s="11" t="s">
        <v>33</v>
      </c>
    </row>
    <row r="59">
      <c r="B59" s="61" t="s">
        <v>1898</v>
      </c>
      <c r="C59" s="57" t="s">
        <v>187</v>
      </c>
      <c r="D59" s="61" t="s">
        <v>1771</v>
      </c>
      <c r="E59" s="11" t="s">
        <v>29</v>
      </c>
    </row>
    <row r="60">
      <c r="B60" s="61" t="s">
        <v>1899</v>
      </c>
      <c r="C60" s="57" t="s">
        <v>20</v>
      </c>
      <c r="D60" s="61" t="s">
        <v>1900</v>
      </c>
      <c r="E60" s="11" t="s">
        <v>33</v>
      </c>
    </row>
    <row r="61">
      <c r="B61" s="61" t="s">
        <v>1901</v>
      </c>
      <c r="C61" s="57" t="s">
        <v>278</v>
      </c>
      <c r="D61" s="61" t="s">
        <v>1771</v>
      </c>
      <c r="E61" s="11" t="s">
        <v>29</v>
      </c>
    </row>
    <row r="62">
      <c r="B62" s="61" t="s">
        <v>1898</v>
      </c>
      <c r="C62" s="57" t="s">
        <v>219</v>
      </c>
      <c r="D62" s="61" t="s">
        <v>1900</v>
      </c>
      <c r="E62" s="11" t="s">
        <v>33</v>
      </c>
    </row>
    <row r="63">
      <c r="B63" s="61" t="s">
        <v>1899</v>
      </c>
      <c r="C63" s="57" t="s">
        <v>195</v>
      </c>
      <c r="D63" s="61" t="s">
        <v>1771</v>
      </c>
      <c r="E63" s="11" t="s">
        <v>29</v>
      </c>
    </row>
    <row r="64">
      <c r="B64" s="61" t="s">
        <v>1898</v>
      </c>
      <c r="C64" s="57" t="s">
        <v>155</v>
      </c>
      <c r="D64" s="61" t="s">
        <v>1901</v>
      </c>
      <c r="E64" s="11" t="s">
        <v>33</v>
      </c>
    </row>
    <row r="65">
      <c r="B65" s="61" t="s">
        <v>1900</v>
      </c>
      <c r="C65" s="57" t="s">
        <v>177</v>
      </c>
      <c r="D65" s="61" t="s">
        <v>1771</v>
      </c>
      <c r="E65" s="11" t="s">
        <v>29</v>
      </c>
    </row>
    <row r="66">
      <c r="B66" s="61" t="s">
        <v>1899</v>
      </c>
      <c r="C66" s="57" t="s">
        <v>164</v>
      </c>
      <c r="D66" s="61" t="s">
        <v>1901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  <c r="K68" s="50"/>
    </row>
    <row r="69">
      <c r="B69" s="61" t="s">
        <v>138</v>
      </c>
      <c r="C69" s="57" t="s">
        <v>14</v>
      </c>
      <c r="D69" s="61" t="s">
        <v>1126</v>
      </c>
      <c r="E69" s="11" t="s">
        <v>9</v>
      </c>
    </row>
    <row r="70">
      <c r="B70" s="61" t="s">
        <v>240</v>
      </c>
      <c r="C70" s="57" t="s">
        <v>464</v>
      </c>
      <c r="D70" s="61" t="s">
        <v>1517</v>
      </c>
      <c r="E70" s="11" t="s">
        <v>13</v>
      </c>
    </row>
    <row r="71">
      <c r="B71" s="61" t="s">
        <v>1902</v>
      </c>
      <c r="C71" s="57" t="s">
        <v>20</v>
      </c>
      <c r="D71" s="61" t="s">
        <v>138</v>
      </c>
      <c r="E71" s="11" t="s">
        <v>9</v>
      </c>
    </row>
    <row r="72">
      <c r="B72" s="61" t="s">
        <v>240</v>
      </c>
      <c r="C72" s="57" t="s">
        <v>697</v>
      </c>
      <c r="D72" s="61" t="s">
        <v>1126</v>
      </c>
      <c r="E72" s="11" t="s">
        <v>13</v>
      </c>
    </row>
    <row r="73">
      <c r="B73" s="61" t="s">
        <v>1902</v>
      </c>
      <c r="C73" s="57" t="s">
        <v>187</v>
      </c>
      <c r="D73" s="61" t="s">
        <v>1517</v>
      </c>
      <c r="E73" s="11" t="s">
        <v>9</v>
      </c>
    </row>
    <row r="74">
      <c r="B74" s="61" t="s">
        <v>240</v>
      </c>
      <c r="C74" s="57" t="s">
        <v>176</v>
      </c>
      <c r="D74" s="61" t="s">
        <v>138</v>
      </c>
      <c r="E74" s="11" t="s">
        <v>13</v>
      </c>
    </row>
    <row r="75">
      <c r="B75" s="61" t="s">
        <v>1902</v>
      </c>
      <c r="C75" s="57" t="s">
        <v>187</v>
      </c>
      <c r="D75" s="61" t="s">
        <v>1126</v>
      </c>
      <c r="E75" s="11" t="s">
        <v>9</v>
      </c>
    </row>
    <row r="76">
      <c r="B76" s="61" t="s">
        <v>1517</v>
      </c>
      <c r="C76" s="57" t="s">
        <v>158</v>
      </c>
      <c r="D76" s="61" t="s">
        <v>138</v>
      </c>
      <c r="E76" s="11" t="s">
        <v>13</v>
      </c>
    </row>
    <row r="77">
      <c r="B77" s="61" t="s">
        <v>1902</v>
      </c>
      <c r="C77" s="57" t="s">
        <v>193</v>
      </c>
      <c r="D77" s="61" t="s">
        <v>240</v>
      </c>
      <c r="E77" s="11" t="s">
        <v>9</v>
      </c>
    </row>
    <row r="78">
      <c r="B78" s="61" t="s">
        <v>1517</v>
      </c>
      <c r="C78" s="57" t="s">
        <v>24</v>
      </c>
      <c r="D78" s="61" t="s">
        <v>1126</v>
      </c>
      <c r="E78" s="11" t="s">
        <v>13</v>
      </c>
    </row>
    <row r="79">
      <c r="B79" s="61" t="s">
        <v>1126</v>
      </c>
      <c r="C79" s="57" t="s">
        <v>7</v>
      </c>
      <c r="D79" s="61" t="s">
        <v>138</v>
      </c>
      <c r="E79" s="11" t="s">
        <v>9</v>
      </c>
    </row>
    <row r="80">
      <c r="B80" s="61" t="s">
        <v>1517</v>
      </c>
      <c r="C80" s="57" t="s">
        <v>155</v>
      </c>
      <c r="D80" s="61" t="s">
        <v>240</v>
      </c>
      <c r="E80" s="11" t="s">
        <v>13</v>
      </c>
    </row>
    <row r="81">
      <c r="B81" s="61" t="s">
        <v>138</v>
      </c>
      <c r="C81" s="45" t="s">
        <v>38</v>
      </c>
      <c r="D81" s="61" t="s">
        <v>1902</v>
      </c>
      <c r="E81" s="11" t="s">
        <v>9</v>
      </c>
    </row>
    <row r="82">
      <c r="B82" s="61" t="s">
        <v>1126</v>
      </c>
      <c r="C82" s="45" t="s">
        <v>17</v>
      </c>
      <c r="D82" s="61" t="s">
        <v>240</v>
      </c>
      <c r="E82" s="11" t="s">
        <v>13</v>
      </c>
    </row>
    <row r="83">
      <c r="B83" s="61" t="s">
        <v>1517</v>
      </c>
      <c r="C83" s="45" t="s">
        <v>173</v>
      </c>
      <c r="D83" s="61" t="s">
        <v>1902</v>
      </c>
      <c r="E83" s="11" t="s">
        <v>9</v>
      </c>
    </row>
    <row r="84">
      <c r="B84" s="61" t="s">
        <v>138</v>
      </c>
      <c r="C84" s="45" t="s">
        <v>301</v>
      </c>
      <c r="D84" s="61" t="s">
        <v>240</v>
      </c>
      <c r="E84" s="11" t="s">
        <v>13</v>
      </c>
    </row>
    <row r="85">
      <c r="B85" s="61" t="s">
        <v>1126</v>
      </c>
      <c r="C85" s="45" t="s">
        <v>1903</v>
      </c>
      <c r="D85" s="61" t="s">
        <v>1902</v>
      </c>
      <c r="E85" s="11" t="s">
        <v>9</v>
      </c>
    </row>
    <row r="86">
      <c r="B86" s="61" t="s">
        <v>138</v>
      </c>
      <c r="C86" s="45" t="s">
        <v>41</v>
      </c>
      <c r="D86" s="61" t="s">
        <v>1517</v>
      </c>
      <c r="E86" s="11" t="s">
        <v>13</v>
      </c>
    </row>
    <row r="87">
      <c r="B87" s="61" t="s">
        <v>240</v>
      </c>
      <c r="C87" s="45" t="s">
        <v>14</v>
      </c>
      <c r="D87" s="61" t="s">
        <v>1902</v>
      </c>
      <c r="E87" s="11" t="s">
        <v>9</v>
      </c>
    </row>
    <row r="88">
      <c r="B88" s="61" t="s">
        <v>1126</v>
      </c>
      <c r="C88" s="45" t="s">
        <v>662</v>
      </c>
      <c r="D88" s="61" t="s">
        <v>1517</v>
      </c>
      <c r="E88" s="11" t="s">
        <v>13</v>
      </c>
    </row>
    <row r="89">
      <c r="B89" s="1" t="s">
        <v>1777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1111</v>
      </c>
      <c r="C91" s="45" t="s">
        <v>44</v>
      </c>
      <c r="D91" s="61" t="s">
        <v>642</v>
      </c>
      <c r="E91" s="11" t="s">
        <v>9</v>
      </c>
    </row>
    <row r="92">
      <c r="B92" s="61" t="s">
        <v>1904</v>
      </c>
      <c r="C92" s="45" t="s">
        <v>162</v>
      </c>
      <c r="D92" s="61" t="s">
        <v>1905</v>
      </c>
      <c r="E92" s="11" t="s">
        <v>13</v>
      </c>
    </row>
    <row r="93">
      <c r="B93" s="61" t="s">
        <v>939</v>
      </c>
      <c r="C93" s="45" t="s">
        <v>194</v>
      </c>
      <c r="D93" s="61" t="s">
        <v>1111</v>
      </c>
      <c r="E93" s="11" t="s">
        <v>9</v>
      </c>
    </row>
    <row r="94">
      <c r="B94" s="61" t="s">
        <v>1904</v>
      </c>
      <c r="C94" s="45" t="s">
        <v>193</v>
      </c>
      <c r="D94" s="61" t="s">
        <v>642</v>
      </c>
      <c r="E94" s="11" t="s">
        <v>13</v>
      </c>
    </row>
    <row r="95">
      <c r="B95" s="61" t="s">
        <v>939</v>
      </c>
      <c r="C95" s="45" t="s">
        <v>171</v>
      </c>
      <c r="D95" s="61" t="s">
        <v>1905</v>
      </c>
      <c r="E95" s="11" t="s">
        <v>9</v>
      </c>
    </row>
    <row r="96">
      <c r="B96" s="61" t="s">
        <v>1904</v>
      </c>
      <c r="C96" s="45" t="s">
        <v>20</v>
      </c>
      <c r="D96" s="61" t="s">
        <v>1111</v>
      </c>
      <c r="E96" s="11" t="s">
        <v>13</v>
      </c>
    </row>
    <row r="97">
      <c r="B97" s="61" t="s">
        <v>939</v>
      </c>
      <c r="C97" s="45" t="s">
        <v>220</v>
      </c>
      <c r="D97" s="61" t="s">
        <v>642</v>
      </c>
      <c r="E97" s="11" t="s">
        <v>9</v>
      </c>
    </row>
    <row r="98">
      <c r="B98" s="61" t="s">
        <v>1905</v>
      </c>
      <c r="C98" s="45" t="s">
        <v>193</v>
      </c>
      <c r="D98" s="61" t="s">
        <v>1111</v>
      </c>
      <c r="E98" s="11" t="s">
        <v>13</v>
      </c>
    </row>
    <row r="99">
      <c r="B99" s="61" t="s">
        <v>939</v>
      </c>
      <c r="C99" s="45" t="s">
        <v>185</v>
      </c>
      <c r="D99" s="61" t="s">
        <v>1904</v>
      </c>
      <c r="E99" s="11" t="s">
        <v>9</v>
      </c>
    </row>
    <row r="100">
      <c r="B100" s="61" t="s">
        <v>1905</v>
      </c>
      <c r="C100" s="45" t="s">
        <v>41</v>
      </c>
      <c r="D100" s="61" t="s">
        <v>642</v>
      </c>
      <c r="E100" s="11" t="s">
        <v>13</v>
      </c>
    </row>
    <row r="101">
      <c r="B101" s="61" t="s">
        <v>642</v>
      </c>
      <c r="C101" s="45" t="s">
        <v>161</v>
      </c>
      <c r="D101" s="61" t="s">
        <v>1111</v>
      </c>
      <c r="E101" s="11" t="s">
        <v>9</v>
      </c>
    </row>
    <row r="102">
      <c r="B102" s="61" t="s">
        <v>1905</v>
      </c>
      <c r="C102" s="45" t="s">
        <v>640</v>
      </c>
      <c r="D102" s="61" t="s">
        <v>1904</v>
      </c>
      <c r="E102" s="11" t="s">
        <v>13</v>
      </c>
    </row>
    <row r="103">
      <c r="B103" s="61" t="s">
        <v>1111</v>
      </c>
      <c r="C103" s="45" t="s">
        <v>155</v>
      </c>
      <c r="D103" s="61" t="s">
        <v>939</v>
      </c>
      <c r="E103" s="11" t="s">
        <v>9</v>
      </c>
    </row>
    <row r="104">
      <c r="B104" s="61" t="s">
        <v>642</v>
      </c>
      <c r="C104" s="45" t="s">
        <v>344</v>
      </c>
      <c r="D104" s="61" t="s">
        <v>1904</v>
      </c>
      <c r="E104" s="11" t="s">
        <v>13</v>
      </c>
    </row>
    <row r="105">
      <c r="B105" s="61" t="s">
        <v>1905</v>
      </c>
      <c r="C105" s="45" t="s">
        <v>18</v>
      </c>
      <c r="D105" s="61" t="s">
        <v>939</v>
      </c>
      <c r="E105" s="11" t="s">
        <v>9</v>
      </c>
    </row>
    <row r="106">
      <c r="B106" s="61" t="s">
        <v>1111</v>
      </c>
      <c r="C106" s="45" t="s">
        <v>193</v>
      </c>
      <c r="D106" s="61" t="s">
        <v>1904</v>
      </c>
      <c r="E106" s="11" t="s">
        <v>13</v>
      </c>
    </row>
    <row r="107">
      <c r="B107" s="61" t="s">
        <v>642</v>
      </c>
      <c r="C107" s="45" t="s">
        <v>302</v>
      </c>
      <c r="D107" s="61" t="s">
        <v>939</v>
      </c>
      <c r="E107" s="11" t="s">
        <v>9</v>
      </c>
    </row>
    <row r="108">
      <c r="B108" s="61" t="s">
        <v>1111</v>
      </c>
      <c r="C108" s="45" t="s">
        <v>279</v>
      </c>
      <c r="D108" s="61" t="s">
        <v>1905</v>
      </c>
      <c r="E108" s="11" t="s">
        <v>13</v>
      </c>
    </row>
    <row r="109">
      <c r="B109" s="61" t="s">
        <v>1904</v>
      </c>
      <c r="C109" s="45" t="s">
        <v>181</v>
      </c>
      <c r="D109" s="61" t="s">
        <v>939</v>
      </c>
      <c r="E109" s="11" t="s">
        <v>9</v>
      </c>
    </row>
    <row r="110">
      <c r="B110" s="61" t="s">
        <v>642</v>
      </c>
      <c r="C110" s="45" t="s">
        <v>225</v>
      </c>
      <c r="D110" s="61" t="s">
        <v>1905</v>
      </c>
      <c r="E110" s="11" t="s">
        <v>13</v>
      </c>
    </row>
    <row r="111">
      <c r="B111" s="1" t="s">
        <v>1782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  <c r="G112" s="78"/>
    </row>
    <row r="113">
      <c r="B113" s="61" t="s">
        <v>1906</v>
      </c>
      <c r="C113" s="57" t="s">
        <v>433</v>
      </c>
      <c r="D113" s="61" t="s">
        <v>1787</v>
      </c>
      <c r="E113" s="11" t="s">
        <v>9</v>
      </c>
    </row>
    <row r="114">
      <c r="B114" s="61" t="s">
        <v>1907</v>
      </c>
      <c r="C114" s="57" t="s">
        <v>184</v>
      </c>
      <c r="D114" s="61" t="s">
        <v>1908</v>
      </c>
      <c r="E114" s="11" t="s">
        <v>13</v>
      </c>
    </row>
    <row r="115">
      <c r="B115" s="61" t="s">
        <v>1909</v>
      </c>
      <c r="C115" s="57" t="s">
        <v>19</v>
      </c>
      <c r="D115" s="61" t="s">
        <v>1906</v>
      </c>
      <c r="E115" s="11" t="s">
        <v>9</v>
      </c>
    </row>
    <row r="116">
      <c r="B116" s="61" t="s">
        <v>1907</v>
      </c>
      <c r="C116" s="57" t="s">
        <v>7</v>
      </c>
      <c r="D116" s="61" t="s">
        <v>1787</v>
      </c>
      <c r="E116" s="11" t="s">
        <v>13</v>
      </c>
    </row>
    <row r="117">
      <c r="B117" s="61" t="s">
        <v>1909</v>
      </c>
      <c r="C117" s="57" t="s">
        <v>464</v>
      </c>
      <c r="D117" s="61" t="s">
        <v>1908</v>
      </c>
      <c r="E117" s="11" t="s">
        <v>9</v>
      </c>
    </row>
    <row r="118">
      <c r="B118" s="61" t="s">
        <v>1907</v>
      </c>
      <c r="C118" s="57" t="s">
        <v>289</v>
      </c>
      <c r="D118" s="61" t="s">
        <v>1906</v>
      </c>
      <c r="E118" s="11" t="s">
        <v>13</v>
      </c>
    </row>
    <row r="119">
      <c r="B119" s="61" t="s">
        <v>1909</v>
      </c>
      <c r="C119" s="57" t="s">
        <v>193</v>
      </c>
      <c r="D119" s="61" t="s">
        <v>1787</v>
      </c>
      <c r="E119" s="11" t="s">
        <v>9</v>
      </c>
    </row>
    <row r="120">
      <c r="B120" s="61" t="s">
        <v>1908</v>
      </c>
      <c r="C120" s="57" t="s">
        <v>219</v>
      </c>
      <c r="D120" s="61" t="s">
        <v>1906</v>
      </c>
      <c r="E120" s="11" t="s">
        <v>13</v>
      </c>
    </row>
    <row r="121">
      <c r="B121" s="61" t="s">
        <v>1909</v>
      </c>
      <c r="C121" s="57" t="s">
        <v>173</v>
      </c>
      <c r="D121" s="61" t="s">
        <v>1907</v>
      </c>
      <c r="E121" s="11" t="s">
        <v>9</v>
      </c>
    </row>
    <row r="122">
      <c r="B122" s="61" t="s">
        <v>1908</v>
      </c>
      <c r="C122" s="57" t="s">
        <v>418</v>
      </c>
      <c r="D122" s="61" t="s">
        <v>1787</v>
      </c>
      <c r="E122" s="11" t="s">
        <v>13</v>
      </c>
    </row>
    <row r="123">
      <c r="B123" s="61" t="s">
        <v>1787</v>
      </c>
      <c r="C123" s="57" t="s">
        <v>23</v>
      </c>
      <c r="D123" s="61" t="s">
        <v>1906</v>
      </c>
      <c r="E123" s="11" t="s">
        <v>9</v>
      </c>
    </row>
    <row r="124">
      <c r="B124" s="61" t="s">
        <v>1908</v>
      </c>
      <c r="C124" s="57" t="s">
        <v>1910</v>
      </c>
      <c r="D124" s="61" t="s">
        <v>1907</v>
      </c>
      <c r="E124" s="11" t="s">
        <v>13</v>
      </c>
    </row>
    <row r="125">
      <c r="B125" s="61" t="s">
        <v>1906</v>
      </c>
      <c r="C125" s="45" t="s">
        <v>161</v>
      </c>
      <c r="D125" s="61" t="s">
        <v>1909</v>
      </c>
      <c r="E125" s="11" t="s">
        <v>9</v>
      </c>
    </row>
    <row r="126">
      <c r="B126" s="61" t="s">
        <v>1787</v>
      </c>
      <c r="C126" s="45" t="s">
        <v>219</v>
      </c>
      <c r="D126" s="61" t="s">
        <v>1907</v>
      </c>
      <c r="E126" s="11" t="s">
        <v>13</v>
      </c>
    </row>
    <row r="127">
      <c r="B127" s="61" t="s">
        <v>1908</v>
      </c>
      <c r="C127" s="45" t="s">
        <v>43</v>
      </c>
      <c r="D127" s="61" t="s">
        <v>1909</v>
      </c>
      <c r="E127" s="11" t="s">
        <v>9</v>
      </c>
    </row>
    <row r="128">
      <c r="B128" s="61" t="s">
        <v>1906</v>
      </c>
      <c r="C128" s="45" t="s">
        <v>344</v>
      </c>
      <c r="D128" s="61" t="s">
        <v>1907</v>
      </c>
      <c r="E128" s="11" t="s">
        <v>13</v>
      </c>
    </row>
    <row r="129">
      <c r="B129" s="61" t="s">
        <v>1787</v>
      </c>
      <c r="C129" s="45" t="s">
        <v>18</v>
      </c>
      <c r="D129" s="61" t="s">
        <v>1909</v>
      </c>
      <c r="E129" s="11" t="s">
        <v>9</v>
      </c>
    </row>
    <row r="130">
      <c r="B130" s="61" t="s">
        <v>1906</v>
      </c>
      <c r="C130" s="45" t="s">
        <v>158</v>
      </c>
      <c r="D130" s="61" t="s">
        <v>1908</v>
      </c>
      <c r="E130" s="11" t="s">
        <v>13</v>
      </c>
    </row>
    <row r="131">
      <c r="B131" s="61" t="s">
        <v>1907</v>
      </c>
      <c r="C131" s="45" t="s">
        <v>43</v>
      </c>
      <c r="D131" s="61" t="s">
        <v>1909</v>
      </c>
      <c r="E131" s="11" t="s">
        <v>9</v>
      </c>
    </row>
    <row r="132">
      <c r="B132" s="61" t="s">
        <v>1787</v>
      </c>
      <c r="C132" s="45" t="s">
        <v>14</v>
      </c>
      <c r="D132" s="61" t="s">
        <v>1908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1855</v>
      </c>
      <c r="C135" s="57" t="s">
        <v>177</v>
      </c>
      <c r="D135" s="61" t="s">
        <v>1911</v>
      </c>
      <c r="E135" s="11" t="s">
        <v>29</v>
      </c>
    </row>
    <row r="136">
      <c r="B136" s="56" t="s">
        <v>658</v>
      </c>
      <c r="C136" s="57" t="s">
        <v>14</v>
      </c>
      <c r="D136" s="61" t="s">
        <v>1912</v>
      </c>
      <c r="E136" s="11" t="s">
        <v>33</v>
      </c>
    </row>
    <row r="137">
      <c r="B137" s="61" t="s">
        <v>1913</v>
      </c>
      <c r="C137" s="57" t="s">
        <v>17</v>
      </c>
      <c r="D137" s="61" t="s">
        <v>1855</v>
      </c>
      <c r="E137" s="11" t="s">
        <v>29</v>
      </c>
    </row>
    <row r="138">
      <c r="B138" s="56" t="s">
        <v>658</v>
      </c>
      <c r="C138" s="57" t="s">
        <v>233</v>
      </c>
      <c r="D138" s="61" t="s">
        <v>1911</v>
      </c>
      <c r="E138" s="11" t="s">
        <v>33</v>
      </c>
    </row>
    <row r="139">
      <c r="B139" s="61" t="s">
        <v>1913</v>
      </c>
      <c r="C139" s="57" t="s">
        <v>36</v>
      </c>
      <c r="D139" s="61" t="s">
        <v>1912</v>
      </c>
      <c r="E139" s="11" t="s">
        <v>29</v>
      </c>
    </row>
    <row r="140">
      <c r="B140" s="56" t="s">
        <v>658</v>
      </c>
      <c r="C140" s="57" t="s">
        <v>210</v>
      </c>
      <c r="D140" s="61" t="s">
        <v>1855</v>
      </c>
      <c r="E140" s="11" t="s">
        <v>33</v>
      </c>
    </row>
    <row r="141">
      <c r="B141" s="61" t="s">
        <v>1913</v>
      </c>
      <c r="C141" s="57" t="s">
        <v>158</v>
      </c>
      <c r="D141" s="61" t="s">
        <v>1911</v>
      </c>
      <c r="E141" s="11" t="s">
        <v>29</v>
      </c>
    </row>
    <row r="142">
      <c r="B142" s="61" t="s">
        <v>1912</v>
      </c>
      <c r="C142" s="57" t="s">
        <v>271</v>
      </c>
      <c r="D142" s="61" t="s">
        <v>1855</v>
      </c>
      <c r="E142" s="11" t="s">
        <v>33</v>
      </c>
    </row>
    <row r="143">
      <c r="B143" s="61" t="s">
        <v>1913</v>
      </c>
      <c r="C143" s="57" t="s">
        <v>23</v>
      </c>
      <c r="D143" s="56" t="s">
        <v>658</v>
      </c>
      <c r="E143" s="11" t="s">
        <v>29</v>
      </c>
    </row>
    <row r="144">
      <c r="B144" s="61" t="s">
        <v>1912</v>
      </c>
      <c r="C144" s="57" t="s">
        <v>248</v>
      </c>
      <c r="D144" s="61" t="s">
        <v>1911</v>
      </c>
      <c r="E144" s="11" t="s">
        <v>33</v>
      </c>
    </row>
    <row r="145">
      <c r="B145" s="61" t="s">
        <v>1911</v>
      </c>
      <c r="C145" s="57" t="s">
        <v>17</v>
      </c>
      <c r="D145" s="61" t="s">
        <v>1855</v>
      </c>
      <c r="E145" s="11" t="s">
        <v>29</v>
      </c>
    </row>
    <row r="146">
      <c r="B146" s="61" t="s">
        <v>1912</v>
      </c>
      <c r="C146" s="57" t="s">
        <v>324</v>
      </c>
      <c r="D146" s="56" t="s">
        <v>658</v>
      </c>
      <c r="E146" s="11" t="s">
        <v>33</v>
      </c>
    </row>
    <row r="147">
      <c r="B147" s="61" t="s">
        <v>1855</v>
      </c>
      <c r="C147" s="45" t="s">
        <v>185</v>
      </c>
      <c r="D147" s="61" t="s">
        <v>1913</v>
      </c>
      <c r="E147" s="11" t="s">
        <v>29</v>
      </c>
    </row>
    <row r="148">
      <c r="B148" s="61" t="s">
        <v>1911</v>
      </c>
      <c r="C148" s="45" t="s">
        <v>16</v>
      </c>
      <c r="D148" s="56" t="s">
        <v>658</v>
      </c>
      <c r="E148" s="11" t="s">
        <v>33</v>
      </c>
    </row>
    <row r="149">
      <c r="B149" s="61" t="s">
        <v>1912</v>
      </c>
      <c r="C149" s="45" t="s">
        <v>344</v>
      </c>
      <c r="D149" s="61" t="s">
        <v>1913</v>
      </c>
      <c r="E149" s="11" t="s">
        <v>29</v>
      </c>
    </row>
    <row r="150">
      <c r="B150" s="61" t="s">
        <v>1855</v>
      </c>
      <c r="C150" s="45" t="s">
        <v>19</v>
      </c>
      <c r="D150" s="56" t="s">
        <v>658</v>
      </c>
      <c r="E150" s="11" t="s">
        <v>33</v>
      </c>
    </row>
    <row r="151">
      <c r="B151" s="61" t="s">
        <v>1911</v>
      </c>
      <c r="C151" s="45" t="s">
        <v>158</v>
      </c>
      <c r="D151" s="61" t="s">
        <v>1913</v>
      </c>
      <c r="E151" s="11" t="s">
        <v>29</v>
      </c>
    </row>
    <row r="152">
      <c r="B152" s="61" t="s">
        <v>1855</v>
      </c>
      <c r="C152" s="45" t="s">
        <v>157</v>
      </c>
      <c r="D152" s="61" t="s">
        <v>1912</v>
      </c>
      <c r="E152" s="11" t="s">
        <v>33</v>
      </c>
    </row>
    <row r="153">
      <c r="B153" s="56" t="s">
        <v>658</v>
      </c>
      <c r="C153" s="45" t="s">
        <v>41</v>
      </c>
      <c r="D153" s="61" t="s">
        <v>1913</v>
      </c>
      <c r="E153" s="11" t="s">
        <v>29</v>
      </c>
    </row>
    <row r="154">
      <c r="B154" s="61" t="s">
        <v>1911</v>
      </c>
      <c r="C154" s="45" t="s">
        <v>16</v>
      </c>
      <c r="D154" s="61" t="s">
        <v>1912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  <c r="I156" s="78"/>
    </row>
    <row r="157">
      <c r="B157" s="61" t="s">
        <v>1914</v>
      </c>
      <c r="C157" s="45" t="s">
        <v>426</v>
      </c>
      <c r="D157" s="61" t="s">
        <v>1252</v>
      </c>
      <c r="E157" s="11" t="s">
        <v>9</v>
      </c>
    </row>
    <row r="158">
      <c r="B158" s="61" t="s">
        <v>1915</v>
      </c>
      <c r="C158" s="45" t="s">
        <v>233</v>
      </c>
      <c r="D158" s="61" t="s">
        <v>671</v>
      </c>
      <c r="E158" s="11" t="s">
        <v>13</v>
      </c>
    </row>
    <row r="159">
      <c r="B159" s="61" t="s">
        <v>1916</v>
      </c>
      <c r="C159" s="45" t="s">
        <v>220</v>
      </c>
      <c r="D159" s="61" t="s">
        <v>1914</v>
      </c>
      <c r="E159" s="11" t="s">
        <v>9</v>
      </c>
    </row>
    <row r="160">
      <c r="B160" s="61" t="s">
        <v>1915</v>
      </c>
      <c r="C160" s="45" t="s">
        <v>43</v>
      </c>
      <c r="D160" s="61" t="s">
        <v>1252</v>
      </c>
      <c r="E160" s="11" t="s">
        <v>13</v>
      </c>
    </row>
    <row r="161">
      <c r="B161" s="61" t="s">
        <v>1916</v>
      </c>
      <c r="C161" s="45" t="s">
        <v>41</v>
      </c>
      <c r="D161" s="61" t="s">
        <v>671</v>
      </c>
      <c r="E161" s="11" t="s">
        <v>9</v>
      </c>
    </row>
    <row r="162">
      <c r="B162" s="61" t="s">
        <v>1915</v>
      </c>
      <c r="C162" s="45" t="s">
        <v>18</v>
      </c>
      <c r="D162" s="61" t="s">
        <v>1914</v>
      </c>
      <c r="E162" s="11" t="s">
        <v>13</v>
      </c>
    </row>
    <row r="163">
      <c r="B163" s="61" t="s">
        <v>1916</v>
      </c>
      <c r="C163" s="45" t="s">
        <v>14</v>
      </c>
      <c r="D163" s="61" t="s">
        <v>1252</v>
      </c>
      <c r="E163" s="11" t="s">
        <v>9</v>
      </c>
    </row>
    <row r="164">
      <c r="B164" s="61" t="s">
        <v>671</v>
      </c>
      <c r="C164" s="45" t="s">
        <v>210</v>
      </c>
      <c r="D164" s="61" t="s">
        <v>1914</v>
      </c>
      <c r="E164" s="11" t="s">
        <v>13</v>
      </c>
    </row>
    <row r="165">
      <c r="B165" s="61" t="s">
        <v>1916</v>
      </c>
      <c r="C165" s="45" t="s">
        <v>279</v>
      </c>
      <c r="D165" s="61" t="s">
        <v>1915</v>
      </c>
      <c r="E165" s="11" t="s">
        <v>9</v>
      </c>
    </row>
    <row r="166">
      <c r="B166" s="61" t="s">
        <v>671</v>
      </c>
      <c r="C166" s="45" t="s">
        <v>158</v>
      </c>
      <c r="D166" s="61" t="s">
        <v>1252</v>
      </c>
      <c r="E166" s="11" t="s">
        <v>13</v>
      </c>
    </row>
    <row r="167">
      <c r="B167" s="61" t="s">
        <v>1252</v>
      </c>
      <c r="C167" s="45" t="s">
        <v>573</v>
      </c>
      <c r="D167" s="61" t="s">
        <v>1914</v>
      </c>
      <c r="E167" s="11" t="s">
        <v>9</v>
      </c>
    </row>
    <row r="168">
      <c r="B168" s="61" t="s">
        <v>671</v>
      </c>
      <c r="C168" s="45" t="s">
        <v>42</v>
      </c>
      <c r="D168" s="61" t="s">
        <v>1915</v>
      </c>
      <c r="E168" s="11" t="s">
        <v>13</v>
      </c>
    </row>
    <row r="169">
      <c r="B169" s="61" t="s">
        <v>1914</v>
      </c>
      <c r="C169" s="45" t="s">
        <v>166</v>
      </c>
      <c r="D169" s="61" t="s">
        <v>1916</v>
      </c>
      <c r="E169" s="11" t="s">
        <v>9</v>
      </c>
    </row>
    <row r="170">
      <c r="B170" s="61" t="s">
        <v>1252</v>
      </c>
      <c r="C170" s="45" t="s">
        <v>23</v>
      </c>
      <c r="D170" s="61" t="s">
        <v>1915</v>
      </c>
      <c r="E170" s="11" t="s">
        <v>13</v>
      </c>
    </row>
    <row r="171">
      <c r="B171" s="61" t="s">
        <v>671</v>
      </c>
      <c r="C171" s="45" t="s">
        <v>19</v>
      </c>
      <c r="D171" s="61" t="s">
        <v>1916</v>
      </c>
      <c r="E171" s="11" t="s">
        <v>9</v>
      </c>
    </row>
    <row r="172">
      <c r="B172" s="61" t="s">
        <v>1914</v>
      </c>
      <c r="C172" s="45" t="s">
        <v>41</v>
      </c>
      <c r="D172" s="61" t="s">
        <v>1915</v>
      </c>
      <c r="E172" s="11" t="s">
        <v>13</v>
      </c>
    </row>
    <row r="173">
      <c r="B173" s="61" t="s">
        <v>1252</v>
      </c>
      <c r="C173" s="45" t="s">
        <v>163</v>
      </c>
      <c r="D173" s="61" t="s">
        <v>1916</v>
      </c>
      <c r="E173" s="11" t="s">
        <v>9</v>
      </c>
    </row>
    <row r="174">
      <c r="B174" s="61" t="s">
        <v>1914</v>
      </c>
      <c r="C174" s="45" t="s">
        <v>14</v>
      </c>
      <c r="D174" s="61" t="s">
        <v>671</v>
      </c>
      <c r="E174" s="11" t="s">
        <v>13</v>
      </c>
    </row>
    <row r="175">
      <c r="B175" s="61" t="s">
        <v>1915</v>
      </c>
      <c r="C175" s="45" t="s">
        <v>23</v>
      </c>
      <c r="D175" s="61" t="s">
        <v>1916</v>
      </c>
      <c r="E175" s="11" t="s">
        <v>9</v>
      </c>
    </row>
    <row r="176">
      <c r="B176" s="61" t="s">
        <v>1252</v>
      </c>
      <c r="C176" s="45" t="s">
        <v>233</v>
      </c>
      <c r="D176" s="61" t="s">
        <v>671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1917</v>
      </c>
      <c r="C179" s="57" t="s">
        <v>208</v>
      </c>
      <c r="D179" s="61" t="s">
        <v>529</v>
      </c>
      <c r="E179" s="11" t="s">
        <v>29</v>
      </c>
    </row>
    <row r="180">
      <c r="B180" s="56" t="s">
        <v>1165</v>
      </c>
      <c r="C180" s="57" t="s">
        <v>14</v>
      </c>
      <c r="D180" s="61" t="s">
        <v>1918</v>
      </c>
      <c r="E180" s="11" t="s">
        <v>33</v>
      </c>
    </row>
    <row r="181">
      <c r="B181" s="61" t="s">
        <v>1919</v>
      </c>
      <c r="C181" s="57" t="s">
        <v>163</v>
      </c>
      <c r="D181" s="61" t="s">
        <v>1917</v>
      </c>
      <c r="E181" s="11" t="s">
        <v>29</v>
      </c>
    </row>
    <row r="182">
      <c r="B182" s="56" t="s">
        <v>1165</v>
      </c>
      <c r="C182" s="57" t="s">
        <v>20</v>
      </c>
      <c r="D182" s="61" t="s">
        <v>529</v>
      </c>
      <c r="E182" s="11" t="s">
        <v>33</v>
      </c>
    </row>
    <row r="183">
      <c r="B183" s="61" t="s">
        <v>1919</v>
      </c>
      <c r="C183" s="57" t="s">
        <v>21</v>
      </c>
      <c r="D183" s="61" t="s">
        <v>1918</v>
      </c>
      <c r="E183" s="11" t="s">
        <v>29</v>
      </c>
    </row>
    <row r="184">
      <c r="B184" s="56" t="s">
        <v>1165</v>
      </c>
      <c r="C184" s="57" t="s">
        <v>211</v>
      </c>
      <c r="D184" s="61" t="s">
        <v>1917</v>
      </c>
      <c r="E184" s="11" t="s">
        <v>33</v>
      </c>
    </row>
    <row r="185">
      <c r="B185" s="61" t="s">
        <v>1919</v>
      </c>
      <c r="C185" s="57" t="s">
        <v>158</v>
      </c>
      <c r="D185" s="61" t="s">
        <v>529</v>
      </c>
      <c r="E185" s="11" t="s">
        <v>29</v>
      </c>
    </row>
    <row r="186">
      <c r="B186" s="61" t="s">
        <v>1918</v>
      </c>
      <c r="C186" s="57" t="s">
        <v>576</v>
      </c>
      <c r="D186" s="61" t="s">
        <v>1917</v>
      </c>
      <c r="E186" s="11" t="s">
        <v>33</v>
      </c>
    </row>
    <row r="187">
      <c r="B187" s="61" t="s">
        <v>1919</v>
      </c>
      <c r="C187" s="57" t="s">
        <v>574</v>
      </c>
      <c r="D187" s="56" t="s">
        <v>1165</v>
      </c>
      <c r="E187" s="11" t="s">
        <v>29</v>
      </c>
    </row>
    <row r="188">
      <c r="B188" s="61" t="s">
        <v>1918</v>
      </c>
      <c r="C188" s="57" t="s">
        <v>181</v>
      </c>
      <c r="D188" s="61" t="s">
        <v>529</v>
      </c>
      <c r="E188" s="11" t="s">
        <v>33</v>
      </c>
    </row>
    <row r="189">
      <c r="B189" s="61" t="s">
        <v>529</v>
      </c>
      <c r="C189" s="57" t="s">
        <v>211</v>
      </c>
      <c r="D189" s="61" t="s">
        <v>1917</v>
      </c>
      <c r="E189" s="11" t="s">
        <v>29</v>
      </c>
    </row>
    <row r="190">
      <c r="B190" s="61" t="s">
        <v>1918</v>
      </c>
      <c r="C190" s="57" t="s">
        <v>1920</v>
      </c>
      <c r="D190" s="56" t="s">
        <v>1165</v>
      </c>
      <c r="E190" s="11" t="s">
        <v>33</v>
      </c>
    </row>
    <row r="191">
      <c r="B191" s="61" t="s">
        <v>1917</v>
      </c>
      <c r="C191" s="45" t="s">
        <v>425</v>
      </c>
      <c r="D191" s="61" t="s">
        <v>1919</v>
      </c>
      <c r="E191" s="11" t="s">
        <v>29</v>
      </c>
    </row>
    <row r="192">
      <c r="B192" s="61" t="s">
        <v>529</v>
      </c>
      <c r="C192" s="45" t="s">
        <v>16</v>
      </c>
      <c r="D192" s="56" t="s">
        <v>1165</v>
      </c>
      <c r="E192" s="11" t="s">
        <v>33</v>
      </c>
    </row>
    <row r="193">
      <c r="B193" s="61" t="s">
        <v>1918</v>
      </c>
      <c r="C193" s="45" t="s">
        <v>344</v>
      </c>
      <c r="D193" s="61" t="s">
        <v>1919</v>
      </c>
      <c r="E193" s="11" t="s">
        <v>29</v>
      </c>
    </row>
    <row r="194">
      <c r="B194" s="61" t="s">
        <v>1917</v>
      </c>
      <c r="C194" s="45" t="s">
        <v>1921</v>
      </c>
      <c r="D194" s="56" t="s">
        <v>1165</v>
      </c>
      <c r="E194" s="11" t="s">
        <v>33</v>
      </c>
    </row>
    <row r="195">
      <c r="B195" s="61" t="s">
        <v>529</v>
      </c>
      <c r="C195" s="45" t="s">
        <v>17</v>
      </c>
      <c r="D195" s="61" t="s">
        <v>1919</v>
      </c>
      <c r="E195" s="11" t="s">
        <v>29</v>
      </c>
    </row>
    <row r="196">
      <c r="B196" s="61" t="s">
        <v>1917</v>
      </c>
      <c r="C196" s="45" t="s">
        <v>14</v>
      </c>
      <c r="D196" s="61" t="s">
        <v>1918</v>
      </c>
      <c r="E196" s="11" t="s">
        <v>33</v>
      </c>
    </row>
    <row r="197">
      <c r="B197" s="56" t="s">
        <v>1165</v>
      </c>
      <c r="C197" s="45" t="s">
        <v>324</v>
      </c>
      <c r="D197" s="61" t="s">
        <v>1919</v>
      </c>
      <c r="E197" s="11" t="s">
        <v>29</v>
      </c>
    </row>
    <row r="198">
      <c r="B198" s="61" t="s">
        <v>529</v>
      </c>
      <c r="C198" s="45" t="s">
        <v>17</v>
      </c>
      <c r="D198" s="61" t="s">
        <v>1918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1405</v>
      </c>
      <c r="C201" s="45" t="s">
        <v>20</v>
      </c>
      <c r="D201" s="61" t="s">
        <v>1922</v>
      </c>
      <c r="E201" s="11" t="s">
        <v>29</v>
      </c>
    </row>
    <row r="202">
      <c r="B202" s="56" t="s">
        <v>1682</v>
      </c>
      <c r="C202" s="45" t="s">
        <v>433</v>
      </c>
      <c r="D202" s="61" t="s">
        <v>619</v>
      </c>
      <c r="E202" s="11" t="s">
        <v>33</v>
      </c>
    </row>
    <row r="203">
      <c r="B203" s="61" t="s">
        <v>1923</v>
      </c>
      <c r="C203" s="45" t="s">
        <v>209</v>
      </c>
      <c r="D203" s="61" t="s">
        <v>1405</v>
      </c>
      <c r="E203" s="11" t="s">
        <v>29</v>
      </c>
    </row>
    <row r="204">
      <c r="B204" s="56" t="s">
        <v>1682</v>
      </c>
      <c r="C204" s="45" t="s">
        <v>303</v>
      </c>
      <c r="D204" s="61" t="s">
        <v>1922</v>
      </c>
      <c r="E204" s="11" t="s">
        <v>33</v>
      </c>
    </row>
    <row r="205">
      <c r="B205" s="61" t="s">
        <v>1923</v>
      </c>
      <c r="C205" s="45" t="s">
        <v>173</v>
      </c>
      <c r="D205" s="61" t="s">
        <v>619</v>
      </c>
      <c r="E205" s="11" t="s">
        <v>29</v>
      </c>
    </row>
    <row r="206">
      <c r="B206" s="56" t="s">
        <v>1682</v>
      </c>
      <c r="C206" s="45" t="s">
        <v>16</v>
      </c>
      <c r="D206" s="61" t="s">
        <v>1405</v>
      </c>
      <c r="E206" s="11" t="s">
        <v>33</v>
      </c>
    </row>
    <row r="207">
      <c r="B207" s="61" t="s">
        <v>1923</v>
      </c>
      <c r="C207" s="45" t="s">
        <v>534</v>
      </c>
      <c r="D207" s="61" t="s">
        <v>1922</v>
      </c>
      <c r="E207" s="11" t="s">
        <v>29</v>
      </c>
    </row>
    <row r="208">
      <c r="B208" s="61" t="s">
        <v>619</v>
      </c>
      <c r="C208" s="45" t="s">
        <v>301</v>
      </c>
      <c r="D208" s="61" t="s">
        <v>1405</v>
      </c>
      <c r="E208" s="11" t="s">
        <v>33</v>
      </c>
    </row>
    <row r="209">
      <c r="B209" s="61" t="s">
        <v>1923</v>
      </c>
      <c r="C209" s="45" t="s">
        <v>210</v>
      </c>
      <c r="D209" s="56" t="s">
        <v>1682</v>
      </c>
      <c r="E209" s="11" t="s">
        <v>29</v>
      </c>
    </row>
    <row r="210">
      <c r="B210" s="61" t="s">
        <v>619</v>
      </c>
      <c r="C210" s="45" t="s">
        <v>313</v>
      </c>
      <c r="D210" s="61" t="s">
        <v>1922</v>
      </c>
      <c r="E210" s="11" t="s">
        <v>33</v>
      </c>
    </row>
    <row r="211">
      <c r="B211" s="61" t="s">
        <v>1922</v>
      </c>
      <c r="C211" s="45" t="s">
        <v>432</v>
      </c>
      <c r="D211" s="61" t="s">
        <v>1405</v>
      </c>
      <c r="E211" s="11" t="s">
        <v>29</v>
      </c>
    </row>
    <row r="212">
      <c r="B212" s="61" t="s">
        <v>619</v>
      </c>
      <c r="C212" s="45" t="s">
        <v>237</v>
      </c>
      <c r="D212" s="56" t="s">
        <v>1682</v>
      </c>
      <c r="E212" s="11" t="s">
        <v>33</v>
      </c>
    </row>
    <row r="213">
      <c r="B213" s="61" t="s">
        <v>1405</v>
      </c>
      <c r="C213" s="45" t="s">
        <v>7</v>
      </c>
      <c r="D213" s="61" t="s">
        <v>1923</v>
      </c>
      <c r="E213" s="11" t="s">
        <v>29</v>
      </c>
    </row>
    <row r="214">
      <c r="B214" s="61" t="s">
        <v>1922</v>
      </c>
      <c r="C214" s="45" t="s">
        <v>173</v>
      </c>
      <c r="D214" s="56" t="s">
        <v>1682</v>
      </c>
      <c r="E214" s="11" t="s">
        <v>33</v>
      </c>
    </row>
    <row r="215">
      <c r="B215" s="61" t="s">
        <v>619</v>
      </c>
      <c r="C215" s="45" t="s">
        <v>185</v>
      </c>
      <c r="D215" s="61" t="s">
        <v>1923</v>
      </c>
      <c r="E215" s="11" t="s">
        <v>29</v>
      </c>
    </row>
    <row r="216">
      <c r="B216" s="61" t="s">
        <v>1405</v>
      </c>
      <c r="C216" s="45" t="s">
        <v>195</v>
      </c>
      <c r="D216" s="56" t="s">
        <v>1682</v>
      </c>
      <c r="E216" s="11" t="s">
        <v>33</v>
      </c>
    </row>
    <row r="217">
      <c r="B217" s="61" t="s">
        <v>1922</v>
      </c>
      <c r="C217" s="45" t="s">
        <v>41</v>
      </c>
      <c r="D217" s="61" t="s">
        <v>1923</v>
      </c>
      <c r="E217" s="11" t="s">
        <v>29</v>
      </c>
    </row>
    <row r="218">
      <c r="B218" s="61" t="s">
        <v>1405</v>
      </c>
      <c r="C218" s="45" t="s">
        <v>181</v>
      </c>
      <c r="D218" s="61" t="s">
        <v>619</v>
      </c>
      <c r="E218" s="11" t="s">
        <v>33</v>
      </c>
    </row>
    <row r="219">
      <c r="B219" s="56" t="s">
        <v>1682</v>
      </c>
      <c r="C219" s="45" t="s">
        <v>301</v>
      </c>
      <c r="D219" s="61" t="s">
        <v>1923</v>
      </c>
      <c r="E219" s="11" t="s">
        <v>29</v>
      </c>
    </row>
    <row r="220">
      <c r="B220" s="61" t="s">
        <v>1922</v>
      </c>
      <c r="C220" s="45" t="s">
        <v>165</v>
      </c>
      <c r="D220" s="61" t="s">
        <v>619</v>
      </c>
      <c r="E220" s="11" t="s">
        <v>33</v>
      </c>
    </row>
    <row r="221">
      <c r="B221" s="52" t="s">
        <v>1803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1924</v>
      </c>
      <c r="C223" s="57" t="s">
        <v>7</v>
      </c>
      <c r="D223" s="62" t="s">
        <v>1925</v>
      </c>
      <c r="E223" s="11" t="s">
        <v>9</v>
      </c>
    </row>
    <row r="224">
      <c r="B224" s="62" t="s">
        <v>1365</v>
      </c>
      <c r="C224" s="57" t="s">
        <v>1197</v>
      </c>
      <c r="D224" s="62" t="s">
        <v>1871</v>
      </c>
      <c r="E224" s="11" t="s">
        <v>13</v>
      </c>
    </row>
    <row r="225">
      <c r="B225" s="62" t="s">
        <v>1926</v>
      </c>
      <c r="C225" s="57" t="s">
        <v>281</v>
      </c>
      <c r="D225" s="62" t="s">
        <v>1924</v>
      </c>
      <c r="E225" s="11" t="s">
        <v>9</v>
      </c>
    </row>
    <row r="226">
      <c r="B226" s="62" t="s">
        <v>1365</v>
      </c>
      <c r="C226" s="57" t="s">
        <v>158</v>
      </c>
      <c r="D226" s="62" t="s">
        <v>1925</v>
      </c>
      <c r="E226" s="11" t="s">
        <v>13</v>
      </c>
    </row>
    <row r="227">
      <c r="B227" s="62" t="s">
        <v>1926</v>
      </c>
      <c r="C227" s="57" t="s">
        <v>162</v>
      </c>
      <c r="D227" s="62" t="s">
        <v>1871</v>
      </c>
      <c r="E227" s="11" t="s">
        <v>9</v>
      </c>
    </row>
    <row r="228">
      <c r="B228" s="62" t="s">
        <v>1365</v>
      </c>
      <c r="C228" s="57" t="s">
        <v>41</v>
      </c>
      <c r="D228" s="62" t="s">
        <v>1924</v>
      </c>
      <c r="E228" s="11" t="s">
        <v>13</v>
      </c>
    </row>
    <row r="229">
      <c r="B229" s="62" t="s">
        <v>1926</v>
      </c>
      <c r="C229" s="57" t="s">
        <v>39</v>
      </c>
      <c r="D229" s="62" t="s">
        <v>1925</v>
      </c>
      <c r="E229" s="11" t="s">
        <v>9</v>
      </c>
    </row>
    <row r="230">
      <c r="B230" s="62" t="s">
        <v>1871</v>
      </c>
      <c r="C230" s="57" t="s">
        <v>366</v>
      </c>
      <c r="D230" s="62" t="s">
        <v>1924</v>
      </c>
      <c r="E230" s="11" t="s">
        <v>13</v>
      </c>
    </row>
    <row r="231">
      <c r="B231" s="62" t="s">
        <v>1926</v>
      </c>
      <c r="C231" s="57" t="s">
        <v>394</v>
      </c>
      <c r="D231" s="62" t="s">
        <v>1365</v>
      </c>
      <c r="E231" s="11" t="s">
        <v>9</v>
      </c>
    </row>
    <row r="232">
      <c r="B232" s="62" t="s">
        <v>1871</v>
      </c>
      <c r="C232" s="57" t="s">
        <v>17</v>
      </c>
      <c r="D232" s="62" t="s">
        <v>1925</v>
      </c>
      <c r="E232" s="11" t="s">
        <v>13</v>
      </c>
    </row>
    <row r="233">
      <c r="B233" s="62" t="s">
        <v>1925</v>
      </c>
      <c r="C233" s="57" t="s">
        <v>344</v>
      </c>
      <c r="D233" s="62" t="s">
        <v>1924</v>
      </c>
      <c r="E233" s="11" t="s">
        <v>9</v>
      </c>
    </row>
    <row r="234">
      <c r="B234" s="62" t="s">
        <v>1871</v>
      </c>
      <c r="C234" s="57" t="s">
        <v>194</v>
      </c>
      <c r="D234" s="62" t="s">
        <v>1365</v>
      </c>
      <c r="E234" s="11" t="s">
        <v>13</v>
      </c>
    </row>
    <row r="235">
      <c r="B235" s="62" t="s">
        <v>1924</v>
      </c>
      <c r="C235" s="45" t="s">
        <v>227</v>
      </c>
      <c r="D235" s="62" t="s">
        <v>1926</v>
      </c>
      <c r="E235" s="11" t="s">
        <v>9</v>
      </c>
    </row>
    <row r="236">
      <c r="B236" s="62" t="s">
        <v>1925</v>
      </c>
      <c r="C236" s="45" t="s">
        <v>302</v>
      </c>
      <c r="D236" s="62" t="s">
        <v>1365</v>
      </c>
      <c r="E236" s="11" t="s">
        <v>13</v>
      </c>
    </row>
    <row r="237">
      <c r="B237" s="62" t="s">
        <v>1871</v>
      </c>
      <c r="C237" s="45" t="s">
        <v>248</v>
      </c>
      <c r="D237" s="62" t="s">
        <v>1926</v>
      </c>
      <c r="E237" s="11" t="s">
        <v>9</v>
      </c>
    </row>
    <row r="238">
      <c r="B238" s="62" t="s">
        <v>1924</v>
      </c>
      <c r="C238" s="45" t="s">
        <v>1927</v>
      </c>
      <c r="D238" s="62" t="s">
        <v>1365</v>
      </c>
      <c r="E238" s="11" t="s">
        <v>13</v>
      </c>
    </row>
    <row r="239">
      <c r="B239" s="62" t="s">
        <v>1925</v>
      </c>
      <c r="C239" s="45" t="s">
        <v>302</v>
      </c>
      <c r="D239" s="62" t="s">
        <v>1926</v>
      </c>
      <c r="E239" s="11" t="s">
        <v>9</v>
      </c>
    </row>
    <row r="240">
      <c r="B240" s="62" t="s">
        <v>1924</v>
      </c>
      <c r="C240" s="45" t="s">
        <v>1120</v>
      </c>
      <c r="D240" s="62" t="s">
        <v>1871</v>
      </c>
      <c r="E240" s="11" t="s">
        <v>13</v>
      </c>
    </row>
    <row r="241">
      <c r="B241" s="62" t="s">
        <v>1365</v>
      </c>
      <c r="C241" s="45" t="s">
        <v>271</v>
      </c>
      <c r="D241" s="62" t="s">
        <v>1926</v>
      </c>
      <c r="E241" s="11" t="s">
        <v>9</v>
      </c>
    </row>
    <row r="242">
      <c r="B242" s="62" t="s">
        <v>1925</v>
      </c>
      <c r="C242" s="45" t="s">
        <v>193</v>
      </c>
      <c r="D242" s="62" t="s">
        <v>1871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1873</v>
      </c>
      <c r="C245" s="45" t="s">
        <v>38</v>
      </c>
      <c r="D245" s="62" t="s">
        <v>1928</v>
      </c>
      <c r="E245" s="11" t="s">
        <v>9</v>
      </c>
    </row>
    <row r="246">
      <c r="B246" s="62" t="s">
        <v>1929</v>
      </c>
      <c r="C246" s="45" t="s">
        <v>245</v>
      </c>
      <c r="D246" s="62" t="s">
        <v>1930</v>
      </c>
      <c r="E246" s="11" t="s">
        <v>13</v>
      </c>
    </row>
    <row r="247">
      <c r="B247" s="62" t="s">
        <v>1931</v>
      </c>
      <c r="C247" s="45" t="s">
        <v>354</v>
      </c>
      <c r="D247" s="62" t="s">
        <v>1873</v>
      </c>
      <c r="E247" s="11" t="s">
        <v>9</v>
      </c>
    </row>
    <row r="248">
      <c r="B248" s="62" t="s">
        <v>1929</v>
      </c>
      <c r="C248" s="45" t="s">
        <v>14</v>
      </c>
      <c r="D248" s="62" t="s">
        <v>1928</v>
      </c>
      <c r="E248" s="11" t="s">
        <v>13</v>
      </c>
    </row>
    <row r="249">
      <c r="B249" s="62" t="s">
        <v>1931</v>
      </c>
      <c r="C249" s="45" t="s">
        <v>177</v>
      </c>
      <c r="D249" s="62" t="s">
        <v>1930</v>
      </c>
      <c r="E249" s="11" t="s">
        <v>9</v>
      </c>
    </row>
    <row r="250">
      <c r="B250" s="62" t="s">
        <v>1929</v>
      </c>
      <c r="C250" s="45" t="s">
        <v>20</v>
      </c>
      <c r="D250" s="62" t="s">
        <v>1873</v>
      </c>
      <c r="E250" s="11" t="s">
        <v>13</v>
      </c>
    </row>
    <row r="251">
      <c r="B251" s="62" t="s">
        <v>1931</v>
      </c>
      <c r="C251" s="45" t="s">
        <v>222</v>
      </c>
      <c r="D251" s="62" t="s">
        <v>1928</v>
      </c>
      <c r="E251" s="11" t="s">
        <v>9</v>
      </c>
    </row>
    <row r="252">
      <c r="B252" s="62" t="s">
        <v>1930</v>
      </c>
      <c r="C252" s="45" t="s">
        <v>750</v>
      </c>
      <c r="D252" s="62" t="s">
        <v>1873</v>
      </c>
      <c r="E252" s="11" t="s">
        <v>13</v>
      </c>
    </row>
    <row r="253">
      <c r="B253" s="62" t="s">
        <v>1931</v>
      </c>
      <c r="C253" s="45" t="s">
        <v>16</v>
      </c>
      <c r="D253" s="62" t="s">
        <v>1929</v>
      </c>
      <c r="E253" s="11" t="s">
        <v>9</v>
      </c>
    </row>
    <row r="254">
      <c r="B254" s="62" t="s">
        <v>1930</v>
      </c>
      <c r="C254" s="45" t="s">
        <v>248</v>
      </c>
      <c r="D254" s="62" t="s">
        <v>1928</v>
      </c>
      <c r="E254" s="11" t="s">
        <v>13</v>
      </c>
    </row>
    <row r="255">
      <c r="B255" s="62" t="s">
        <v>1928</v>
      </c>
      <c r="C255" s="45" t="s">
        <v>19</v>
      </c>
      <c r="D255" s="62" t="s">
        <v>1873</v>
      </c>
      <c r="E255" s="11" t="s">
        <v>9</v>
      </c>
    </row>
    <row r="256">
      <c r="B256" s="62" t="s">
        <v>1930</v>
      </c>
      <c r="C256" s="45" t="s">
        <v>354</v>
      </c>
      <c r="D256" s="62" t="s">
        <v>1929</v>
      </c>
      <c r="E256" s="11" t="s">
        <v>13</v>
      </c>
    </row>
    <row r="257">
      <c r="B257" s="62" t="s">
        <v>1873</v>
      </c>
      <c r="C257" s="45" t="s">
        <v>41</v>
      </c>
      <c r="D257" s="62" t="s">
        <v>1931</v>
      </c>
      <c r="E257" s="11" t="s">
        <v>9</v>
      </c>
    </row>
    <row r="258">
      <c r="B258" s="62" t="s">
        <v>1928</v>
      </c>
      <c r="C258" s="45" t="s">
        <v>16</v>
      </c>
      <c r="D258" s="62" t="s">
        <v>1929</v>
      </c>
      <c r="E258" s="11" t="s">
        <v>13</v>
      </c>
    </row>
    <row r="259">
      <c r="B259" s="62" t="s">
        <v>1930</v>
      </c>
      <c r="C259" s="45" t="s">
        <v>17</v>
      </c>
      <c r="D259" s="62" t="s">
        <v>1931</v>
      </c>
      <c r="E259" s="11" t="s">
        <v>9</v>
      </c>
    </row>
    <row r="260">
      <c r="B260" s="62" t="s">
        <v>1873</v>
      </c>
      <c r="C260" s="45" t="s">
        <v>24</v>
      </c>
      <c r="D260" s="62" t="s">
        <v>1929</v>
      </c>
      <c r="E260" s="11" t="s">
        <v>13</v>
      </c>
    </row>
    <row r="261">
      <c r="B261" s="62" t="s">
        <v>1928</v>
      </c>
      <c r="C261" s="45" t="s">
        <v>279</v>
      </c>
      <c r="D261" s="62" t="s">
        <v>1931</v>
      </c>
      <c r="E261" s="11" t="s">
        <v>9</v>
      </c>
    </row>
    <row r="262">
      <c r="B262" s="62" t="s">
        <v>1873</v>
      </c>
      <c r="C262" s="45" t="s">
        <v>743</v>
      </c>
      <c r="D262" s="62" t="s">
        <v>1930</v>
      </c>
      <c r="E262" s="11" t="s">
        <v>13</v>
      </c>
    </row>
    <row r="263">
      <c r="B263" s="62" t="s">
        <v>1929</v>
      </c>
      <c r="C263" s="45" t="s">
        <v>187</v>
      </c>
      <c r="D263" s="62" t="s">
        <v>1931</v>
      </c>
      <c r="E263" s="11" t="s">
        <v>9</v>
      </c>
    </row>
    <row r="264">
      <c r="B264" s="62" t="s">
        <v>1928</v>
      </c>
      <c r="C264" s="45" t="s">
        <v>208</v>
      </c>
      <c r="D264" s="62" t="s">
        <v>1930</v>
      </c>
      <c r="E264" s="11" t="s">
        <v>13</v>
      </c>
    </row>
    <row r="265">
      <c r="B265" s="52" t="s">
        <v>100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1932</v>
      </c>
      <c r="C267" s="57" t="s">
        <v>1226</v>
      </c>
      <c r="D267" s="62" t="s">
        <v>964</v>
      </c>
      <c r="E267" s="11" t="s">
        <v>29</v>
      </c>
    </row>
    <row r="268">
      <c r="B268" s="56" t="s">
        <v>1040</v>
      </c>
      <c r="C268" s="57" t="s">
        <v>216</v>
      </c>
      <c r="D268" s="62" t="s">
        <v>1933</v>
      </c>
      <c r="E268" s="11" t="s">
        <v>33</v>
      </c>
    </row>
    <row r="269">
      <c r="B269" s="62" t="s">
        <v>1934</v>
      </c>
      <c r="C269" s="57" t="s">
        <v>344</v>
      </c>
      <c r="D269" s="62" t="s">
        <v>1932</v>
      </c>
      <c r="E269" s="11" t="s">
        <v>29</v>
      </c>
    </row>
    <row r="270">
      <c r="B270" s="56" t="s">
        <v>1040</v>
      </c>
      <c r="C270" s="57" t="s">
        <v>426</v>
      </c>
      <c r="D270" s="62" t="s">
        <v>964</v>
      </c>
      <c r="E270" s="11" t="s">
        <v>33</v>
      </c>
    </row>
    <row r="271">
      <c r="B271" s="62" t="s">
        <v>1934</v>
      </c>
      <c r="C271" s="57" t="s">
        <v>36</v>
      </c>
      <c r="D271" s="62" t="s">
        <v>1933</v>
      </c>
      <c r="E271" s="11" t="s">
        <v>29</v>
      </c>
    </row>
    <row r="272">
      <c r="B272" s="56" t="s">
        <v>1040</v>
      </c>
      <c r="C272" s="57" t="s">
        <v>209</v>
      </c>
      <c r="D272" s="62" t="s">
        <v>1932</v>
      </c>
      <c r="E272" s="11" t="s">
        <v>33</v>
      </c>
    </row>
    <row r="273">
      <c r="B273" s="62" t="s">
        <v>1934</v>
      </c>
      <c r="C273" s="57" t="s">
        <v>181</v>
      </c>
      <c r="D273" s="62" t="s">
        <v>964</v>
      </c>
      <c r="E273" s="11" t="s">
        <v>29</v>
      </c>
    </row>
    <row r="274">
      <c r="B274" s="62" t="s">
        <v>1933</v>
      </c>
      <c r="C274" s="57" t="s">
        <v>534</v>
      </c>
      <c r="D274" s="62" t="s">
        <v>1932</v>
      </c>
      <c r="E274" s="11" t="s">
        <v>33</v>
      </c>
    </row>
    <row r="275">
      <c r="B275" s="62" t="s">
        <v>1934</v>
      </c>
      <c r="C275" s="57" t="s">
        <v>158</v>
      </c>
      <c r="D275" s="56" t="s">
        <v>1040</v>
      </c>
      <c r="E275" s="11" t="s">
        <v>29</v>
      </c>
    </row>
    <row r="276">
      <c r="B276" s="62" t="s">
        <v>1933</v>
      </c>
      <c r="C276" s="57" t="s">
        <v>290</v>
      </c>
      <c r="D276" s="62" t="s">
        <v>964</v>
      </c>
      <c r="E276" s="11" t="s">
        <v>33</v>
      </c>
    </row>
    <row r="277">
      <c r="B277" s="62" t="s">
        <v>964</v>
      </c>
      <c r="C277" s="57" t="s">
        <v>302</v>
      </c>
      <c r="D277" s="62" t="s">
        <v>1932</v>
      </c>
      <c r="E277" s="11" t="s">
        <v>29</v>
      </c>
    </row>
    <row r="278">
      <c r="B278" s="62" t="s">
        <v>1933</v>
      </c>
      <c r="C278" s="57" t="s">
        <v>225</v>
      </c>
      <c r="D278" s="56" t="s">
        <v>1040</v>
      </c>
      <c r="E278" s="11" t="s">
        <v>33</v>
      </c>
    </row>
    <row r="279">
      <c r="B279" s="62" t="s">
        <v>1932</v>
      </c>
      <c r="C279" s="45" t="s">
        <v>162</v>
      </c>
      <c r="D279" s="62" t="s">
        <v>1934</v>
      </c>
      <c r="E279" s="11" t="s">
        <v>29</v>
      </c>
    </row>
    <row r="280">
      <c r="B280" s="62" t="s">
        <v>964</v>
      </c>
      <c r="C280" s="45" t="s">
        <v>34</v>
      </c>
      <c r="D280" s="56" t="s">
        <v>1040</v>
      </c>
      <c r="E280" s="11" t="s">
        <v>33</v>
      </c>
    </row>
    <row r="281">
      <c r="B281" s="62" t="s">
        <v>1933</v>
      </c>
      <c r="C281" s="45" t="s">
        <v>43</v>
      </c>
      <c r="D281" s="62" t="s">
        <v>1934</v>
      </c>
      <c r="E281" s="11" t="s">
        <v>29</v>
      </c>
    </row>
    <row r="282">
      <c r="B282" s="62" t="s">
        <v>1932</v>
      </c>
      <c r="C282" s="45" t="s">
        <v>20</v>
      </c>
      <c r="D282" s="56" t="s">
        <v>1040</v>
      </c>
      <c r="E282" s="11" t="s">
        <v>33</v>
      </c>
    </row>
    <row r="283">
      <c r="B283" s="62" t="s">
        <v>964</v>
      </c>
      <c r="C283" s="45" t="s">
        <v>194</v>
      </c>
      <c r="D283" s="62" t="s">
        <v>1934</v>
      </c>
      <c r="E283" s="11" t="s">
        <v>29</v>
      </c>
    </row>
    <row r="284">
      <c r="B284" s="62" t="s">
        <v>1932</v>
      </c>
      <c r="C284" s="45" t="s">
        <v>208</v>
      </c>
      <c r="D284" s="62" t="s">
        <v>1933</v>
      </c>
      <c r="E284" s="11" t="s">
        <v>33</v>
      </c>
    </row>
    <row r="285">
      <c r="B285" s="56" t="s">
        <v>1040</v>
      </c>
      <c r="C285" s="45" t="s">
        <v>161</v>
      </c>
      <c r="D285" s="62" t="s">
        <v>1934</v>
      </c>
      <c r="E285" s="11" t="s">
        <v>29</v>
      </c>
      <c r="G285" s="50"/>
    </row>
    <row r="286">
      <c r="B286" s="62" t="s">
        <v>964</v>
      </c>
      <c r="C286" s="45" t="s">
        <v>286</v>
      </c>
      <c r="D286" s="62" t="s">
        <v>1933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1935</v>
      </c>
      <c r="C289" s="57" t="s">
        <v>21</v>
      </c>
      <c r="D289" s="62" t="s">
        <v>1936</v>
      </c>
      <c r="E289" s="11" t="s">
        <v>29</v>
      </c>
    </row>
    <row r="290">
      <c r="B290" s="56" t="s">
        <v>690</v>
      </c>
      <c r="C290" s="57" t="s">
        <v>251</v>
      </c>
      <c r="D290" s="62" t="s">
        <v>1937</v>
      </c>
      <c r="E290" s="11" t="s">
        <v>33</v>
      </c>
    </row>
    <row r="291">
      <c r="B291" s="62" t="s">
        <v>1938</v>
      </c>
      <c r="C291" s="57" t="s">
        <v>517</v>
      </c>
      <c r="D291" s="62" t="s">
        <v>1935</v>
      </c>
      <c r="E291" s="11" t="s">
        <v>29</v>
      </c>
    </row>
    <row r="292">
      <c r="B292" s="56" t="s">
        <v>690</v>
      </c>
      <c r="C292" s="57" t="s">
        <v>196</v>
      </c>
      <c r="D292" s="62" t="s">
        <v>1936</v>
      </c>
      <c r="E292" s="11" t="s">
        <v>33</v>
      </c>
    </row>
    <row r="293">
      <c r="B293" s="62" t="s">
        <v>1938</v>
      </c>
      <c r="C293" s="57" t="s">
        <v>229</v>
      </c>
      <c r="D293" s="62" t="s">
        <v>1937</v>
      </c>
      <c r="E293" s="11" t="s">
        <v>29</v>
      </c>
    </row>
    <row r="294">
      <c r="B294" s="56" t="s">
        <v>690</v>
      </c>
      <c r="C294" s="57" t="s">
        <v>352</v>
      </c>
      <c r="D294" s="62" t="s">
        <v>1935</v>
      </c>
      <c r="E294" s="11" t="s">
        <v>33</v>
      </c>
    </row>
    <row r="295">
      <c r="B295" s="62" t="s">
        <v>1938</v>
      </c>
      <c r="C295" s="57" t="s">
        <v>525</v>
      </c>
      <c r="D295" s="62" t="s">
        <v>1936</v>
      </c>
      <c r="E295" s="11" t="s">
        <v>29</v>
      </c>
    </row>
    <row r="296">
      <c r="B296" s="62" t="s">
        <v>1937</v>
      </c>
      <c r="C296" s="57" t="s">
        <v>1255</v>
      </c>
      <c r="D296" s="62" t="s">
        <v>1935</v>
      </c>
      <c r="E296" s="11" t="s">
        <v>33</v>
      </c>
    </row>
    <row r="297">
      <c r="B297" s="62" t="s">
        <v>1938</v>
      </c>
      <c r="C297" s="57" t="s">
        <v>301</v>
      </c>
      <c r="D297" s="56" t="s">
        <v>690</v>
      </c>
      <c r="E297" s="11" t="s">
        <v>29</v>
      </c>
    </row>
    <row r="298">
      <c r="B298" s="62" t="s">
        <v>1937</v>
      </c>
      <c r="C298" s="57" t="s">
        <v>225</v>
      </c>
      <c r="D298" s="62" t="s">
        <v>1936</v>
      </c>
      <c r="E298" s="11" t="s">
        <v>33</v>
      </c>
    </row>
    <row r="299">
      <c r="B299" s="62" t="s">
        <v>1936</v>
      </c>
      <c r="C299" s="57" t="s">
        <v>1255</v>
      </c>
      <c r="D299" s="62" t="s">
        <v>1935</v>
      </c>
      <c r="E299" s="11" t="s">
        <v>29</v>
      </c>
    </row>
    <row r="300">
      <c r="B300" s="62" t="s">
        <v>1937</v>
      </c>
      <c r="C300" s="57" t="s">
        <v>155</v>
      </c>
      <c r="D300" s="56" t="s">
        <v>690</v>
      </c>
      <c r="E300" s="11" t="s">
        <v>33</v>
      </c>
    </row>
    <row r="301">
      <c r="B301" s="62" t="s">
        <v>1935</v>
      </c>
      <c r="C301" s="45" t="s">
        <v>342</v>
      </c>
      <c r="D301" s="62" t="s">
        <v>1938</v>
      </c>
      <c r="E301" s="11" t="s">
        <v>29</v>
      </c>
    </row>
    <row r="302">
      <c r="B302" s="62" t="s">
        <v>1936</v>
      </c>
      <c r="C302" s="45" t="s">
        <v>1939</v>
      </c>
      <c r="D302" s="56" t="s">
        <v>690</v>
      </c>
      <c r="E302" s="11" t="s">
        <v>33</v>
      </c>
    </row>
    <row r="303">
      <c r="B303" s="62" t="s">
        <v>1937</v>
      </c>
      <c r="C303" s="45" t="s">
        <v>290</v>
      </c>
      <c r="D303" s="62" t="s">
        <v>1938</v>
      </c>
      <c r="E303" s="11" t="s">
        <v>29</v>
      </c>
    </row>
    <row r="304">
      <c r="B304" s="62" t="s">
        <v>1935</v>
      </c>
      <c r="C304" s="45" t="s">
        <v>41</v>
      </c>
      <c r="D304" s="56" t="s">
        <v>690</v>
      </c>
      <c r="E304" s="11" t="s">
        <v>33</v>
      </c>
    </row>
    <row r="305">
      <c r="B305" s="62" t="s">
        <v>1936</v>
      </c>
      <c r="C305" s="45" t="s">
        <v>208</v>
      </c>
      <c r="D305" s="62" t="s">
        <v>1938</v>
      </c>
      <c r="E305" s="11" t="s">
        <v>29</v>
      </c>
      <c r="J305" s="75"/>
    </row>
    <row r="306">
      <c r="B306" s="62" t="s">
        <v>1935</v>
      </c>
      <c r="C306" s="45" t="s">
        <v>177</v>
      </c>
      <c r="D306" s="62" t="s">
        <v>1937</v>
      </c>
      <c r="E306" s="11" t="s">
        <v>33</v>
      </c>
      <c r="H306" s="50"/>
    </row>
    <row r="307">
      <c r="B307" s="56" t="s">
        <v>690</v>
      </c>
      <c r="C307" s="45" t="s">
        <v>271</v>
      </c>
      <c r="D307" s="62" t="s">
        <v>1938</v>
      </c>
      <c r="E307" s="11" t="s">
        <v>29</v>
      </c>
    </row>
    <row r="308">
      <c r="B308" s="62" t="s">
        <v>1936</v>
      </c>
      <c r="C308" s="45" t="s">
        <v>185</v>
      </c>
      <c r="D308" s="62" t="s">
        <v>1937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1940</v>
      </c>
      <c r="C311" s="57" t="s">
        <v>856</v>
      </c>
      <c r="D311" s="62" t="s">
        <v>347</v>
      </c>
      <c r="E311" s="11" t="s">
        <v>9</v>
      </c>
    </row>
    <row r="312">
      <c r="B312" s="62" t="s">
        <v>1456</v>
      </c>
      <c r="C312" s="57" t="s">
        <v>324</v>
      </c>
      <c r="D312" s="62" t="s">
        <v>1941</v>
      </c>
      <c r="E312" s="11" t="s">
        <v>13</v>
      </c>
    </row>
    <row r="313">
      <c r="B313" s="62" t="s">
        <v>1942</v>
      </c>
      <c r="C313" s="57" t="s">
        <v>344</v>
      </c>
      <c r="D313" s="62" t="s">
        <v>1940</v>
      </c>
      <c r="E313" s="11" t="s">
        <v>9</v>
      </c>
    </row>
    <row r="314">
      <c r="B314" s="62" t="s">
        <v>1456</v>
      </c>
      <c r="C314" s="57" t="s">
        <v>245</v>
      </c>
      <c r="D314" s="62" t="s">
        <v>347</v>
      </c>
      <c r="E314" s="11" t="s">
        <v>13</v>
      </c>
    </row>
    <row r="315">
      <c r="B315" s="62" t="s">
        <v>1942</v>
      </c>
      <c r="C315" s="57" t="s">
        <v>210</v>
      </c>
      <c r="D315" s="62" t="s">
        <v>1941</v>
      </c>
      <c r="E315" s="11" t="s">
        <v>9</v>
      </c>
    </row>
    <row r="316">
      <c r="B316" s="62" t="s">
        <v>1456</v>
      </c>
      <c r="C316" s="57" t="s">
        <v>554</v>
      </c>
      <c r="D316" s="62" t="s">
        <v>1940</v>
      </c>
      <c r="E316" s="11" t="s">
        <v>13</v>
      </c>
    </row>
    <row r="317">
      <c r="B317" s="62" t="s">
        <v>1942</v>
      </c>
      <c r="C317" s="57" t="s">
        <v>251</v>
      </c>
      <c r="D317" s="62" t="s">
        <v>347</v>
      </c>
      <c r="E317" s="11" t="s">
        <v>9</v>
      </c>
    </row>
    <row r="318">
      <c r="B318" s="62" t="s">
        <v>1941</v>
      </c>
      <c r="C318" s="57" t="s">
        <v>576</v>
      </c>
      <c r="D318" s="62" t="s">
        <v>1940</v>
      </c>
      <c r="E318" s="11" t="s">
        <v>13</v>
      </c>
    </row>
    <row r="319">
      <c r="B319" s="62" t="s">
        <v>1942</v>
      </c>
      <c r="C319" s="57" t="s">
        <v>248</v>
      </c>
      <c r="D319" s="62" t="s">
        <v>1456</v>
      </c>
      <c r="E319" s="11" t="s">
        <v>9</v>
      </c>
    </row>
    <row r="320">
      <c r="B320" s="62" t="s">
        <v>1941</v>
      </c>
      <c r="C320" s="57" t="s">
        <v>158</v>
      </c>
      <c r="D320" s="62" t="s">
        <v>347</v>
      </c>
      <c r="E320" s="11" t="s">
        <v>13</v>
      </c>
    </row>
    <row r="321">
      <c r="B321" s="62" t="s">
        <v>347</v>
      </c>
      <c r="C321" s="57" t="s">
        <v>301</v>
      </c>
      <c r="D321" s="62" t="s">
        <v>1940</v>
      </c>
      <c r="E321" s="11" t="s">
        <v>9</v>
      </c>
    </row>
    <row r="322">
      <c r="B322" s="62" t="s">
        <v>1941</v>
      </c>
      <c r="C322" s="57" t="s">
        <v>525</v>
      </c>
      <c r="D322" s="62" t="s">
        <v>1456</v>
      </c>
      <c r="E322" s="11" t="s">
        <v>13</v>
      </c>
    </row>
    <row r="323">
      <c r="B323" s="62" t="s">
        <v>1940</v>
      </c>
      <c r="C323" s="45" t="s">
        <v>196</v>
      </c>
      <c r="D323" s="62" t="s">
        <v>1942</v>
      </c>
      <c r="E323" s="11" t="s">
        <v>9</v>
      </c>
    </row>
    <row r="324">
      <c r="B324" s="62" t="s">
        <v>347</v>
      </c>
      <c r="C324" s="45" t="s">
        <v>290</v>
      </c>
      <c r="D324" s="62" t="s">
        <v>1456</v>
      </c>
      <c r="E324" s="11" t="s">
        <v>13</v>
      </c>
    </row>
    <row r="325">
      <c r="B325" s="62" t="s">
        <v>1941</v>
      </c>
      <c r="C325" s="45" t="s">
        <v>24</v>
      </c>
      <c r="D325" s="62" t="s">
        <v>1942</v>
      </c>
      <c r="E325" s="11" t="s">
        <v>9</v>
      </c>
    </row>
    <row r="326">
      <c r="B326" s="62" t="s">
        <v>1940</v>
      </c>
      <c r="C326" s="45" t="s">
        <v>302</v>
      </c>
      <c r="D326" s="62" t="s">
        <v>1456</v>
      </c>
      <c r="E326" s="11" t="s">
        <v>13</v>
      </c>
    </row>
    <row r="327">
      <c r="B327" s="62" t="s">
        <v>347</v>
      </c>
      <c r="C327" s="45" t="s">
        <v>20</v>
      </c>
      <c r="D327" s="62" t="s">
        <v>1942</v>
      </c>
      <c r="E327" s="11" t="s">
        <v>9</v>
      </c>
    </row>
    <row r="328">
      <c r="B328" s="62" t="s">
        <v>1940</v>
      </c>
      <c r="C328" s="45" t="s">
        <v>44</v>
      </c>
      <c r="D328" s="62" t="s">
        <v>1941</v>
      </c>
      <c r="E328" s="11" t="s">
        <v>13</v>
      </c>
    </row>
    <row r="329">
      <c r="B329" s="62" t="s">
        <v>1456</v>
      </c>
      <c r="C329" s="45" t="s">
        <v>181</v>
      </c>
      <c r="D329" s="62" t="s">
        <v>1942</v>
      </c>
      <c r="E329" s="11" t="s">
        <v>9</v>
      </c>
    </row>
    <row r="330">
      <c r="B330" s="62" t="s">
        <v>347</v>
      </c>
      <c r="C330" s="45" t="s">
        <v>21</v>
      </c>
      <c r="D330" s="62" t="s">
        <v>1941</v>
      </c>
      <c r="E330" s="11" t="s">
        <v>13</v>
      </c>
    </row>
    <row r="331">
      <c r="B331" s="52" t="s">
        <v>122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1943</v>
      </c>
      <c r="C333" s="95" t="s">
        <v>43</v>
      </c>
      <c r="D333" s="62" t="s">
        <v>1944</v>
      </c>
      <c r="E333" s="11" t="s">
        <v>29</v>
      </c>
    </row>
    <row r="334">
      <c r="B334" s="62" t="s">
        <v>1945</v>
      </c>
      <c r="C334" s="95" t="s">
        <v>290</v>
      </c>
      <c r="D334" s="62" t="s">
        <v>1946</v>
      </c>
      <c r="E334" s="11" t="s">
        <v>33</v>
      </c>
    </row>
    <row r="335">
      <c r="B335" s="62" t="s">
        <v>468</v>
      </c>
      <c r="C335" s="95" t="s">
        <v>31</v>
      </c>
      <c r="D335" s="62" t="s">
        <v>1943</v>
      </c>
      <c r="E335" s="11" t="s">
        <v>29</v>
      </c>
    </row>
    <row r="336">
      <c r="B336" s="62" t="s">
        <v>1945</v>
      </c>
      <c r="C336" s="95" t="s">
        <v>1947</v>
      </c>
      <c r="D336" s="62" t="s">
        <v>1944</v>
      </c>
      <c r="E336" s="11" t="s">
        <v>33</v>
      </c>
    </row>
    <row r="337">
      <c r="B337" s="62" t="s">
        <v>468</v>
      </c>
      <c r="C337" s="95" t="s">
        <v>209</v>
      </c>
      <c r="D337" s="62" t="s">
        <v>1946</v>
      </c>
      <c r="E337" s="11" t="s">
        <v>29</v>
      </c>
    </row>
    <row r="338">
      <c r="B338" s="62" t="s">
        <v>1945</v>
      </c>
      <c r="C338" s="95" t="s">
        <v>662</v>
      </c>
      <c r="D338" s="62" t="s">
        <v>1943</v>
      </c>
      <c r="E338" s="11" t="s">
        <v>33</v>
      </c>
    </row>
    <row r="339">
      <c r="B339" s="62" t="s">
        <v>468</v>
      </c>
      <c r="C339" s="95" t="s">
        <v>41</v>
      </c>
      <c r="D339" s="62" t="s">
        <v>1944</v>
      </c>
      <c r="E339" s="11" t="s">
        <v>29</v>
      </c>
    </row>
    <row r="340">
      <c r="B340" s="62" t="s">
        <v>1946</v>
      </c>
      <c r="C340" s="95" t="s">
        <v>185</v>
      </c>
      <c r="D340" s="62" t="s">
        <v>1943</v>
      </c>
      <c r="E340" s="11" t="s">
        <v>33</v>
      </c>
    </row>
    <row r="341">
      <c r="B341" s="62" t="s">
        <v>468</v>
      </c>
      <c r="C341" s="95" t="s">
        <v>173</v>
      </c>
      <c r="D341" s="62" t="s">
        <v>1945</v>
      </c>
      <c r="E341" s="11" t="s">
        <v>29</v>
      </c>
    </row>
    <row r="342">
      <c r="B342" s="62" t="s">
        <v>1946</v>
      </c>
      <c r="C342" s="95" t="s">
        <v>162</v>
      </c>
      <c r="D342" s="62" t="s">
        <v>1944</v>
      </c>
      <c r="E342" s="11" t="s">
        <v>33</v>
      </c>
    </row>
    <row r="343">
      <c r="B343" s="62" t="s">
        <v>1944</v>
      </c>
      <c r="C343" s="95" t="s">
        <v>23</v>
      </c>
      <c r="D343" s="62" t="s">
        <v>1943</v>
      </c>
      <c r="E343" s="11" t="s">
        <v>29</v>
      </c>
    </row>
    <row r="344">
      <c r="B344" s="62" t="s">
        <v>1946</v>
      </c>
      <c r="C344" s="95" t="s">
        <v>37</v>
      </c>
      <c r="D344" s="62" t="s">
        <v>1945</v>
      </c>
      <c r="E344" s="11" t="s">
        <v>33</v>
      </c>
    </row>
    <row r="345">
      <c r="B345" s="62" t="s">
        <v>1943</v>
      </c>
      <c r="C345" s="95" t="s">
        <v>195</v>
      </c>
      <c r="D345" s="62" t="s">
        <v>468</v>
      </c>
      <c r="E345" s="11" t="s">
        <v>29</v>
      </c>
    </row>
    <row r="346">
      <c r="B346" s="62" t="s">
        <v>1944</v>
      </c>
      <c r="C346" s="95" t="s">
        <v>163</v>
      </c>
      <c r="D346" s="62" t="s">
        <v>1945</v>
      </c>
      <c r="E346" s="11" t="s">
        <v>33</v>
      </c>
    </row>
    <row r="347">
      <c r="B347" s="62" t="s">
        <v>1946</v>
      </c>
      <c r="C347" s="95" t="s">
        <v>208</v>
      </c>
      <c r="D347" s="62" t="s">
        <v>468</v>
      </c>
      <c r="E347" s="11" t="s">
        <v>29</v>
      </c>
    </row>
    <row r="348">
      <c r="B348" s="62" t="s">
        <v>1943</v>
      </c>
      <c r="C348" s="95" t="s">
        <v>1948</v>
      </c>
      <c r="D348" s="62" t="s">
        <v>1945</v>
      </c>
      <c r="E348" s="11" t="s">
        <v>33</v>
      </c>
    </row>
    <row r="349">
      <c r="B349" s="62" t="s">
        <v>1944</v>
      </c>
      <c r="C349" s="95" t="s">
        <v>14</v>
      </c>
      <c r="D349" s="62" t="s">
        <v>468</v>
      </c>
      <c r="E349" s="11" t="s">
        <v>29</v>
      </c>
    </row>
    <row r="350">
      <c r="B350" s="62" t="s">
        <v>1943</v>
      </c>
      <c r="C350" s="95" t="s">
        <v>425</v>
      </c>
      <c r="D350" s="62" t="s">
        <v>1946</v>
      </c>
      <c r="E350" s="11" t="s">
        <v>33</v>
      </c>
    </row>
    <row r="351">
      <c r="B351" s="62" t="s">
        <v>1945</v>
      </c>
      <c r="C351" s="95" t="s">
        <v>208</v>
      </c>
      <c r="D351" s="62" t="s">
        <v>468</v>
      </c>
      <c r="E351" s="11" t="s">
        <v>29</v>
      </c>
    </row>
    <row r="352">
      <c r="B352" s="62" t="s">
        <v>1944</v>
      </c>
      <c r="C352" s="95" t="s">
        <v>220</v>
      </c>
      <c r="D352" s="62" t="s">
        <v>1946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1949</v>
      </c>
      <c r="C3" s="45" t="s">
        <v>162</v>
      </c>
      <c r="D3" s="62" t="s">
        <v>1950</v>
      </c>
      <c r="E3" s="11" t="s">
        <v>29</v>
      </c>
    </row>
    <row r="4">
      <c r="A4" s="90"/>
      <c r="B4" s="61" t="s">
        <v>1951</v>
      </c>
      <c r="C4" s="45" t="s">
        <v>344</v>
      </c>
      <c r="D4" s="61" t="s">
        <v>1894</v>
      </c>
      <c r="E4" s="11" t="s">
        <v>33</v>
      </c>
    </row>
    <row r="5">
      <c r="A5" s="90"/>
      <c r="B5" s="62" t="s">
        <v>1952</v>
      </c>
      <c r="C5" s="45" t="s">
        <v>173</v>
      </c>
      <c r="D5" s="61" t="s">
        <v>1949</v>
      </c>
      <c r="E5" s="11" t="s">
        <v>29</v>
      </c>
    </row>
    <row r="6">
      <c r="A6" s="90"/>
      <c r="B6" s="61" t="s">
        <v>1951</v>
      </c>
      <c r="C6" s="45" t="s">
        <v>302</v>
      </c>
      <c r="D6" s="62" t="s">
        <v>1950</v>
      </c>
      <c r="E6" s="11" t="s">
        <v>33</v>
      </c>
    </row>
    <row r="7">
      <c r="A7" s="90"/>
      <c r="B7" s="62" t="s">
        <v>1952</v>
      </c>
      <c r="C7" s="45" t="s">
        <v>203</v>
      </c>
      <c r="D7" s="61" t="s">
        <v>1894</v>
      </c>
      <c r="E7" s="11" t="s">
        <v>29</v>
      </c>
    </row>
    <row r="8">
      <c r="A8" s="90"/>
      <c r="B8" s="61" t="s">
        <v>1951</v>
      </c>
      <c r="C8" s="45" t="s">
        <v>193</v>
      </c>
      <c r="D8" s="61" t="s">
        <v>1949</v>
      </c>
      <c r="E8" s="11" t="s">
        <v>33</v>
      </c>
    </row>
    <row r="9">
      <c r="A9" s="90"/>
      <c r="B9" s="62" t="s">
        <v>1952</v>
      </c>
      <c r="C9" s="45" t="s">
        <v>196</v>
      </c>
      <c r="D9" s="62" t="s">
        <v>1950</v>
      </c>
      <c r="E9" s="11" t="s">
        <v>29</v>
      </c>
    </row>
    <row r="10">
      <c r="A10" s="90"/>
      <c r="B10" s="61" t="s">
        <v>1894</v>
      </c>
      <c r="C10" s="45" t="s">
        <v>158</v>
      </c>
      <c r="D10" s="61" t="s">
        <v>1949</v>
      </c>
      <c r="E10" s="11" t="s">
        <v>33</v>
      </c>
    </row>
    <row r="11">
      <c r="A11" s="90"/>
      <c r="B11" s="62" t="s">
        <v>1952</v>
      </c>
      <c r="C11" s="45" t="s">
        <v>352</v>
      </c>
      <c r="D11" s="61" t="s">
        <v>1951</v>
      </c>
      <c r="E11" s="11" t="s">
        <v>29</v>
      </c>
    </row>
    <row r="12">
      <c r="A12" s="90"/>
      <c r="B12" s="61" t="s">
        <v>1894</v>
      </c>
      <c r="C12" s="45" t="s">
        <v>16</v>
      </c>
      <c r="D12" s="62" t="s">
        <v>1950</v>
      </c>
      <c r="E12" s="11" t="s">
        <v>33</v>
      </c>
    </row>
    <row r="13">
      <c r="A13" s="90"/>
      <c r="B13" s="62" t="s">
        <v>1950</v>
      </c>
      <c r="C13" s="45" t="s">
        <v>158</v>
      </c>
      <c r="D13" s="61" t="s">
        <v>1949</v>
      </c>
      <c r="E13" s="11" t="s">
        <v>29</v>
      </c>
    </row>
    <row r="14">
      <c r="A14" s="90"/>
      <c r="B14" s="61" t="s">
        <v>1894</v>
      </c>
      <c r="C14" s="45" t="s">
        <v>534</v>
      </c>
      <c r="D14" s="61" t="s">
        <v>1951</v>
      </c>
      <c r="E14" s="11" t="s">
        <v>33</v>
      </c>
    </row>
    <row r="15">
      <c r="A15" s="90"/>
      <c r="B15" s="61" t="s">
        <v>1949</v>
      </c>
      <c r="C15" s="45" t="s">
        <v>162</v>
      </c>
      <c r="D15" s="62" t="s">
        <v>1952</v>
      </c>
      <c r="E15" s="11" t="s">
        <v>29</v>
      </c>
    </row>
    <row r="16">
      <c r="A16" s="90"/>
      <c r="B16" s="62" t="s">
        <v>1950</v>
      </c>
      <c r="C16" s="45" t="s">
        <v>193</v>
      </c>
      <c r="D16" s="61" t="s">
        <v>1951</v>
      </c>
      <c r="E16" s="11" t="s">
        <v>33</v>
      </c>
    </row>
    <row r="17">
      <c r="A17" s="90"/>
      <c r="B17" s="61" t="s">
        <v>1894</v>
      </c>
      <c r="C17" s="45" t="s">
        <v>209</v>
      </c>
      <c r="D17" s="62" t="s">
        <v>1952</v>
      </c>
      <c r="E17" s="11" t="s">
        <v>29</v>
      </c>
    </row>
    <row r="18">
      <c r="A18" s="90"/>
      <c r="B18" s="61" t="s">
        <v>1949</v>
      </c>
      <c r="C18" s="45" t="s">
        <v>209</v>
      </c>
      <c r="D18" s="61" t="s">
        <v>1951</v>
      </c>
      <c r="E18" s="11" t="s">
        <v>33</v>
      </c>
    </row>
    <row r="19">
      <c r="A19" s="90"/>
      <c r="B19" s="62" t="s">
        <v>1950</v>
      </c>
      <c r="C19" s="45" t="s">
        <v>161</v>
      </c>
      <c r="D19" s="62" t="s">
        <v>1952</v>
      </c>
      <c r="E19" s="11" t="s">
        <v>29</v>
      </c>
    </row>
    <row r="20">
      <c r="A20" s="90"/>
      <c r="B20" s="61" t="s">
        <v>1949</v>
      </c>
      <c r="C20" s="45" t="s">
        <v>610</v>
      </c>
      <c r="D20" s="61" t="s">
        <v>1894</v>
      </c>
      <c r="E20" s="11" t="s">
        <v>33</v>
      </c>
    </row>
    <row r="21">
      <c r="A21" s="90"/>
      <c r="B21" s="61" t="s">
        <v>1951</v>
      </c>
      <c r="C21" s="45" t="s">
        <v>251</v>
      </c>
      <c r="D21" s="62" t="s">
        <v>1952</v>
      </c>
      <c r="E21" s="11" t="s">
        <v>29</v>
      </c>
    </row>
    <row r="22">
      <c r="A22" s="90"/>
      <c r="B22" s="62" t="s">
        <v>1950</v>
      </c>
      <c r="C22" s="45" t="s">
        <v>41</v>
      </c>
      <c r="D22" s="61" t="s">
        <v>1894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903</v>
      </c>
      <c r="C25" s="57" t="s">
        <v>302</v>
      </c>
      <c r="D25" s="61" t="s">
        <v>1831</v>
      </c>
      <c r="E25" s="11" t="s">
        <v>9</v>
      </c>
    </row>
    <row r="26">
      <c r="A26" s="90"/>
      <c r="B26" s="61" t="s">
        <v>1953</v>
      </c>
      <c r="C26" s="57" t="s">
        <v>16</v>
      </c>
      <c r="D26" s="61" t="s">
        <v>1954</v>
      </c>
      <c r="E26" s="11" t="s">
        <v>13</v>
      </c>
    </row>
    <row r="27">
      <c r="A27" s="90"/>
      <c r="B27" s="62" t="s">
        <v>1832</v>
      </c>
      <c r="C27" s="57" t="s">
        <v>181</v>
      </c>
      <c r="D27" s="62" t="s">
        <v>903</v>
      </c>
      <c r="E27" s="11" t="s">
        <v>9</v>
      </c>
    </row>
    <row r="28">
      <c r="A28" s="90"/>
      <c r="B28" s="61" t="s">
        <v>1953</v>
      </c>
      <c r="C28" s="57" t="s">
        <v>696</v>
      </c>
      <c r="D28" s="61" t="s">
        <v>1831</v>
      </c>
      <c r="E28" s="11" t="s">
        <v>13</v>
      </c>
    </row>
    <row r="29">
      <c r="A29" s="90"/>
      <c r="B29" s="62" t="s">
        <v>1832</v>
      </c>
      <c r="C29" s="57" t="s">
        <v>20</v>
      </c>
      <c r="D29" s="61" t="s">
        <v>1954</v>
      </c>
      <c r="E29" s="11" t="s">
        <v>9</v>
      </c>
    </row>
    <row r="30">
      <c r="A30" s="90"/>
      <c r="B30" s="61" t="s">
        <v>1953</v>
      </c>
      <c r="C30" s="57" t="s">
        <v>198</v>
      </c>
      <c r="D30" s="62" t="s">
        <v>903</v>
      </c>
      <c r="E30" s="11" t="s">
        <v>13</v>
      </c>
    </row>
    <row r="31">
      <c r="A31" s="90"/>
      <c r="B31" s="62" t="s">
        <v>1832</v>
      </c>
      <c r="C31" s="57" t="s">
        <v>155</v>
      </c>
      <c r="D31" s="61" t="s">
        <v>1831</v>
      </c>
      <c r="E31" s="11" t="s">
        <v>9</v>
      </c>
    </row>
    <row r="32">
      <c r="A32" s="90"/>
      <c r="B32" s="61" t="s">
        <v>1954</v>
      </c>
      <c r="C32" s="57" t="s">
        <v>14</v>
      </c>
      <c r="D32" s="62" t="s">
        <v>903</v>
      </c>
      <c r="E32" s="11" t="s">
        <v>13</v>
      </c>
    </row>
    <row r="33">
      <c r="A33" s="90"/>
      <c r="B33" s="62" t="s">
        <v>1832</v>
      </c>
      <c r="C33" s="57" t="s">
        <v>23</v>
      </c>
      <c r="D33" s="61" t="s">
        <v>1953</v>
      </c>
      <c r="E33" s="11" t="s">
        <v>9</v>
      </c>
    </row>
    <row r="34">
      <c r="A34" s="90"/>
      <c r="B34" s="61" t="s">
        <v>1954</v>
      </c>
      <c r="C34" s="57" t="s">
        <v>225</v>
      </c>
      <c r="D34" s="61" t="s">
        <v>1831</v>
      </c>
      <c r="E34" s="11" t="s">
        <v>13</v>
      </c>
    </row>
    <row r="35">
      <c r="A35" s="90"/>
      <c r="B35" s="61" t="s">
        <v>1831</v>
      </c>
      <c r="C35" s="57" t="s">
        <v>159</v>
      </c>
      <c r="D35" s="62" t="s">
        <v>903</v>
      </c>
      <c r="E35" s="11" t="s">
        <v>9</v>
      </c>
    </row>
    <row r="36">
      <c r="A36" s="90"/>
      <c r="B36" s="61" t="s">
        <v>1954</v>
      </c>
      <c r="C36" s="57" t="s">
        <v>181</v>
      </c>
      <c r="D36" s="61" t="s">
        <v>1953</v>
      </c>
      <c r="E36" s="11" t="s">
        <v>13</v>
      </c>
    </row>
    <row r="37">
      <c r="A37" s="90"/>
      <c r="B37" s="62" t="s">
        <v>903</v>
      </c>
      <c r="C37" s="45" t="s">
        <v>23</v>
      </c>
      <c r="D37" s="62" t="s">
        <v>1832</v>
      </c>
      <c r="E37" s="11" t="s">
        <v>9</v>
      </c>
    </row>
    <row r="38">
      <c r="A38" s="90"/>
      <c r="B38" s="61" t="s">
        <v>1831</v>
      </c>
      <c r="C38" s="45" t="s">
        <v>176</v>
      </c>
      <c r="D38" s="61" t="s">
        <v>1953</v>
      </c>
      <c r="E38" s="11" t="s">
        <v>13</v>
      </c>
    </row>
    <row r="39">
      <c r="A39" s="90"/>
      <c r="B39" s="61" t="s">
        <v>1954</v>
      </c>
      <c r="C39" s="45" t="s">
        <v>162</v>
      </c>
      <c r="D39" s="62" t="s">
        <v>1832</v>
      </c>
      <c r="E39" s="11" t="s">
        <v>9</v>
      </c>
    </row>
    <row r="40">
      <c r="A40" s="90"/>
      <c r="B40" s="62" t="s">
        <v>903</v>
      </c>
      <c r="C40" s="45" t="s">
        <v>525</v>
      </c>
      <c r="D40" s="61" t="s">
        <v>1953</v>
      </c>
      <c r="E40" s="11" t="s">
        <v>13</v>
      </c>
    </row>
    <row r="41">
      <c r="A41" s="90"/>
      <c r="B41" s="61" t="s">
        <v>1831</v>
      </c>
      <c r="C41" s="45" t="s">
        <v>219</v>
      </c>
      <c r="D41" s="62" t="s">
        <v>1832</v>
      </c>
      <c r="E41" s="11" t="s">
        <v>9</v>
      </c>
    </row>
    <row r="42">
      <c r="A42" s="90"/>
      <c r="B42" s="62" t="s">
        <v>903</v>
      </c>
      <c r="C42" s="45" t="s">
        <v>19</v>
      </c>
      <c r="D42" s="61" t="s">
        <v>1954</v>
      </c>
      <c r="E42" s="11" t="s">
        <v>13</v>
      </c>
    </row>
    <row r="43">
      <c r="A43" s="90"/>
      <c r="B43" s="61" t="s">
        <v>1953</v>
      </c>
      <c r="C43" s="45" t="s">
        <v>18</v>
      </c>
      <c r="D43" s="62" t="s">
        <v>1832</v>
      </c>
      <c r="E43" s="11" t="s">
        <v>9</v>
      </c>
    </row>
    <row r="44">
      <c r="A44" s="91"/>
      <c r="B44" s="61" t="s">
        <v>1831</v>
      </c>
      <c r="C44" s="45" t="s">
        <v>248</v>
      </c>
      <c r="D44" s="61" t="s">
        <v>1954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1955</v>
      </c>
      <c r="C47" s="45" t="s">
        <v>7</v>
      </c>
      <c r="D47" s="61" t="s">
        <v>1956</v>
      </c>
      <c r="E47" s="11" t="s">
        <v>29</v>
      </c>
    </row>
    <row r="48">
      <c r="B48" s="61" t="s">
        <v>1545</v>
      </c>
      <c r="C48" s="45" t="s">
        <v>426</v>
      </c>
      <c r="D48" s="61" t="s">
        <v>1957</v>
      </c>
      <c r="E48" s="11" t="s">
        <v>33</v>
      </c>
    </row>
    <row r="49">
      <c r="B49" s="61" t="s">
        <v>1958</v>
      </c>
      <c r="C49" s="45" t="s">
        <v>193</v>
      </c>
      <c r="D49" s="61" t="s">
        <v>1955</v>
      </c>
      <c r="E49" s="11" t="s">
        <v>29</v>
      </c>
    </row>
    <row r="50">
      <c r="B50" s="61" t="s">
        <v>1545</v>
      </c>
      <c r="C50" s="45" t="s">
        <v>233</v>
      </c>
      <c r="D50" s="61" t="s">
        <v>1956</v>
      </c>
      <c r="E50" s="11" t="s">
        <v>33</v>
      </c>
    </row>
    <row r="51">
      <c r="B51" s="61" t="s">
        <v>1958</v>
      </c>
      <c r="C51" s="45" t="s">
        <v>43</v>
      </c>
      <c r="D51" s="61" t="s">
        <v>1957</v>
      </c>
      <c r="E51" s="11" t="s">
        <v>29</v>
      </c>
    </row>
    <row r="52">
      <c r="B52" s="61" t="s">
        <v>1545</v>
      </c>
      <c r="C52" s="45" t="s">
        <v>185</v>
      </c>
      <c r="D52" s="61" t="s">
        <v>1955</v>
      </c>
      <c r="E52" s="11" t="s">
        <v>33</v>
      </c>
    </row>
    <row r="53">
      <c r="B53" s="61" t="s">
        <v>1958</v>
      </c>
      <c r="C53" s="45" t="s">
        <v>23</v>
      </c>
      <c r="D53" s="61" t="s">
        <v>1956</v>
      </c>
      <c r="E53" s="11" t="s">
        <v>29</v>
      </c>
    </row>
    <row r="54">
      <c r="B54" s="61" t="s">
        <v>1957</v>
      </c>
      <c r="C54" s="45" t="s">
        <v>222</v>
      </c>
      <c r="D54" s="61" t="s">
        <v>1955</v>
      </c>
      <c r="E54" s="11" t="s">
        <v>33</v>
      </c>
    </row>
    <row r="55">
      <c r="B55" s="61" t="s">
        <v>1958</v>
      </c>
      <c r="C55" s="45" t="s">
        <v>219</v>
      </c>
      <c r="D55" s="61" t="s">
        <v>1545</v>
      </c>
      <c r="E55" s="11" t="s">
        <v>29</v>
      </c>
    </row>
    <row r="56">
      <c r="B56" s="61" t="s">
        <v>1957</v>
      </c>
      <c r="C56" s="45" t="s">
        <v>354</v>
      </c>
      <c r="D56" s="61" t="s">
        <v>1956</v>
      </c>
      <c r="E56" s="11" t="s">
        <v>33</v>
      </c>
    </row>
    <row r="57">
      <c r="B57" s="61" t="s">
        <v>1956</v>
      </c>
      <c r="C57" s="45" t="s">
        <v>251</v>
      </c>
      <c r="D57" s="61" t="s">
        <v>1955</v>
      </c>
      <c r="E57" s="11" t="s">
        <v>29</v>
      </c>
    </row>
    <row r="58">
      <c r="B58" s="61" t="s">
        <v>1957</v>
      </c>
      <c r="C58" s="45" t="s">
        <v>250</v>
      </c>
      <c r="D58" s="61" t="s">
        <v>1545</v>
      </c>
      <c r="E58" s="11" t="s">
        <v>33</v>
      </c>
    </row>
    <row r="59">
      <c r="B59" s="61" t="s">
        <v>1955</v>
      </c>
      <c r="C59" s="45" t="s">
        <v>16</v>
      </c>
      <c r="D59" s="61" t="s">
        <v>1958</v>
      </c>
      <c r="E59" s="11" t="s">
        <v>29</v>
      </c>
    </row>
    <row r="60">
      <c r="B60" s="61" t="s">
        <v>1956</v>
      </c>
      <c r="C60" s="45" t="s">
        <v>280</v>
      </c>
      <c r="D60" s="61" t="s">
        <v>1545</v>
      </c>
      <c r="E60" s="11" t="s">
        <v>33</v>
      </c>
    </row>
    <row r="61">
      <c r="B61" s="61" t="s">
        <v>1957</v>
      </c>
      <c r="C61" s="45" t="s">
        <v>155</v>
      </c>
      <c r="D61" s="61" t="s">
        <v>1958</v>
      </c>
      <c r="E61" s="11" t="s">
        <v>29</v>
      </c>
    </row>
    <row r="62">
      <c r="B62" s="61" t="s">
        <v>1955</v>
      </c>
      <c r="C62" s="45" t="s">
        <v>23</v>
      </c>
      <c r="D62" s="61" t="s">
        <v>1545</v>
      </c>
      <c r="E62" s="11" t="s">
        <v>33</v>
      </c>
    </row>
    <row r="63">
      <c r="B63" s="61" t="s">
        <v>1956</v>
      </c>
      <c r="C63" s="45" t="s">
        <v>193</v>
      </c>
      <c r="D63" s="61" t="s">
        <v>1958</v>
      </c>
      <c r="E63" s="11" t="s">
        <v>29</v>
      </c>
    </row>
    <row r="64">
      <c r="B64" s="61" t="s">
        <v>1955</v>
      </c>
      <c r="C64" s="45" t="s">
        <v>193</v>
      </c>
      <c r="D64" s="61" t="s">
        <v>1957</v>
      </c>
      <c r="E64" s="11" t="s">
        <v>33</v>
      </c>
    </row>
    <row r="65">
      <c r="B65" s="61" t="s">
        <v>1545</v>
      </c>
      <c r="C65" s="45" t="s">
        <v>181</v>
      </c>
      <c r="D65" s="61" t="s">
        <v>1958</v>
      </c>
      <c r="E65" s="11" t="s">
        <v>29</v>
      </c>
    </row>
    <row r="66">
      <c r="B66" s="61" t="s">
        <v>1956</v>
      </c>
      <c r="C66" s="45" t="s">
        <v>38</v>
      </c>
      <c r="D66" s="61" t="s">
        <v>1957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46</v>
      </c>
      <c r="C69" s="57" t="s">
        <v>193</v>
      </c>
      <c r="D69" s="61" t="s">
        <v>138</v>
      </c>
      <c r="E69" s="11" t="s">
        <v>9</v>
      </c>
    </row>
    <row r="70">
      <c r="B70" s="61" t="s">
        <v>1959</v>
      </c>
      <c r="C70" s="57" t="s">
        <v>16</v>
      </c>
      <c r="D70" s="61" t="s">
        <v>1960</v>
      </c>
      <c r="E70" s="11" t="s">
        <v>13</v>
      </c>
    </row>
    <row r="71">
      <c r="B71" s="61" t="s">
        <v>1961</v>
      </c>
      <c r="C71" s="57" t="s">
        <v>177</v>
      </c>
      <c r="D71" s="61" t="s">
        <v>46</v>
      </c>
      <c r="E71" s="11" t="s">
        <v>9</v>
      </c>
    </row>
    <row r="72">
      <c r="B72" s="61" t="s">
        <v>1959</v>
      </c>
      <c r="C72" s="57" t="s">
        <v>394</v>
      </c>
      <c r="D72" s="61" t="s">
        <v>138</v>
      </c>
      <c r="E72" s="11" t="s">
        <v>13</v>
      </c>
    </row>
    <row r="73">
      <c r="B73" s="61" t="s">
        <v>1961</v>
      </c>
      <c r="C73" s="57" t="s">
        <v>198</v>
      </c>
      <c r="D73" s="61" t="s">
        <v>1960</v>
      </c>
      <c r="E73" s="11" t="s">
        <v>9</v>
      </c>
    </row>
    <row r="74">
      <c r="B74" s="61" t="s">
        <v>1959</v>
      </c>
      <c r="C74" s="57" t="s">
        <v>1227</v>
      </c>
      <c r="D74" s="61" t="s">
        <v>46</v>
      </c>
      <c r="E74" s="11" t="s">
        <v>13</v>
      </c>
    </row>
    <row r="75">
      <c r="B75" s="61" t="s">
        <v>1961</v>
      </c>
      <c r="C75" s="57" t="s">
        <v>155</v>
      </c>
      <c r="D75" s="61" t="s">
        <v>138</v>
      </c>
      <c r="E75" s="11" t="s">
        <v>9</v>
      </c>
    </row>
    <row r="76">
      <c r="B76" s="61" t="s">
        <v>1960</v>
      </c>
      <c r="C76" s="57" t="s">
        <v>281</v>
      </c>
      <c r="D76" s="61" t="s">
        <v>46</v>
      </c>
      <c r="E76" s="11" t="s">
        <v>13</v>
      </c>
    </row>
    <row r="77">
      <c r="B77" s="61" t="s">
        <v>1961</v>
      </c>
      <c r="C77" s="57" t="s">
        <v>158</v>
      </c>
      <c r="D77" s="61" t="s">
        <v>1959</v>
      </c>
      <c r="E77" s="11" t="s">
        <v>9</v>
      </c>
    </row>
    <row r="78">
      <c r="B78" s="61" t="s">
        <v>1960</v>
      </c>
      <c r="C78" s="57" t="s">
        <v>281</v>
      </c>
      <c r="D78" s="61" t="s">
        <v>138</v>
      </c>
      <c r="E78" s="11" t="s">
        <v>13</v>
      </c>
    </row>
    <row r="79">
      <c r="B79" s="61" t="s">
        <v>138</v>
      </c>
      <c r="C79" s="57" t="s">
        <v>185</v>
      </c>
      <c r="D79" s="61" t="s">
        <v>46</v>
      </c>
      <c r="E79" s="11" t="s">
        <v>9</v>
      </c>
    </row>
    <row r="80">
      <c r="B80" s="61" t="s">
        <v>1960</v>
      </c>
      <c r="C80" s="57" t="s">
        <v>162</v>
      </c>
      <c r="D80" s="61" t="s">
        <v>1959</v>
      </c>
      <c r="E80" s="11" t="s">
        <v>13</v>
      </c>
    </row>
    <row r="81">
      <c r="B81" s="61" t="s">
        <v>46</v>
      </c>
      <c r="C81" s="45" t="s">
        <v>565</v>
      </c>
      <c r="D81" s="61" t="s">
        <v>1961</v>
      </c>
      <c r="E81" s="11" t="s">
        <v>9</v>
      </c>
    </row>
    <row r="82">
      <c r="B82" s="61" t="s">
        <v>138</v>
      </c>
      <c r="C82" s="45" t="s">
        <v>185</v>
      </c>
      <c r="D82" s="61" t="s">
        <v>1959</v>
      </c>
      <c r="E82" s="11" t="s">
        <v>13</v>
      </c>
    </row>
    <row r="83">
      <c r="B83" s="61" t="s">
        <v>1960</v>
      </c>
      <c r="C83" s="45" t="s">
        <v>203</v>
      </c>
      <c r="D83" s="61" t="s">
        <v>1961</v>
      </c>
      <c r="E83" s="11" t="s">
        <v>9</v>
      </c>
    </row>
    <row r="84">
      <c r="B84" s="61" t="s">
        <v>46</v>
      </c>
      <c r="C84" s="45" t="s">
        <v>173</v>
      </c>
      <c r="D84" s="61" t="s">
        <v>1959</v>
      </c>
      <c r="E84" s="11" t="s">
        <v>13</v>
      </c>
    </row>
    <row r="85">
      <c r="B85" s="61" t="s">
        <v>138</v>
      </c>
      <c r="C85" s="45" t="s">
        <v>38</v>
      </c>
      <c r="D85" s="61" t="s">
        <v>1961</v>
      </c>
      <c r="E85" s="11" t="s">
        <v>9</v>
      </c>
    </row>
    <row r="86">
      <c r="B86" s="61" t="s">
        <v>46</v>
      </c>
      <c r="C86" s="45" t="s">
        <v>210</v>
      </c>
      <c r="D86" s="61" t="s">
        <v>1960</v>
      </c>
      <c r="E86" s="11" t="s">
        <v>13</v>
      </c>
    </row>
    <row r="87">
      <c r="B87" s="61" t="s">
        <v>1959</v>
      </c>
      <c r="C87" s="45" t="s">
        <v>208</v>
      </c>
      <c r="D87" s="61" t="s">
        <v>1961</v>
      </c>
      <c r="E87" s="11" t="s">
        <v>9</v>
      </c>
    </row>
    <row r="88">
      <c r="B88" s="61" t="s">
        <v>138</v>
      </c>
      <c r="C88" s="45" t="s">
        <v>219</v>
      </c>
      <c r="D88" s="61" t="s">
        <v>1960</v>
      </c>
      <c r="E88" s="11" t="s">
        <v>13</v>
      </c>
    </row>
    <row r="89">
      <c r="B89" s="1" t="s">
        <v>1777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1962</v>
      </c>
      <c r="C91" s="45" t="s">
        <v>575</v>
      </c>
      <c r="D91" s="61" t="s">
        <v>858</v>
      </c>
      <c r="E91" s="11" t="s">
        <v>9</v>
      </c>
    </row>
    <row r="92">
      <c r="B92" s="61" t="s">
        <v>1111</v>
      </c>
      <c r="C92" s="45" t="s">
        <v>366</v>
      </c>
      <c r="D92" s="61" t="s">
        <v>1963</v>
      </c>
      <c r="E92" s="11" t="s">
        <v>13</v>
      </c>
    </row>
    <row r="93">
      <c r="B93" s="61" t="s">
        <v>1160</v>
      </c>
      <c r="C93" s="45" t="s">
        <v>181</v>
      </c>
      <c r="D93" s="61" t="s">
        <v>1962</v>
      </c>
      <c r="E93" s="11" t="s">
        <v>9</v>
      </c>
    </row>
    <row r="94">
      <c r="B94" s="61" t="s">
        <v>1111</v>
      </c>
      <c r="C94" s="45" t="s">
        <v>245</v>
      </c>
      <c r="D94" s="61" t="s">
        <v>858</v>
      </c>
      <c r="E94" s="11" t="s">
        <v>13</v>
      </c>
    </row>
    <row r="95">
      <c r="B95" s="61" t="s">
        <v>1160</v>
      </c>
      <c r="C95" s="45" t="s">
        <v>23</v>
      </c>
      <c r="D95" s="61" t="s">
        <v>1963</v>
      </c>
      <c r="E95" s="11" t="s">
        <v>9</v>
      </c>
    </row>
    <row r="96">
      <c r="B96" s="61" t="s">
        <v>1111</v>
      </c>
      <c r="C96" s="45" t="s">
        <v>19</v>
      </c>
      <c r="D96" s="61" t="s">
        <v>1962</v>
      </c>
      <c r="E96" s="11" t="s">
        <v>13</v>
      </c>
    </row>
    <row r="97">
      <c r="B97" s="61" t="s">
        <v>1160</v>
      </c>
      <c r="C97" s="45" t="s">
        <v>344</v>
      </c>
      <c r="D97" s="61" t="s">
        <v>858</v>
      </c>
      <c r="E97" s="11" t="s">
        <v>9</v>
      </c>
    </row>
    <row r="98">
      <c r="B98" s="61" t="s">
        <v>1963</v>
      </c>
      <c r="C98" s="45" t="s">
        <v>20</v>
      </c>
      <c r="D98" s="61" t="s">
        <v>1962</v>
      </c>
      <c r="E98" s="11" t="s">
        <v>13</v>
      </c>
    </row>
    <row r="99">
      <c r="B99" s="61" t="s">
        <v>1160</v>
      </c>
      <c r="C99" s="45" t="s">
        <v>158</v>
      </c>
      <c r="D99" s="61" t="s">
        <v>1111</v>
      </c>
      <c r="E99" s="11" t="s">
        <v>9</v>
      </c>
    </row>
    <row r="100">
      <c r="B100" s="61" t="s">
        <v>1963</v>
      </c>
      <c r="C100" s="45" t="s">
        <v>24</v>
      </c>
      <c r="D100" s="61" t="s">
        <v>858</v>
      </c>
      <c r="E100" s="11" t="s">
        <v>13</v>
      </c>
    </row>
    <row r="101">
      <c r="B101" s="61" t="s">
        <v>858</v>
      </c>
      <c r="C101" s="45" t="s">
        <v>464</v>
      </c>
      <c r="D101" s="61" t="s">
        <v>1962</v>
      </c>
      <c r="E101" s="11" t="s">
        <v>9</v>
      </c>
    </row>
    <row r="102">
      <c r="B102" s="61" t="s">
        <v>1963</v>
      </c>
      <c r="C102" s="45" t="s">
        <v>17</v>
      </c>
      <c r="D102" s="61" t="s">
        <v>1111</v>
      </c>
      <c r="E102" s="11" t="s">
        <v>13</v>
      </c>
    </row>
    <row r="103">
      <c r="B103" s="61" t="s">
        <v>1962</v>
      </c>
      <c r="C103" s="45" t="s">
        <v>163</v>
      </c>
      <c r="D103" s="61" t="s">
        <v>1160</v>
      </c>
      <c r="E103" s="11" t="s">
        <v>9</v>
      </c>
    </row>
    <row r="104">
      <c r="B104" s="61" t="s">
        <v>858</v>
      </c>
      <c r="C104" s="45" t="s">
        <v>395</v>
      </c>
      <c r="D104" s="61" t="s">
        <v>1111</v>
      </c>
      <c r="E104" s="11" t="s">
        <v>13</v>
      </c>
    </row>
    <row r="105">
      <c r="B105" s="61" t="s">
        <v>1963</v>
      </c>
      <c r="C105" s="45" t="s">
        <v>219</v>
      </c>
      <c r="D105" s="61" t="s">
        <v>1160</v>
      </c>
      <c r="E105" s="11" t="s">
        <v>9</v>
      </c>
    </row>
    <row r="106">
      <c r="B106" s="61" t="s">
        <v>1962</v>
      </c>
      <c r="C106" s="45" t="s">
        <v>362</v>
      </c>
      <c r="D106" s="61" t="s">
        <v>1111</v>
      </c>
      <c r="E106" s="11" t="s">
        <v>13</v>
      </c>
    </row>
    <row r="107">
      <c r="B107" s="61" t="s">
        <v>858</v>
      </c>
      <c r="C107" s="45" t="s">
        <v>251</v>
      </c>
      <c r="D107" s="61" t="s">
        <v>1160</v>
      </c>
      <c r="E107" s="11" t="s">
        <v>9</v>
      </c>
    </row>
    <row r="108">
      <c r="B108" s="61" t="s">
        <v>1962</v>
      </c>
      <c r="C108" s="45" t="s">
        <v>1964</v>
      </c>
      <c r="D108" s="61" t="s">
        <v>1963</v>
      </c>
      <c r="E108" s="11" t="s">
        <v>13</v>
      </c>
    </row>
    <row r="109">
      <c r="B109" s="61" t="s">
        <v>1111</v>
      </c>
      <c r="C109" s="45" t="s">
        <v>1965</v>
      </c>
      <c r="D109" s="61" t="s">
        <v>1160</v>
      </c>
      <c r="E109" s="11" t="s">
        <v>9</v>
      </c>
    </row>
    <row r="110">
      <c r="B110" s="61" t="s">
        <v>858</v>
      </c>
      <c r="C110" s="45" t="s">
        <v>24</v>
      </c>
      <c r="D110" s="61" t="s">
        <v>1963</v>
      </c>
      <c r="E110" s="11" t="s">
        <v>13</v>
      </c>
    </row>
    <row r="111">
      <c r="B111" s="1" t="s">
        <v>1782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1966</v>
      </c>
      <c r="C113" s="57" t="s">
        <v>193</v>
      </c>
      <c r="D113" s="61" t="s">
        <v>1967</v>
      </c>
      <c r="E113" s="11" t="s">
        <v>9</v>
      </c>
    </row>
    <row r="114">
      <c r="B114" s="61" t="s">
        <v>1968</v>
      </c>
      <c r="C114" s="57" t="s">
        <v>208</v>
      </c>
      <c r="D114" s="61" t="s">
        <v>1969</v>
      </c>
      <c r="E114" s="11" t="s">
        <v>13</v>
      </c>
    </row>
    <row r="115">
      <c r="B115" s="61" t="s">
        <v>1909</v>
      </c>
      <c r="C115" s="57" t="s">
        <v>219</v>
      </c>
      <c r="D115" s="61" t="s">
        <v>1966</v>
      </c>
      <c r="E115" s="11" t="s">
        <v>9</v>
      </c>
    </row>
    <row r="116">
      <c r="B116" s="61" t="s">
        <v>1968</v>
      </c>
      <c r="C116" s="57" t="s">
        <v>303</v>
      </c>
      <c r="D116" s="61" t="s">
        <v>1967</v>
      </c>
      <c r="E116" s="11" t="s">
        <v>13</v>
      </c>
    </row>
    <row r="117">
      <c r="B117" s="61" t="s">
        <v>1909</v>
      </c>
      <c r="C117" s="57" t="s">
        <v>43</v>
      </c>
      <c r="D117" s="61" t="s">
        <v>1969</v>
      </c>
      <c r="E117" s="11" t="s">
        <v>9</v>
      </c>
    </row>
    <row r="118">
      <c r="B118" s="61" t="s">
        <v>1968</v>
      </c>
      <c r="C118" s="57" t="s">
        <v>421</v>
      </c>
      <c r="D118" s="61" t="s">
        <v>1966</v>
      </c>
      <c r="E118" s="11" t="s">
        <v>13</v>
      </c>
    </row>
    <row r="119">
      <c r="B119" s="61" t="s">
        <v>1909</v>
      </c>
      <c r="C119" s="57" t="s">
        <v>334</v>
      </c>
      <c r="D119" s="61" t="s">
        <v>1967</v>
      </c>
      <c r="E119" s="11" t="s">
        <v>9</v>
      </c>
    </row>
    <row r="120">
      <c r="B120" s="61" t="s">
        <v>1969</v>
      </c>
      <c r="C120" s="57" t="s">
        <v>38</v>
      </c>
      <c r="D120" s="61" t="s">
        <v>1966</v>
      </c>
      <c r="E120" s="11" t="s">
        <v>13</v>
      </c>
    </row>
    <row r="121">
      <c r="B121" s="61" t="s">
        <v>1909</v>
      </c>
      <c r="C121" s="57" t="s">
        <v>507</v>
      </c>
      <c r="D121" s="61" t="s">
        <v>1968</v>
      </c>
      <c r="E121" s="11" t="s">
        <v>9</v>
      </c>
    </row>
    <row r="122">
      <c r="B122" s="61" t="s">
        <v>1969</v>
      </c>
      <c r="C122" s="57" t="s">
        <v>162</v>
      </c>
      <c r="D122" s="61" t="s">
        <v>1967</v>
      </c>
      <c r="E122" s="11" t="s">
        <v>13</v>
      </c>
    </row>
    <row r="123">
      <c r="B123" s="61" t="s">
        <v>1967</v>
      </c>
      <c r="C123" s="57" t="s">
        <v>18</v>
      </c>
      <c r="D123" s="61" t="s">
        <v>1966</v>
      </c>
      <c r="E123" s="11" t="s">
        <v>9</v>
      </c>
    </row>
    <row r="124">
      <c r="B124" s="61" t="s">
        <v>1969</v>
      </c>
      <c r="C124" s="57" t="s">
        <v>1948</v>
      </c>
      <c r="D124" s="61" t="s">
        <v>1968</v>
      </c>
      <c r="E124" s="11" t="s">
        <v>13</v>
      </c>
    </row>
    <row r="125">
      <c r="B125" s="61" t="s">
        <v>1966</v>
      </c>
      <c r="C125" s="45" t="s">
        <v>194</v>
      </c>
      <c r="D125" s="61" t="s">
        <v>1909</v>
      </c>
      <c r="E125" s="11" t="s">
        <v>9</v>
      </c>
    </row>
    <row r="126">
      <c r="B126" s="61" t="s">
        <v>1967</v>
      </c>
      <c r="C126" s="45" t="s">
        <v>433</v>
      </c>
      <c r="D126" s="61" t="s">
        <v>1968</v>
      </c>
      <c r="E126" s="11" t="s">
        <v>13</v>
      </c>
    </row>
    <row r="127">
      <c r="B127" s="61" t="s">
        <v>1969</v>
      </c>
      <c r="C127" s="45" t="s">
        <v>338</v>
      </c>
      <c r="D127" s="61" t="s">
        <v>1909</v>
      </c>
      <c r="E127" s="11" t="s">
        <v>9</v>
      </c>
    </row>
    <row r="128">
      <c r="B128" s="61" t="s">
        <v>1966</v>
      </c>
      <c r="C128" s="45" t="s">
        <v>908</v>
      </c>
      <c r="D128" s="61" t="s">
        <v>1968</v>
      </c>
      <c r="E128" s="11" t="s">
        <v>13</v>
      </c>
    </row>
    <row r="129">
      <c r="B129" s="61" t="s">
        <v>1967</v>
      </c>
      <c r="C129" s="45" t="s">
        <v>301</v>
      </c>
      <c r="D129" s="61" t="s">
        <v>1909</v>
      </c>
      <c r="E129" s="11" t="s">
        <v>9</v>
      </c>
    </row>
    <row r="130">
      <c r="B130" s="61" t="s">
        <v>1966</v>
      </c>
      <c r="C130" s="45" t="s">
        <v>194</v>
      </c>
      <c r="D130" s="61" t="s">
        <v>1969</v>
      </c>
      <c r="E130" s="11" t="s">
        <v>13</v>
      </c>
    </row>
    <row r="131">
      <c r="B131" s="61" t="s">
        <v>1968</v>
      </c>
      <c r="C131" s="45" t="s">
        <v>193</v>
      </c>
      <c r="D131" s="61" t="s">
        <v>1909</v>
      </c>
      <c r="E131" s="11" t="s">
        <v>9</v>
      </c>
    </row>
    <row r="132">
      <c r="B132" s="61" t="s">
        <v>1967</v>
      </c>
      <c r="C132" s="45" t="s">
        <v>1970</v>
      </c>
      <c r="D132" s="61" t="s">
        <v>1969</v>
      </c>
      <c r="E132" s="11" t="s">
        <v>13</v>
      </c>
    </row>
    <row r="133">
      <c r="B133" s="1" t="s">
        <v>1538</v>
      </c>
      <c r="C133" s="2"/>
      <c r="D133" s="3"/>
      <c r="E133" s="4"/>
      <c r="G133" s="50" t="s">
        <v>861</v>
      </c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1300</v>
      </c>
      <c r="C135" s="57" t="s">
        <v>193</v>
      </c>
      <c r="D135" s="61" t="s">
        <v>93</v>
      </c>
      <c r="E135" s="11" t="s">
        <v>29</v>
      </c>
    </row>
    <row r="136">
      <c r="B136" s="61" t="s">
        <v>1971</v>
      </c>
      <c r="C136" s="57" t="s">
        <v>185</v>
      </c>
      <c r="D136" s="61" t="s">
        <v>1972</v>
      </c>
      <c r="E136" s="11" t="s">
        <v>33</v>
      </c>
    </row>
    <row r="137">
      <c r="B137" s="61" t="s">
        <v>773</v>
      </c>
      <c r="C137" s="57" t="s">
        <v>18</v>
      </c>
      <c r="D137" s="61" t="s">
        <v>1300</v>
      </c>
      <c r="E137" s="11" t="s">
        <v>29</v>
      </c>
    </row>
    <row r="138">
      <c r="B138" s="61" t="s">
        <v>1971</v>
      </c>
      <c r="C138" s="57" t="s">
        <v>157</v>
      </c>
      <c r="D138" s="61" t="s">
        <v>93</v>
      </c>
      <c r="E138" s="11" t="s">
        <v>33</v>
      </c>
    </row>
    <row r="139">
      <c r="B139" s="61" t="s">
        <v>773</v>
      </c>
      <c r="C139" s="57" t="s">
        <v>574</v>
      </c>
      <c r="D139" s="61" t="s">
        <v>1972</v>
      </c>
      <c r="E139" s="11" t="s">
        <v>29</v>
      </c>
    </row>
    <row r="140">
      <c r="B140" s="61" t="s">
        <v>1971</v>
      </c>
      <c r="C140" s="57" t="s">
        <v>20</v>
      </c>
      <c r="D140" s="61" t="s">
        <v>1300</v>
      </c>
      <c r="E140" s="11" t="s">
        <v>33</v>
      </c>
    </row>
    <row r="141">
      <c r="B141" s="61" t="s">
        <v>773</v>
      </c>
      <c r="C141" s="57" t="s">
        <v>208</v>
      </c>
      <c r="D141" s="61" t="s">
        <v>93</v>
      </c>
      <c r="E141" s="11" t="s">
        <v>29</v>
      </c>
    </row>
    <row r="142">
      <c r="B142" s="61" t="s">
        <v>1972</v>
      </c>
      <c r="C142" s="57" t="s">
        <v>7</v>
      </c>
      <c r="D142" s="61" t="s">
        <v>1300</v>
      </c>
      <c r="E142" s="11" t="s">
        <v>33</v>
      </c>
    </row>
    <row r="143">
      <c r="B143" s="61" t="s">
        <v>773</v>
      </c>
      <c r="C143" s="57" t="s">
        <v>27</v>
      </c>
      <c r="D143" s="61" t="s">
        <v>1971</v>
      </c>
      <c r="E143" s="11" t="s">
        <v>29</v>
      </c>
    </row>
    <row r="144">
      <c r="B144" s="61" t="s">
        <v>1972</v>
      </c>
      <c r="C144" s="57" t="s">
        <v>327</v>
      </c>
      <c r="D144" s="61" t="s">
        <v>93</v>
      </c>
      <c r="E144" s="11" t="s">
        <v>33</v>
      </c>
    </row>
    <row r="145">
      <c r="B145" s="61" t="s">
        <v>93</v>
      </c>
      <c r="C145" s="57" t="s">
        <v>193</v>
      </c>
      <c r="D145" s="61" t="s">
        <v>1300</v>
      </c>
      <c r="E145" s="11" t="s">
        <v>29</v>
      </c>
    </row>
    <row r="146">
      <c r="B146" s="61" t="s">
        <v>1972</v>
      </c>
      <c r="C146" s="57" t="s">
        <v>250</v>
      </c>
      <c r="D146" s="61" t="s">
        <v>1971</v>
      </c>
      <c r="E146" s="11" t="s">
        <v>33</v>
      </c>
    </row>
    <row r="147">
      <c r="B147" s="61" t="s">
        <v>1300</v>
      </c>
      <c r="C147" s="45" t="s">
        <v>257</v>
      </c>
      <c r="D147" s="61" t="s">
        <v>773</v>
      </c>
      <c r="E147" s="11" t="s">
        <v>29</v>
      </c>
    </row>
    <row r="148">
      <c r="B148" s="61" t="s">
        <v>93</v>
      </c>
      <c r="C148" s="45" t="s">
        <v>166</v>
      </c>
      <c r="D148" s="61" t="s">
        <v>1971</v>
      </c>
      <c r="E148" s="11" t="s">
        <v>33</v>
      </c>
    </row>
    <row r="149">
      <c r="B149" s="61" t="s">
        <v>1972</v>
      </c>
      <c r="C149" s="45" t="s">
        <v>155</v>
      </c>
      <c r="D149" s="61" t="s">
        <v>773</v>
      </c>
      <c r="E149" s="11" t="s">
        <v>29</v>
      </c>
    </row>
    <row r="150">
      <c r="B150" s="61" t="s">
        <v>1300</v>
      </c>
      <c r="C150" s="45" t="s">
        <v>302</v>
      </c>
      <c r="D150" s="61" t="s">
        <v>1971</v>
      </c>
      <c r="E150" s="11" t="s">
        <v>33</v>
      </c>
    </row>
    <row r="151">
      <c r="B151" s="61" t="s">
        <v>93</v>
      </c>
      <c r="C151" s="45" t="s">
        <v>17</v>
      </c>
      <c r="D151" s="61" t="s">
        <v>773</v>
      </c>
      <c r="E151" s="11" t="s">
        <v>29</v>
      </c>
    </row>
    <row r="152">
      <c r="B152" s="61" t="s">
        <v>1300</v>
      </c>
      <c r="C152" s="45" t="s">
        <v>162</v>
      </c>
      <c r="D152" s="61" t="s">
        <v>1972</v>
      </c>
      <c r="E152" s="11" t="s">
        <v>33</v>
      </c>
    </row>
    <row r="153">
      <c r="B153" s="61" t="s">
        <v>1971</v>
      </c>
      <c r="C153" s="45" t="s">
        <v>225</v>
      </c>
      <c r="D153" s="61" t="s">
        <v>773</v>
      </c>
      <c r="E153" s="11" t="s">
        <v>29</v>
      </c>
    </row>
    <row r="154">
      <c r="B154" s="61" t="s">
        <v>93</v>
      </c>
      <c r="C154" s="45" t="s">
        <v>198</v>
      </c>
      <c r="D154" s="61" t="s">
        <v>1972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1914</v>
      </c>
      <c r="C157" s="45" t="s">
        <v>1973</v>
      </c>
      <c r="D157" s="61" t="s">
        <v>777</v>
      </c>
      <c r="E157" s="11" t="s">
        <v>9</v>
      </c>
    </row>
    <row r="158">
      <c r="B158" s="61" t="s">
        <v>1974</v>
      </c>
      <c r="C158" s="45" t="s">
        <v>14</v>
      </c>
      <c r="D158" s="61" t="s">
        <v>1975</v>
      </c>
      <c r="E158" s="11" t="s">
        <v>13</v>
      </c>
    </row>
    <row r="159">
      <c r="B159" s="61" t="s">
        <v>1976</v>
      </c>
      <c r="C159" s="45" t="s">
        <v>185</v>
      </c>
      <c r="D159" s="61" t="s">
        <v>1914</v>
      </c>
      <c r="E159" s="11" t="s">
        <v>9</v>
      </c>
    </row>
    <row r="160">
      <c r="B160" s="61" t="s">
        <v>1974</v>
      </c>
      <c r="C160" s="45" t="s">
        <v>173</v>
      </c>
      <c r="D160" s="61" t="s">
        <v>777</v>
      </c>
      <c r="E160" s="11" t="s">
        <v>13</v>
      </c>
    </row>
    <row r="161">
      <c r="B161" s="61" t="s">
        <v>1976</v>
      </c>
      <c r="C161" s="45" t="s">
        <v>220</v>
      </c>
      <c r="D161" s="61" t="s">
        <v>1975</v>
      </c>
      <c r="E161" s="11" t="s">
        <v>9</v>
      </c>
    </row>
    <row r="162">
      <c r="B162" s="61" t="s">
        <v>1974</v>
      </c>
      <c r="C162" s="45" t="s">
        <v>43</v>
      </c>
      <c r="D162" s="61" t="s">
        <v>1914</v>
      </c>
      <c r="E162" s="11" t="s">
        <v>13</v>
      </c>
    </row>
    <row r="163">
      <c r="B163" s="61" t="s">
        <v>1976</v>
      </c>
      <c r="C163" s="45" t="s">
        <v>187</v>
      </c>
      <c r="D163" s="61" t="s">
        <v>777</v>
      </c>
      <c r="E163" s="11" t="s">
        <v>9</v>
      </c>
    </row>
    <row r="164">
      <c r="B164" s="61" t="s">
        <v>1975</v>
      </c>
      <c r="C164" s="45" t="s">
        <v>158</v>
      </c>
      <c r="D164" s="61" t="s">
        <v>1914</v>
      </c>
      <c r="E164" s="11" t="s">
        <v>13</v>
      </c>
    </row>
    <row r="165">
      <c r="B165" s="61" t="s">
        <v>1976</v>
      </c>
      <c r="C165" s="45" t="s">
        <v>157</v>
      </c>
      <c r="D165" s="61" t="s">
        <v>1974</v>
      </c>
      <c r="E165" s="11" t="s">
        <v>9</v>
      </c>
    </row>
    <row r="166">
      <c r="B166" s="61" t="s">
        <v>1975</v>
      </c>
      <c r="C166" s="45" t="s">
        <v>198</v>
      </c>
      <c r="D166" s="61" t="s">
        <v>777</v>
      </c>
      <c r="E166" s="11" t="s">
        <v>13</v>
      </c>
    </row>
    <row r="167">
      <c r="B167" s="61" t="s">
        <v>777</v>
      </c>
      <c r="C167" s="45" t="s">
        <v>439</v>
      </c>
      <c r="D167" s="61" t="s">
        <v>1914</v>
      </c>
      <c r="E167" s="11" t="s">
        <v>9</v>
      </c>
    </row>
    <row r="168">
      <c r="B168" s="61" t="s">
        <v>1975</v>
      </c>
      <c r="C168" s="45" t="s">
        <v>210</v>
      </c>
      <c r="D168" s="61" t="s">
        <v>1974</v>
      </c>
      <c r="E168" s="11" t="s">
        <v>13</v>
      </c>
    </row>
    <row r="169">
      <c r="B169" s="61" t="s">
        <v>1914</v>
      </c>
      <c r="C169" s="45" t="s">
        <v>1977</v>
      </c>
      <c r="D169" s="61" t="s">
        <v>1976</v>
      </c>
      <c r="E169" s="11" t="s">
        <v>9</v>
      </c>
    </row>
    <row r="170">
      <c r="B170" s="61" t="s">
        <v>777</v>
      </c>
      <c r="C170" s="45" t="s">
        <v>155</v>
      </c>
      <c r="D170" s="61" t="s">
        <v>1974</v>
      </c>
      <c r="E170" s="11" t="s">
        <v>13</v>
      </c>
    </row>
    <row r="171">
      <c r="B171" s="61" t="s">
        <v>1975</v>
      </c>
      <c r="C171" s="45" t="s">
        <v>163</v>
      </c>
      <c r="D171" s="61" t="s">
        <v>1976</v>
      </c>
      <c r="E171" s="11" t="s">
        <v>9</v>
      </c>
    </row>
    <row r="172">
      <c r="B172" s="61" t="s">
        <v>1914</v>
      </c>
      <c r="C172" s="45" t="s">
        <v>163</v>
      </c>
      <c r="D172" s="61" t="s">
        <v>1974</v>
      </c>
      <c r="E172" s="11" t="s">
        <v>13</v>
      </c>
    </row>
    <row r="173">
      <c r="B173" s="61" t="s">
        <v>777</v>
      </c>
      <c r="C173" s="45" t="s">
        <v>323</v>
      </c>
      <c r="D173" s="61" t="s">
        <v>1976</v>
      </c>
      <c r="E173" s="11" t="s">
        <v>9</v>
      </c>
    </row>
    <row r="174">
      <c r="B174" s="61" t="s">
        <v>1914</v>
      </c>
      <c r="C174" s="45" t="s">
        <v>257</v>
      </c>
      <c r="D174" s="61" t="s">
        <v>1975</v>
      </c>
      <c r="E174" s="11" t="s">
        <v>13</v>
      </c>
    </row>
    <row r="175">
      <c r="B175" s="61" t="s">
        <v>1974</v>
      </c>
      <c r="C175" s="45" t="s">
        <v>248</v>
      </c>
      <c r="D175" s="61" t="s">
        <v>1976</v>
      </c>
      <c r="E175" s="11" t="s">
        <v>9</v>
      </c>
    </row>
    <row r="176">
      <c r="B176" s="61" t="s">
        <v>777</v>
      </c>
      <c r="C176" s="45" t="s">
        <v>344</v>
      </c>
      <c r="D176" s="61" t="s">
        <v>1975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1670</v>
      </c>
      <c r="C179" s="45" t="s">
        <v>16</v>
      </c>
      <c r="D179" s="61" t="s">
        <v>1796</v>
      </c>
      <c r="E179" s="11" t="s">
        <v>29</v>
      </c>
    </row>
    <row r="180">
      <c r="B180" s="61" t="s">
        <v>1978</v>
      </c>
      <c r="C180" s="45" t="s">
        <v>14</v>
      </c>
      <c r="D180" s="61" t="s">
        <v>412</v>
      </c>
      <c r="E180" s="11" t="s">
        <v>33</v>
      </c>
    </row>
    <row r="181">
      <c r="B181" s="61" t="s">
        <v>1863</v>
      </c>
      <c r="C181" s="45" t="s">
        <v>157</v>
      </c>
      <c r="D181" s="61" t="s">
        <v>1670</v>
      </c>
      <c r="E181" s="11" t="s">
        <v>29</v>
      </c>
    </row>
    <row r="182">
      <c r="B182" s="61" t="s">
        <v>1978</v>
      </c>
      <c r="C182" s="45" t="s">
        <v>298</v>
      </c>
      <c r="D182" s="61" t="s">
        <v>1796</v>
      </c>
      <c r="E182" s="11" t="s">
        <v>33</v>
      </c>
    </row>
    <row r="183">
      <c r="B183" s="61" t="s">
        <v>1863</v>
      </c>
      <c r="C183" s="45" t="s">
        <v>162</v>
      </c>
      <c r="D183" s="61" t="s">
        <v>412</v>
      </c>
      <c r="E183" s="11" t="s">
        <v>29</v>
      </c>
    </row>
    <row r="184">
      <c r="B184" s="61" t="s">
        <v>1978</v>
      </c>
      <c r="C184" s="45" t="s">
        <v>17</v>
      </c>
      <c r="D184" s="61" t="s">
        <v>1670</v>
      </c>
      <c r="E184" s="11" t="s">
        <v>33</v>
      </c>
    </row>
    <row r="185">
      <c r="B185" s="61" t="s">
        <v>1863</v>
      </c>
      <c r="C185" s="45" t="s">
        <v>41</v>
      </c>
      <c r="D185" s="61" t="s">
        <v>1796</v>
      </c>
      <c r="E185" s="11" t="s">
        <v>29</v>
      </c>
    </row>
    <row r="186">
      <c r="B186" s="61" t="s">
        <v>412</v>
      </c>
      <c r="C186" s="45" t="s">
        <v>210</v>
      </c>
      <c r="D186" s="61" t="s">
        <v>1670</v>
      </c>
      <c r="E186" s="11" t="s">
        <v>33</v>
      </c>
    </row>
    <row r="187">
      <c r="B187" s="61" t="s">
        <v>1863</v>
      </c>
      <c r="C187" s="45" t="s">
        <v>230</v>
      </c>
      <c r="D187" s="61" t="s">
        <v>1978</v>
      </c>
      <c r="E187" s="11" t="s">
        <v>29</v>
      </c>
    </row>
    <row r="188">
      <c r="B188" s="61" t="s">
        <v>412</v>
      </c>
      <c r="C188" s="45" t="s">
        <v>23</v>
      </c>
      <c r="D188" s="61" t="s">
        <v>1796</v>
      </c>
      <c r="E188" s="11" t="s">
        <v>33</v>
      </c>
    </row>
    <row r="189">
      <c r="B189" s="61" t="s">
        <v>1796</v>
      </c>
      <c r="C189" s="45" t="s">
        <v>24</v>
      </c>
      <c r="D189" s="61" t="s">
        <v>1670</v>
      </c>
      <c r="E189" s="11" t="s">
        <v>29</v>
      </c>
    </row>
    <row r="190">
      <c r="B190" s="61" t="s">
        <v>412</v>
      </c>
      <c r="C190" s="45" t="s">
        <v>351</v>
      </c>
      <c r="D190" s="61" t="s">
        <v>1978</v>
      </c>
      <c r="E190" s="11" t="s">
        <v>33</v>
      </c>
    </row>
    <row r="191">
      <c r="B191" s="61" t="s">
        <v>1670</v>
      </c>
      <c r="C191" s="45" t="s">
        <v>158</v>
      </c>
      <c r="D191" s="61" t="s">
        <v>1863</v>
      </c>
      <c r="E191" s="11" t="s">
        <v>29</v>
      </c>
    </row>
    <row r="192">
      <c r="B192" s="61" t="s">
        <v>1796</v>
      </c>
      <c r="C192" s="45" t="s">
        <v>165</v>
      </c>
      <c r="D192" s="61" t="s">
        <v>1978</v>
      </c>
      <c r="E192" s="11" t="s">
        <v>33</v>
      </c>
    </row>
    <row r="193">
      <c r="B193" s="61" t="s">
        <v>412</v>
      </c>
      <c r="C193" s="45" t="s">
        <v>225</v>
      </c>
      <c r="D193" s="61" t="s">
        <v>1863</v>
      </c>
      <c r="E193" s="11" t="s">
        <v>29</v>
      </c>
    </row>
    <row r="194">
      <c r="B194" s="61" t="s">
        <v>1670</v>
      </c>
      <c r="C194" s="45" t="s">
        <v>220</v>
      </c>
      <c r="D194" s="61" t="s">
        <v>1978</v>
      </c>
      <c r="E194" s="11" t="s">
        <v>33</v>
      </c>
    </row>
    <row r="195">
      <c r="B195" s="61" t="s">
        <v>1796</v>
      </c>
      <c r="C195" s="45" t="s">
        <v>426</v>
      </c>
      <c r="D195" s="61" t="s">
        <v>1863</v>
      </c>
      <c r="E195" s="11" t="s">
        <v>29</v>
      </c>
    </row>
    <row r="196">
      <c r="B196" s="61" t="s">
        <v>1670</v>
      </c>
      <c r="C196" s="45" t="s">
        <v>163</v>
      </c>
      <c r="D196" s="61" t="s">
        <v>412</v>
      </c>
      <c r="E196" s="11" t="s">
        <v>33</v>
      </c>
    </row>
    <row r="197">
      <c r="B197" s="61" t="s">
        <v>1978</v>
      </c>
      <c r="C197" s="45" t="s">
        <v>225</v>
      </c>
      <c r="D197" s="61" t="s">
        <v>1863</v>
      </c>
      <c r="E197" s="11" t="s">
        <v>29</v>
      </c>
    </row>
    <row r="198">
      <c r="B198" s="61" t="s">
        <v>1796</v>
      </c>
      <c r="C198" s="45" t="s">
        <v>43</v>
      </c>
      <c r="D198" s="61" t="s">
        <v>412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1979</v>
      </c>
      <c r="C201" s="45" t="s">
        <v>248</v>
      </c>
      <c r="D201" s="61" t="s">
        <v>1980</v>
      </c>
      <c r="E201" s="11" t="s">
        <v>29</v>
      </c>
    </row>
    <row r="202">
      <c r="B202" s="61" t="s">
        <v>1981</v>
      </c>
      <c r="C202" s="45" t="s">
        <v>463</v>
      </c>
      <c r="D202" s="61" t="s">
        <v>1982</v>
      </c>
      <c r="E202" s="11" t="s">
        <v>33</v>
      </c>
    </row>
    <row r="203">
      <c r="B203" s="61" t="s">
        <v>1983</v>
      </c>
      <c r="C203" s="45" t="s">
        <v>18</v>
      </c>
      <c r="D203" s="61" t="s">
        <v>1979</v>
      </c>
      <c r="E203" s="11" t="s">
        <v>29</v>
      </c>
    </row>
    <row r="204">
      <c r="B204" s="61" t="s">
        <v>1981</v>
      </c>
      <c r="C204" s="45" t="s">
        <v>248</v>
      </c>
      <c r="D204" s="61" t="s">
        <v>1980</v>
      </c>
      <c r="E204" s="11" t="s">
        <v>33</v>
      </c>
    </row>
    <row r="205">
      <c r="B205" s="61" t="s">
        <v>1983</v>
      </c>
      <c r="C205" s="45" t="s">
        <v>195</v>
      </c>
      <c r="D205" s="61" t="s">
        <v>1982</v>
      </c>
      <c r="E205" s="11" t="s">
        <v>29</v>
      </c>
    </row>
    <row r="206">
      <c r="B206" s="61" t="s">
        <v>1981</v>
      </c>
      <c r="C206" s="45" t="s">
        <v>23</v>
      </c>
      <c r="D206" s="61" t="s">
        <v>1979</v>
      </c>
      <c r="E206" s="11" t="s">
        <v>33</v>
      </c>
    </row>
    <row r="207">
      <c r="B207" s="61" t="s">
        <v>1983</v>
      </c>
      <c r="C207" s="45" t="s">
        <v>17</v>
      </c>
      <c r="D207" s="61" t="s">
        <v>1980</v>
      </c>
      <c r="E207" s="11" t="s">
        <v>29</v>
      </c>
    </row>
    <row r="208">
      <c r="B208" s="61" t="s">
        <v>1982</v>
      </c>
      <c r="C208" s="45" t="s">
        <v>20</v>
      </c>
      <c r="D208" s="61" t="s">
        <v>1979</v>
      </c>
      <c r="E208" s="11" t="s">
        <v>33</v>
      </c>
    </row>
    <row r="209">
      <c r="B209" s="61" t="s">
        <v>1983</v>
      </c>
      <c r="C209" s="45" t="s">
        <v>7</v>
      </c>
      <c r="D209" s="61" t="s">
        <v>1981</v>
      </c>
      <c r="E209" s="11" t="s">
        <v>29</v>
      </c>
    </row>
    <row r="210">
      <c r="B210" s="61" t="s">
        <v>1982</v>
      </c>
      <c r="C210" s="45" t="s">
        <v>17</v>
      </c>
      <c r="D210" s="61" t="s">
        <v>1980</v>
      </c>
      <c r="E210" s="11" t="s">
        <v>33</v>
      </c>
    </row>
    <row r="211">
      <c r="B211" s="61" t="s">
        <v>1980</v>
      </c>
      <c r="C211" s="45" t="s">
        <v>44</v>
      </c>
      <c r="D211" s="61" t="s">
        <v>1979</v>
      </c>
      <c r="E211" s="11" t="s">
        <v>29</v>
      </c>
    </row>
    <row r="212">
      <c r="B212" s="61" t="s">
        <v>1982</v>
      </c>
      <c r="C212" s="45" t="s">
        <v>43</v>
      </c>
      <c r="D212" s="61" t="s">
        <v>1981</v>
      </c>
      <c r="E212" s="11" t="s">
        <v>33</v>
      </c>
    </row>
    <row r="213">
      <c r="B213" s="61" t="s">
        <v>1979</v>
      </c>
      <c r="C213" s="45" t="s">
        <v>1188</v>
      </c>
      <c r="D213" s="61" t="s">
        <v>1983</v>
      </c>
      <c r="E213" s="11" t="s">
        <v>29</v>
      </c>
    </row>
    <row r="214">
      <c r="B214" s="61" t="s">
        <v>1980</v>
      </c>
      <c r="C214" s="45" t="s">
        <v>464</v>
      </c>
      <c r="D214" s="61" t="s">
        <v>1981</v>
      </c>
      <c r="E214" s="11" t="s">
        <v>33</v>
      </c>
    </row>
    <row r="215">
      <c r="B215" s="61" t="s">
        <v>1982</v>
      </c>
      <c r="C215" s="45" t="s">
        <v>16</v>
      </c>
      <c r="D215" s="61" t="s">
        <v>1983</v>
      </c>
      <c r="E215" s="11" t="s">
        <v>29</v>
      </c>
    </row>
    <row r="216">
      <c r="B216" s="61" t="s">
        <v>1979</v>
      </c>
      <c r="C216" s="45" t="s">
        <v>381</v>
      </c>
      <c r="D216" s="61" t="s">
        <v>1981</v>
      </c>
      <c r="E216" s="11" t="s">
        <v>33</v>
      </c>
    </row>
    <row r="217">
      <c r="B217" s="61" t="s">
        <v>1980</v>
      </c>
      <c r="C217" s="45" t="s">
        <v>362</v>
      </c>
      <c r="D217" s="61" t="s">
        <v>1983</v>
      </c>
      <c r="E217" s="11" t="s">
        <v>29</v>
      </c>
    </row>
    <row r="218">
      <c r="B218" s="61" t="s">
        <v>1979</v>
      </c>
      <c r="C218" s="45" t="s">
        <v>177</v>
      </c>
      <c r="D218" s="61" t="s">
        <v>1982</v>
      </c>
      <c r="E218" s="11" t="s">
        <v>33</v>
      </c>
    </row>
    <row r="219">
      <c r="B219" s="61" t="s">
        <v>1981</v>
      </c>
      <c r="C219" s="45" t="s">
        <v>161</v>
      </c>
      <c r="D219" s="61" t="s">
        <v>1983</v>
      </c>
      <c r="E219" s="11" t="s">
        <v>29</v>
      </c>
    </row>
    <row r="220">
      <c r="B220" s="61" t="s">
        <v>1980</v>
      </c>
      <c r="C220" s="45" t="s">
        <v>327</v>
      </c>
      <c r="D220" s="61" t="s">
        <v>1982</v>
      </c>
      <c r="E220" s="11" t="s">
        <v>33</v>
      </c>
    </row>
    <row r="221">
      <c r="B221" s="52" t="s">
        <v>1803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1924</v>
      </c>
      <c r="C223" s="57" t="s">
        <v>173</v>
      </c>
      <c r="D223" s="62" t="s">
        <v>1984</v>
      </c>
      <c r="E223" s="11" t="s">
        <v>9</v>
      </c>
    </row>
    <row r="224">
      <c r="B224" s="62" t="s">
        <v>772</v>
      </c>
      <c r="C224" s="57" t="s">
        <v>638</v>
      </c>
      <c r="D224" s="62" t="s">
        <v>1985</v>
      </c>
      <c r="E224" s="11" t="s">
        <v>13</v>
      </c>
    </row>
    <row r="225">
      <c r="B225" s="62" t="s">
        <v>1986</v>
      </c>
      <c r="C225" s="57" t="s">
        <v>164</v>
      </c>
      <c r="D225" s="62" t="s">
        <v>1924</v>
      </c>
      <c r="E225" s="11" t="s">
        <v>9</v>
      </c>
    </row>
    <row r="226">
      <c r="B226" s="62" t="s">
        <v>772</v>
      </c>
      <c r="C226" s="57" t="s">
        <v>20</v>
      </c>
      <c r="D226" s="62" t="s">
        <v>1984</v>
      </c>
      <c r="E226" s="11" t="s">
        <v>13</v>
      </c>
    </row>
    <row r="227">
      <c r="B227" s="62" t="s">
        <v>1986</v>
      </c>
      <c r="C227" s="57" t="s">
        <v>18</v>
      </c>
      <c r="D227" s="62" t="s">
        <v>1985</v>
      </c>
      <c r="E227" s="11" t="s">
        <v>9</v>
      </c>
    </row>
    <row r="228">
      <c r="B228" s="62" t="s">
        <v>772</v>
      </c>
      <c r="C228" s="57" t="s">
        <v>281</v>
      </c>
      <c r="D228" s="62" t="s">
        <v>1924</v>
      </c>
      <c r="E228" s="11" t="s">
        <v>13</v>
      </c>
    </row>
    <row r="229">
      <c r="B229" s="62" t="s">
        <v>1986</v>
      </c>
      <c r="C229" s="57" t="s">
        <v>22</v>
      </c>
      <c r="D229" s="62" t="s">
        <v>1984</v>
      </c>
      <c r="E229" s="11" t="s">
        <v>9</v>
      </c>
    </row>
    <row r="230">
      <c r="B230" s="62" t="s">
        <v>1985</v>
      </c>
      <c r="C230" s="57" t="s">
        <v>302</v>
      </c>
      <c r="D230" s="62" t="s">
        <v>1924</v>
      </c>
      <c r="E230" s="11" t="s">
        <v>13</v>
      </c>
    </row>
    <row r="231">
      <c r="B231" s="62" t="s">
        <v>1986</v>
      </c>
      <c r="C231" s="57" t="s">
        <v>18</v>
      </c>
      <c r="D231" s="62" t="s">
        <v>772</v>
      </c>
      <c r="E231" s="11" t="s">
        <v>9</v>
      </c>
    </row>
    <row r="232">
      <c r="B232" s="62" t="s">
        <v>1985</v>
      </c>
      <c r="C232" s="57" t="s">
        <v>181</v>
      </c>
      <c r="D232" s="62" t="s">
        <v>1984</v>
      </c>
      <c r="E232" s="11" t="s">
        <v>13</v>
      </c>
    </row>
    <row r="233">
      <c r="B233" s="62" t="s">
        <v>1984</v>
      </c>
      <c r="C233" s="57" t="s">
        <v>193</v>
      </c>
      <c r="D233" s="62" t="s">
        <v>1924</v>
      </c>
      <c r="E233" s="11" t="s">
        <v>9</v>
      </c>
    </row>
    <row r="234">
      <c r="B234" s="62" t="s">
        <v>1985</v>
      </c>
      <c r="C234" s="57" t="s">
        <v>325</v>
      </c>
      <c r="D234" s="62" t="s">
        <v>772</v>
      </c>
      <c r="E234" s="11" t="s">
        <v>13</v>
      </c>
    </row>
    <row r="235">
      <c r="B235" s="62" t="s">
        <v>1924</v>
      </c>
      <c r="C235" s="45" t="s">
        <v>16</v>
      </c>
      <c r="D235" s="62" t="s">
        <v>1986</v>
      </c>
      <c r="E235" s="11" t="s">
        <v>9</v>
      </c>
    </row>
    <row r="236">
      <c r="B236" s="62" t="s">
        <v>1984</v>
      </c>
      <c r="C236" s="45" t="s">
        <v>302</v>
      </c>
      <c r="D236" s="62" t="s">
        <v>772</v>
      </c>
      <c r="E236" s="11" t="s">
        <v>13</v>
      </c>
    </row>
    <row r="237">
      <c r="B237" s="62" t="s">
        <v>1985</v>
      </c>
      <c r="C237" s="45" t="s">
        <v>227</v>
      </c>
      <c r="D237" s="62" t="s">
        <v>1986</v>
      </c>
      <c r="E237" s="11" t="s">
        <v>9</v>
      </c>
    </row>
    <row r="238">
      <c r="B238" s="62" t="s">
        <v>1924</v>
      </c>
      <c r="C238" s="45" t="s">
        <v>545</v>
      </c>
      <c r="D238" s="62" t="s">
        <v>772</v>
      </c>
      <c r="E238" s="11" t="s">
        <v>13</v>
      </c>
    </row>
    <row r="239">
      <c r="B239" s="62" t="s">
        <v>1984</v>
      </c>
      <c r="C239" s="45" t="s">
        <v>554</v>
      </c>
      <c r="D239" s="62" t="s">
        <v>1986</v>
      </c>
      <c r="E239" s="11" t="s">
        <v>9</v>
      </c>
    </row>
    <row r="240">
      <c r="B240" s="62" t="s">
        <v>1924</v>
      </c>
      <c r="C240" s="45" t="s">
        <v>289</v>
      </c>
      <c r="D240" s="62" t="s">
        <v>1985</v>
      </c>
      <c r="E240" s="11" t="s">
        <v>13</v>
      </c>
    </row>
    <row r="241">
      <c r="B241" s="62" t="s">
        <v>772</v>
      </c>
      <c r="C241" s="45" t="s">
        <v>248</v>
      </c>
      <c r="D241" s="62" t="s">
        <v>1986</v>
      </c>
      <c r="E241" s="11" t="s">
        <v>9</v>
      </c>
    </row>
    <row r="242">
      <c r="B242" s="62" t="s">
        <v>1984</v>
      </c>
      <c r="C242" s="45" t="s">
        <v>158</v>
      </c>
      <c r="D242" s="62" t="s">
        <v>1985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1655</v>
      </c>
      <c r="C245" s="45" t="s">
        <v>665</v>
      </c>
      <c r="D245" s="62" t="s">
        <v>1168</v>
      </c>
      <c r="E245" s="11" t="s">
        <v>9</v>
      </c>
    </row>
    <row r="246">
      <c r="B246" s="62" t="s">
        <v>1929</v>
      </c>
      <c r="C246" s="45" t="s">
        <v>20</v>
      </c>
      <c r="D246" s="62" t="s">
        <v>141</v>
      </c>
      <c r="E246" s="11" t="s">
        <v>13</v>
      </c>
    </row>
    <row r="247">
      <c r="B247" s="62" t="s">
        <v>1987</v>
      </c>
      <c r="C247" s="45" t="s">
        <v>171</v>
      </c>
      <c r="D247" s="62" t="s">
        <v>1655</v>
      </c>
      <c r="E247" s="11" t="s">
        <v>9</v>
      </c>
    </row>
    <row r="248">
      <c r="B248" s="62" t="s">
        <v>1929</v>
      </c>
      <c r="C248" s="45" t="s">
        <v>18</v>
      </c>
      <c r="D248" s="62" t="s">
        <v>1168</v>
      </c>
      <c r="E248" s="11" t="s">
        <v>13</v>
      </c>
    </row>
    <row r="249">
      <c r="B249" s="62" t="s">
        <v>1987</v>
      </c>
      <c r="C249" s="45" t="s">
        <v>161</v>
      </c>
      <c r="D249" s="62" t="s">
        <v>141</v>
      </c>
      <c r="E249" s="11" t="s">
        <v>9</v>
      </c>
    </row>
    <row r="250">
      <c r="B250" s="62" t="s">
        <v>1929</v>
      </c>
      <c r="C250" s="45" t="s">
        <v>158</v>
      </c>
      <c r="D250" s="62" t="s">
        <v>1655</v>
      </c>
      <c r="E250" s="11" t="s">
        <v>13</v>
      </c>
    </row>
    <row r="251">
      <c r="B251" s="62" t="s">
        <v>1987</v>
      </c>
      <c r="C251" s="45" t="s">
        <v>357</v>
      </c>
      <c r="D251" s="62" t="s">
        <v>1168</v>
      </c>
      <c r="E251" s="11" t="s">
        <v>9</v>
      </c>
    </row>
    <row r="252">
      <c r="B252" s="62" t="s">
        <v>141</v>
      </c>
      <c r="C252" s="45" t="s">
        <v>219</v>
      </c>
      <c r="D252" s="62" t="s">
        <v>1655</v>
      </c>
      <c r="E252" s="11" t="s">
        <v>13</v>
      </c>
    </row>
    <row r="253">
      <c r="B253" s="62" t="s">
        <v>1987</v>
      </c>
      <c r="C253" s="45" t="s">
        <v>17</v>
      </c>
      <c r="D253" s="62" t="s">
        <v>1929</v>
      </c>
      <c r="E253" s="11" t="s">
        <v>9</v>
      </c>
    </row>
    <row r="254">
      <c r="B254" s="62" t="s">
        <v>141</v>
      </c>
      <c r="C254" s="45" t="s">
        <v>230</v>
      </c>
      <c r="D254" s="62" t="s">
        <v>1168</v>
      </c>
      <c r="E254" s="11" t="s">
        <v>13</v>
      </c>
    </row>
    <row r="255">
      <c r="B255" s="62" t="s">
        <v>1168</v>
      </c>
      <c r="C255" s="45" t="s">
        <v>218</v>
      </c>
      <c r="D255" s="62" t="s">
        <v>1655</v>
      </c>
      <c r="E255" s="11" t="s">
        <v>9</v>
      </c>
    </row>
    <row r="256">
      <c r="B256" s="62" t="s">
        <v>141</v>
      </c>
      <c r="C256" s="45" t="s">
        <v>155</v>
      </c>
      <c r="D256" s="62" t="s">
        <v>1929</v>
      </c>
      <c r="E256" s="11" t="s">
        <v>13</v>
      </c>
    </row>
    <row r="257">
      <c r="B257" s="62" t="s">
        <v>1655</v>
      </c>
      <c r="C257" s="45" t="s">
        <v>344</v>
      </c>
      <c r="D257" s="62" t="s">
        <v>1987</v>
      </c>
      <c r="E257" s="11" t="s">
        <v>9</v>
      </c>
    </row>
    <row r="258">
      <c r="B258" s="62" t="s">
        <v>1168</v>
      </c>
      <c r="C258" s="45" t="s">
        <v>225</v>
      </c>
      <c r="D258" s="62" t="s">
        <v>1929</v>
      </c>
      <c r="E258" s="11" t="s">
        <v>13</v>
      </c>
    </row>
    <row r="259">
      <c r="B259" s="62" t="s">
        <v>141</v>
      </c>
      <c r="C259" s="45" t="s">
        <v>426</v>
      </c>
      <c r="D259" s="62" t="s">
        <v>1987</v>
      </c>
      <c r="E259" s="11" t="s">
        <v>9</v>
      </c>
    </row>
    <row r="260">
      <c r="B260" s="62" t="s">
        <v>1655</v>
      </c>
      <c r="C260" s="45" t="s">
        <v>181</v>
      </c>
      <c r="D260" s="62" t="s">
        <v>1929</v>
      </c>
      <c r="E260" s="11" t="s">
        <v>13</v>
      </c>
    </row>
    <row r="261">
      <c r="B261" s="62" t="s">
        <v>1168</v>
      </c>
      <c r="C261" s="45" t="s">
        <v>354</v>
      </c>
      <c r="D261" s="62" t="s">
        <v>1987</v>
      </c>
      <c r="E261" s="11" t="s">
        <v>9</v>
      </c>
    </row>
    <row r="262">
      <c r="B262" s="62" t="s">
        <v>1655</v>
      </c>
      <c r="C262" s="45" t="s">
        <v>27</v>
      </c>
      <c r="D262" s="62" t="s">
        <v>141</v>
      </c>
      <c r="E262" s="11" t="s">
        <v>13</v>
      </c>
    </row>
    <row r="263">
      <c r="B263" s="62" t="s">
        <v>1929</v>
      </c>
      <c r="C263" s="45" t="s">
        <v>18</v>
      </c>
      <c r="D263" s="62" t="s">
        <v>1987</v>
      </c>
      <c r="E263" s="11" t="s">
        <v>9</v>
      </c>
    </row>
    <row r="264">
      <c r="B264" s="62" t="s">
        <v>1168</v>
      </c>
      <c r="C264" s="45" t="s">
        <v>280</v>
      </c>
      <c r="D264" s="62" t="s">
        <v>141</v>
      </c>
      <c r="E264" s="11" t="s">
        <v>13</v>
      </c>
    </row>
    <row r="265">
      <c r="B265" s="52" t="s">
        <v>100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1988</v>
      </c>
      <c r="C267" s="45" t="s">
        <v>433</v>
      </c>
      <c r="D267" s="62" t="s">
        <v>1989</v>
      </c>
      <c r="E267" s="11" t="s">
        <v>29</v>
      </c>
    </row>
    <row r="268">
      <c r="B268" s="62" t="s">
        <v>1990</v>
      </c>
      <c r="C268" s="45" t="s">
        <v>7</v>
      </c>
      <c r="D268" s="62" t="s">
        <v>1991</v>
      </c>
      <c r="E268" s="11" t="s">
        <v>33</v>
      </c>
    </row>
    <row r="269">
      <c r="B269" s="62" t="s">
        <v>1932</v>
      </c>
      <c r="C269" s="45" t="s">
        <v>281</v>
      </c>
      <c r="D269" s="62" t="s">
        <v>1988</v>
      </c>
      <c r="E269" s="11" t="s">
        <v>29</v>
      </c>
    </row>
    <row r="270">
      <c r="B270" s="62" t="s">
        <v>1990</v>
      </c>
      <c r="C270" s="45" t="s">
        <v>449</v>
      </c>
      <c r="D270" s="62" t="s">
        <v>1989</v>
      </c>
      <c r="E270" s="11" t="s">
        <v>33</v>
      </c>
    </row>
    <row r="271">
      <c r="B271" s="62" t="s">
        <v>1932</v>
      </c>
      <c r="C271" s="45" t="s">
        <v>181</v>
      </c>
      <c r="D271" s="62" t="s">
        <v>1991</v>
      </c>
      <c r="E271" s="11" t="s">
        <v>29</v>
      </c>
    </row>
    <row r="272">
      <c r="B272" s="62" t="s">
        <v>1990</v>
      </c>
      <c r="C272" s="45" t="s">
        <v>18</v>
      </c>
      <c r="D272" s="62" t="s">
        <v>1988</v>
      </c>
      <c r="E272" s="11" t="s">
        <v>33</v>
      </c>
    </row>
    <row r="273">
      <c r="B273" s="62" t="s">
        <v>1932</v>
      </c>
      <c r="C273" s="45" t="s">
        <v>576</v>
      </c>
      <c r="D273" s="62" t="s">
        <v>1989</v>
      </c>
      <c r="E273" s="11" t="s">
        <v>29</v>
      </c>
    </row>
    <row r="274">
      <c r="B274" s="62" t="s">
        <v>1991</v>
      </c>
      <c r="C274" s="45" t="s">
        <v>14</v>
      </c>
      <c r="D274" s="62" t="s">
        <v>1988</v>
      </c>
      <c r="E274" s="11" t="s">
        <v>33</v>
      </c>
    </row>
    <row r="275">
      <c r="B275" s="62" t="s">
        <v>1932</v>
      </c>
      <c r="C275" s="45" t="s">
        <v>279</v>
      </c>
      <c r="D275" s="62" t="s">
        <v>1990</v>
      </c>
      <c r="E275" s="11" t="s">
        <v>29</v>
      </c>
    </row>
    <row r="276">
      <c r="B276" s="62" t="s">
        <v>1991</v>
      </c>
      <c r="C276" s="45" t="s">
        <v>251</v>
      </c>
      <c r="D276" s="62" t="s">
        <v>1989</v>
      </c>
      <c r="E276" s="11" t="s">
        <v>33</v>
      </c>
    </row>
    <row r="277">
      <c r="B277" s="62" t="s">
        <v>1989</v>
      </c>
      <c r="C277" s="45" t="s">
        <v>549</v>
      </c>
      <c r="D277" s="62" t="s">
        <v>1988</v>
      </c>
      <c r="E277" s="11" t="s">
        <v>29</v>
      </c>
    </row>
    <row r="278">
      <c r="B278" s="62" t="s">
        <v>1991</v>
      </c>
      <c r="C278" s="45" t="s">
        <v>158</v>
      </c>
      <c r="D278" s="62" t="s">
        <v>1990</v>
      </c>
      <c r="E278" s="11" t="s">
        <v>33</v>
      </c>
    </row>
    <row r="279">
      <c r="B279" s="62" t="s">
        <v>1988</v>
      </c>
      <c r="C279" s="45" t="s">
        <v>155</v>
      </c>
      <c r="D279" s="62" t="s">
        <v>1932</v>
      </c>
      <c r="E279" s="11" t="s">
        <v>29</v>
      </c>
    </row>
    <row r="280">
      <c r="B280" s="62" t="s">
        <v>1989</v>
      </c>
      <c r="C280" s="45" t="s">
        <v>193</v>
      </c>
      <c r="D280" s="62" t="s">
        <v>1990</v>
      </c>
      <c r="E280" s="11" t="s">
        <v>33</v>
      </c>
    </row>
    <row r="281">
      <c r="B281" s="62" t="s">
        <v>1991</v>
      </c>
      <c r="C281" s="45" t="s">
        <v>185</v>
      </c>
      <c r="D281" s="62" t="s">
        <v>1932</v>
      </c>
      <c r="E281" s="11" t="s">
        <v>29</v>
      </c>
    </row>
    <row r="282">
      <c r="B282" s="62" t="s">
        <v>1988</v>
      </c>
      <c r="C282" s="45" t="s">
        <v>208</v>
      </c>
      <c r="D282" s="62" t="s">
        <v>1990</v>
      </c>
      <c r="E282" s="11" t="s">
        <v>33</v>
      </c>
    </row>
    <row r="283">
      <c r="B283" s="62" t="s">
        <v>1989</v>
      </c>
      <c r="C283" s="45" t="s">
        <v>366</v>
      </c>
      <c r="D283" s="62" t="s">
        <v>1932</v>
      </c>
      <c r="E283" s="11" t="s">
        <v>29</v>
      </c>
    </row>
    <row r="284">
      <c r="B284" s="62" t="s">
        <v>1988</v>
      </c>
      <c r="C284" s="45" t="s">
        <v>1389</v>
      </c>
      <c r="D284" s="62" t="s">
        <v>1991</v>
      </c>
      <c r="E284" s="11" t="s">
        <v>33</v>
      </c>
    </row>
    <row r="285">
      <c r="B285" s="62" t="s">
        <v>1990</v>
      </c>
      <c r="C285" s="45" t="s">
        <v>182</v>
      </c>
      <c r="D285" s="62" t="s">
        <v>1932</v>
      </c>
      <c r="E285" s="11" t="s">
        <v>29</v>
      </c>
    </row>
    <row r="286">
      <c r="B286" s="62" t="s">
        <v>1989</v>
      </c>
      <c r="C286" s="45" t="s">
        <v>303</v>
      </c>
      <c r="D286" s="62" t="s">
        <v>1991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1992</v>
      </c>
      <c r="C289" s="45" t="s">
        <v>442</v>
      </c>
      <c r="D289" s="62" t="s">
        <v>1993</v>
      </c>
      <c r="E289" s="11" t="s">
        <v>29</v>
      </c>
    </row>
    <row r="290">
      <c r="B290" s="62" t="s">
        <v>1994</v>
      </c>
      <c r="C290" s="45" t="s">
        <v>181</v>
      </c>
      <c r="D290" s="62" t="s">
        <v>1995</v>
      </c>
      <c r="E290" s="11" t="s">
        <v>33</v>
      </c>
    </row>
    <row r="291">
      <c r="B291" s="62" t="s">
        <v>1996</v>
      </c>
      <c r="C291" s="45" t="s">
        <v>18</v>
      </c>
      <c r="D291" s="62" t="s">
        <v>1992</v>
      </c>
      <c r="E291" s="11" t="s">
        <v>29</v>
      </c>
    </row>
    <row r="292">
      <c r="B292" s="62" t="s">
        <v>1994</v>
      </c>
      <c r="C292" s="45" t="s">
        <v>205</v>
      </c>
      <c r="D292" s="62" t="s">
        <v>1993</v>
      </c>
      <c r="E292" s="11" t="s">
        <v>33</v>
      </c>
    </row>
    <row r="293">
      <c r="B293" s="62" t="s">
        <v>1996</v>
      </c>
      <c r="C293" s="45" t="s">
        <v>43</v>
      </c>
      <c r="D293" s="62" t="s">
        <v>1995</v>
      </c>
      <c r="E293" s="11" t="s">
        <v>29</v>
      </c>
    </row>
    <row r="294">
      <c r="B294" s="62" t="s">
        <v>1994</v>
      </c>
      <c r="C294" s="45" t="s">
        <v>219</v>
      </c>
      <c r="D294" s="62" t="s">
        <v>1992</v>
      </c>
      <c r="E294" s="11" t="s">
        <v>33</v>
      </c>
    </row>
    <row r="295">
      <c r="B295" s="62" t="s">
        <v>1996</v>
      </c>
      <c r="C295" s="45" t="s">
        <v>18</v>
      </c>
      <c r="D295" s="62" t="s">
        <v>1993</v>
      </c>
      <c r="E295" s="11" t="s">
        <v>29</v>
      </c>
    </row>
    <row r="296">
      <c r="B296" s="62" t="s">
        <v>1995</v>
      </c>
      <c r="C296" s="45" t="s">
        <v>185</v>
      </c>
      <c r="D296" s="62" t="s">
        <v>1992</v>
      </c>
      <c r="E296" s="11" t="s">
        <v>33</v>
      </c>
    </row>
    <row r="297">
      <c r="B297" s="62" t="s">
        <v>1996</v>
      </c>
      <c r="C297" s="45" t="s">
        <v>219</v>
      </c>
      <c r="D297" s="62" t="s">
        <v>1994</v>
      </c>
      <c r="E297" s="11" t="s">
        <v>29</v>
      </c>
    </row>
    <row r="298">
      <c r="B298" s="62" t="s">
        <v>1995</v>
      </c>
      <c r="C298" s="45" t="s">
        <v>248</v>
      </c>
      <c r="D298" s="62" t="s">
        <v>1993</v>
      </c>
      <c r="E298" s="11" t="s">
        <v>33</v>
      </c>
    </row>
    <row r="299">
      <c r="B299" s="62" t="s">
        <v>1993</v>
      </c>
      <c r="C299" s="45" t="s">
        <v>433</v>
      </c>
      <c r="D299" s="62" t="s">
        <v>1992</v>
      </c>
      <c r="E299" s="11" t="s">
        <v>29</v>
      </c>
    </row>
    <row r="300">
      <c r="B300" s="62" t="s">
        <v>1995</v>
      </c>
      <c r="C300" s="45" t="s">
        <v>166</v>
      </c>
      <c r="D300" s="62" t="s">
        <v>1994</v>
      </c>
      <c r="E300" s="11" t="s">
        <v>33</v>
      </c>
    </row>
    <row r="301">
      <c r="B301" s="62" t="s">
        <v>1992</v>
      </c>
      <c r="C301" s="45" t="s">
        <v>212</v>
      </c>
      <c r="D301" s="62" t="s">
        <v>1996</v>
      </c>
      <c r="E301" s="11" t="s">
        <v>29</v>
      </c>
    </row>
    <row r="302">
      <c r="B302" s="62" t="s">
        <v>1993</v>
      </c>
      <c r="C302" s="45" t="s">
        <v>239</v>
      </c>
      <c r="D302" s="62" t="s">
        <v>1994</v>
      </c>
      <c r="E302" s="11" t="s">
        <v>33</v>
      </c>
    </row>
    <row r="303">
      <c r="B303" s="62" t="s">
        <v>1995</v>
      </c>
      <c r="C303" s="45" t="s">
        <v>344</v>
      </c>
      <c r="D303" s="62" t="s">
        <v>1996</v>
      </c>
      <c r="E303" s="11" t="s">
        <v>29</v>
      </c>
    </row>
    <row r="304">
      <c r="B304" s="62" t="s">
        <v>1992</v>
      </c>
      <c r="C304" s="45" t="s">
        <v>157</v>
      </c>
      <c r="D304" s="62" t="s">
        <v>1994</v>
      </c>
      <c r="E304" s="11" t="s">
        <v>33</v>
      </c>
    </row>
    <row r="305">
      <c r="B305" s="62" t="s">
        <v>1993</v>
      </c>
      <c r="C305" s="45" t="s">
        <v>41</v>
      </c>
      <c r="D305" s="62" t="s">
        <v>1996</v>
      </c>
      <c r="E305" s="11" t="s">
        <v>29</v>
      </c>
    </row>
    <row r="306">
      <c r="B306" s="62" t="s">
        <v>1992</v>
      </c>
      <c r="C306" s="45" t="s">
        <v>203</v>
      </c>
      <c r="D306" s="62" t="s">
        <v>1995</v>
      </c>
      <c r="E306" s="11" t="s">
        <v>33</v>
      </c>
    </row>
    <row r="307">
      <c r="B307" s="62" t="s">
        <v>1994</v>
      </c>
      <c r="C307" s="45" t="s">
        <v>1997</v>
      </c>
      <c r="D307" s="62" t="s">
        <v>1996</v>
      </c>
      <c r="E307" s="11" t="s">
        <v>29</v>
      </c>
    </row>
    <row r="308">
      <c r="B308" s="62" t="s">
        <v>1993</v>
      </c>
      <c r="C308" s="45" t="s">
        <v>189</v>
      </c>
      <c r="D308" s="62" t="s">
        <v>1995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347</v>
      </c>
      <c r="C311" s="57" t="s">
        <v>342</v>
      </c>
      <c r="D311" s="62" t="s">
        <v>1998</v>
      </c>
      <c r="E311" s="11" t="s">
        <v>9</v>
      </c>
    </row>
    <row r="312">
      <c r="B312" s="62" t="s">
        <v>1999</v>
      </c>
      <c r="C312" s="57" t="s">
        <v>177</v>
      </c>
      <c r="D312" s="62" t="s">
        <v>1883</v>
      </c>
      <c r="E312" s="11" t="s">
        <v>13</v>
      </c>
    </row>
    <row r="313">
      <c r="B313" s="62" t="s">
        <v>1886</v>
      </c>
      <c r="C313" s="57" t="s">
        <v>158</v>
      </c>
      <c r="D313" s="62" t="s">
        <v>347</v>
      </c>
      <c r="E313" s="11" t="s">
        <v>9</v>
      </c>
    </row>
    <row r="314">
      <c r="B314" s="62" t="s">
        <v>1999</v>
      </c>
      <c r="C314" s="57" t="s">
        <v>176</v>
      </c>
      <c r="D314" s="62" t="s">
        <v>1998</v>
      </c>
      <c r="E314" s="11" t="s">
        <v>13</v>
      </c>
    </row>
    <row r="315">
      <c r="B315" s="62" t="s">
        <v>1886</v>
      </c>
      <c r="C315" s="57" t="s">
        <v>449</v>
      </c>
      <c r="D315" s="62" t="s">
        <v>1883</v>
      </c>
      <c r="E315" s="11" t="s">
        <v>9</v>
      </c>
    </row>
    <row r="316">
      <c r="B316" s="62" t="s">
        <v>1999</v>
      </c>
      <c r="C316" s="57" t="s">
        <v>181</v>
      </c>
      <c r="D316" s="62" t="s">
        <v>347</v>
      </c>
      <c r="E316" s="11" t="s">
        <v>13</v>
      </c>
    </row>
    <row r="317">
      <c r="B317" s="62" t="s">
        <v>1886</v>
      </c>
      <c r="C317" s="57" t="s">
        <v>184</v>
      </c>
      <c r="D317" s="62" t="s">
        <v>1998</v>
      </c>
      <c r="E317" s="11" t="s">
        <v>9</v>
      </c>
    </row>
    <row r="318">
      <c r="B318" s="62" t="s">
        <v>1883</v>
      </c>
      <c r="C318" s="57" t="s">
        <v>394</v>
      </c>
      <c r="D318" s="62" t="s">
        <v>347</v>
      </c>
      <c r="E318" s="11" t="s">
        <v>13</v>
      </c>
    </row>
    <row r="319">
      <c r="B319" s="62" t="s">
        <v>1886</v>
      </c>
      <c r="C319" s="57" t="s">
        <v>304</v>
      </c>
      <c r="D319" s="62" t="s">
        <v>1999</v>
      </c>
      <c r="E319" s="11" t="s">
        <v>9</v>
      </c>
    </row>
    <row r="320">
      <c r="B320" s="62" t="s">
        <v>1883</v>
      </c>
      <c r="C320" s="57" t="s">
        <v>251</v>
      </c>
      <c r="D320" s="62" t="s">
        <v>1998</v>
      </c>
      <c r="E320" s="11" t="s">
        <v>13</v>
      </c>
    </row>
    <row r="321">
      <c r="B321" s="62" t="s">
        <v>1998</v>
      </c>
      <c r="C321" s="57" t="s">
        <v>2000</v>
      </c>
      <c r="D321" s="62" t="s">
        <v>347</v>
      </c>
      <c r="E321" s="11" t="s">
        <v>9</v>
      </c>
    </row>
    <row r="322">
      <c r="B322" s="62" t="s">
        <v>1883</v>
      </c>
      <c r="C322" s="57" t="s">
        <v>193</v>
      </c>
      <c r="D322" s="62" t="s">
        <v>1999</v>
      </c>
      <c r="E322" s="11" t="s">
        <v>13</v>
      </c>
    </row>
    <row r="323">
      <c r="B323" s="62" t="s">
        <v>347</v>
      </c>
      <c r="C323" s="45" t="s">
        <v>194</v>
      </c>
      <c r="D323" s="62" t="s">
        <v>1886</v>
      </c>
      <c r="E323" s="11" t="s">
        <v>9</v>
      </c>
    </row>
    <row r="324">
      <c r="B324" s="62" t="s">
        <v>1998</v>
      </c>
      <c r="C324" s="45" t="s">
        <v>42</v>
      </c>
      <c r="D324" s="62" t="s">
        <v>1999</v>
      </c>
      <c r="E324" s="11" t="s">
        <v>13</v>
      </c>
    </row>
    <row r="325">
      <c r="B325" s="62" t="s">
        <v>1883</v>
      </c>
      <c r="C325" s="45" t="s">
        <v>181</v>
      </c>
      <c r="D325" s="62" t="s">
        <v>1886</v>
      </c>
      <c r="E325" s="11" t="s">
        <v>9</v>
      </c>
    </row>
    <row r="326">
      <c r="B326" s="62" t="s">
        <v>347</v>
      </c>
      <c r="C326" s="45" t="s">
        <v>19</v>
      </c>
      <c r="D326" s="62" t="s">
        <v>1999</v>
      </c>
      <c r="E326" s="11" t="s">
        <v>13</v>
      </c>
    </row>
    <row r="327">
      <c r="B327" s="62" t="s">
        <v>1998</v>
      </c>
      <c r="C327" s="45" t="s">
        <v>163</v>
      </c>
      <c r="D327" s="62" t="s">
        <v>1886</v>
      </c>
      <c r="E327" s="11" t="s">
        <v>9</v>
      </c>
    </row>
    <row r="328">
      <c r="B328" s="62" t="s">
        <v>347</v>
      </c>
      <c r="C328" s="45" t="s">
        <v>210</v>
      </c>
      <c r="D328" s="62" t="s">
        <v>1883</v>
      </c>
      <c r="E328" s="11" t="s">
        <v>13</v>
      </c>
    </row>
    <row r="329">
      <c r="B329" s="62" t="s">
        <v>1999</v>
      </c>
      <c r="C329" s="45" t="s">
        <v>2001</v>
      </c>
      <c r="D329" s="62" t="s">
        <v>1886</v>
      </c>
      <c r="E329" s="11" t="s">
        <v>9</v>
      </c>
    </row>
    <row r="330">
      <c r="B330" s="62" t="s">
        <v>1998</v>
      </c>
      <c r="C330" s="45" t="s">
        <v>2002</v>
      </c>
      <c r="D330" s="62" t="s">
        <v>1883</v>
      </c>
      <c r="E330" s="11" t="s">
        <v>13</v>
      </c>
    </row>
    <row r="331">
      <c r="B331" s="52" t="s">
        <v>122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2003</v>
      </c>
      <c r="C333" s="45" t="s">
        <v>219</v>
      </c>
      <c r="D333" s="62" t="s">
        <v>2004</v>
      </c>
      <c r="E333" s="11" t="s">
        <v>29</v>
      </c>
    </row>
    <row r="334">
      <c r="B334" s="62" t="s">
        <v>2005</v>
      </c>
      <c r="C334" s="45" t="s">
        <v>158</v>
      </c>
      <c r="D334" s="62" t="s">
        <v>1946</v>
      </c>
      <c r="E334" s="11" t="s">
        <v>33</v>
      </c>
      <c r="G334" s="50"/>
    </row>
    <row r="335">
      <c r="B335" s="62" t="s">
        <v>2006</v>
      </c>
      <c r="C335" s="45" t="s">
        <v>248</v>
      </c>
      <c r="D335" s="62" t="s">
        <v>2003</v>
      </c>
      <c r="E335" s="11" t="s">
        <v>29</v>
      </c>
    </row>
    <row r="336">
      <c r="B336" s="62" t="s">
        <v>2005</v>
      </c>
      <c r="C336" s="45" t="s">
        <v>248</v>
      </c>
      <c r="D336" s="62" t="s">
        <v>2004</v>
      </c>
      <c r="E336" s="11" t="s">
        <v>33</v>
      </c>
      <c r="I336" s="50"/>
    </row>
    <row r="337">
      <c r="B337" s="62" t="s">
        <v>2006</v>
      </c>
      <c r="C337" s="45" t="s">
        <v>42</v>
      </c>
      <c r="D337" s="62" t="s">
        <v>1946</v>
      </c>
      <c r="E337" s="11" t="s">
        <v>29</v>
      </c>
    </row>
    <row r="338">
      <c r="B338" s="62" t="s">
        <v>2005</v>
      </c>
      <c r="C338" s="45" t="s">
        <v>17</v>
      </c>
      <c r="D338" s="62" t="s">
        <v>2003</v>
      </c>
      <c r="E338" s="11" t="s">
        <v>33</v>
      </c>
    </row>
    <row r="339">
      <c r="B339" s="62" t="s">
        <v>2006</v>
      </c>
      <c r="C339" s="45" t="s">
        <v>344</v>
      </c>
      <c r="D339" s="62" t="s">
        <v>2004</v>
      </c>
      <c r="E339" s="11" t="s">
        <v>29</v>
      </c>
    </row>
    <row r="340">
      <c r="B340" s="62" t="s">
        <v>1946</v>
      </c>
      <c r="C340" s="45" t="s">
        <v>23</v>
      </c>
      <c r="D340" s="62" t="s">
        <v>2003</v>
      </c>
      <c r="E340" s="11" t="s">
        <v>33</v>
      </c>
    </row>
    <row r="341">
      <c r="B341" s="62" t="s">
        <v>2006</v>
      </c>
      <c r="C341" s="45" t="s">
        <v>18</v>
      </c>
      <c r="D341" s="62" t="s">
        <v>2005</v>
      </c>
      <c r="E341" s="11" t="s">
        <v>29</v>
      </c>
    </row>
    <row r="342">
      <c r="B342" s="62" t="s">
        <v>1946</v>
      </c>
      <c r="C342" s="45" t="s">
        <v>16</v>
      </c>
      <c r="D342" s="62" t="s">
        <v>2004</v>
      </c>
      <c r="E342" s="11" t="s">
        <v>33</v>
      </c>
    </row>
    <row r="343">
      <c r="B343" s="62" t="s">
        <v>2004</v>
      </c>
      <c r="C343" s="45" t="s">
        <v>14</v>
      </c>
      <c r="D343" s="62" t="s">
        <v>2003</v>
      </c>
      <c r="E343" s="11" t="s">
        <v>29</v>
      </c>
    </row>
    <row r="344">
      <c r="B344" s="62" t="s">
        <v>1946</v>
      </c>
      <c r="C344" s="45" t="s">
        <v>23</v>
      </c>
      <c r="D344" s="62" t="s">
        <v>2005</v>
      </c>
      <c r="E344" s="11" t="s">
        <v>33</v>
      </c>
    </row>
    <row r="345">
      <c r="B345" s="62" t="s">
        <v>2003</v>
      </c>
      <c r="C345" s="45" t="s">
        <v>21</v>
      </c>
      <c r="D345" s="62" t="s">
        <v>2006</v>
      </c>
      <c r="E345" s="11" t="s">
        <v>29</v>
      </c>
    </row>
    <row r="346">
      <c r="B346" s="62" t="s">
        <v>2004</v>
      </c>
      <c r="C346" s="45" t="s">
        <v>195</v>
      </c>
      <c r="D346" s="62" t="s">
        <v>2005</v>
      </c>
      <c r="E346" s="11" t="s">
        <v>33</v>
      </c>
    </row>
    <row r="347">
      <c r="B347" s="62" t="s">
        <v>1946</v>
      </c>
      <c r="C347" s="45" t="s">
        <v>43</v>
      </c>
      <c r="D347" s="62" t="s">
        <v>2006</v>
      </c>
      <c r="E347" s="11" t="s">
        <v>29</v>
      </c>
    </row>
    <row r="348">
      <c r="B348" s="62" t="s">
        <v>2003</v>
      </c>
      <c r="C348" s="45" t="s">
        <v>27</v>
      </c>
      <c r="D348" s="62" t="s">
        <v>2005</v>
      </c>
      <c r="E348" s="11" t="s">
        <v>33</v>
      </c>
    </row>
    <row r="349">
      <c r="B349" s="62" t="s">
        <v>2004</v>
      </c>
      <c r="C349" s="45" t="s">
        <v>177</v>
      </c>
      <c r="D349" s="62" t="s">
        <v>2006</v>
      </c>
      <c r="E349" s="11" t="s">
        <v>29</v>
      </c>
    </row>
    <row r="350">
      <c r="B350" s="62" t="s">
        <v>2003</v>
      </c>
      <c r="C350" s="45" t="s">
        <v>181</v>
      </c>
      <c r="D350" s="62" t="s">
        <v>1946</v>
      </c>
      <c r="E350" s="11" t="s">
        <v>33</v>
      </c>
    </row>
    <row r="351">
      <c r="B351" s="62" t="s">
        <v>2005</v>
      </c>
      <c r="C351" s="45" t="s">
        <v>220</v>
      </c>
      <c r="D351" s="62" t="s">
        <v>2006</v>
      </c>
      <c r="E351" s="11" t="s">
        <v>29</v>
      </c>
    </row>
    <row r="352">
      <c r="B352" s="62" t="s">
        <v>2004</v>
      </c>
      <c r="C352" s="45" t="s">
        <v>14</v>
      </c>
      <c r="D352" s="62" t="s">
        <v>1946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1949</v>
      </c>
      <c r="C3" s="45" t="s">
        <v>24</v>
      </c>
      <c r="D3" s="62" t="s">
        <v>2007</v>
      </c>
      <c r="E3" s="11" t="s">
        <v>29</v>
      </c>
    </row>
    <row r="4">
      <c r="A4" s="90"/>
      <c r="B4" s="61" t="s">
        <v>2008</v>
      </c>
      <c r="C4" s="45" t="s">
        <v>173</v>
      </c>
      <c r="D4" s="61" t="s">
        <v>2009</v>
      </c>
      <c r="E4" s="11" t="s">
        <v>33</v>
      </c>
    </row>
    <row r="5">
      <c r="A5" s="90"/>
      <c r="B5" s="62" t="s">
        <v>2010</v>
      </c>
      <c r="C5" s="45" t="s">
        <v>166</v>
      </c>
      <c r="D5" s="61" t="s">
        <v>1949</v>
      </c>
      <c r="E5" s="11" t="s">
        <v>29</v>
      </c>
    </row>
    <row r="6">
      <c r="A6" s="90"/>
      <c r="B6" s="61" t="s">
        <v>2008</v>
      </c>
      <c r="C6" s="45" t="s">
        <v>177</v>
      </c>
      <c r="D6" s="62" t="s">
        <v>2007</v>
      </c>
      <c r="E6" s="11" t="s">
        <v>33</v>
      </c>
    </row>
    <row r="7">
      <c r="A7" s="90"/>
      <c r="B7" s="62" t="s">
        <v>2010</v>
      </c>
      <c r="C7" s="45" t="s">
        <v>158</v>
      </c>
      <c r="D7" s="61" t="s">
        <v>2009</v>
      </c>
      <c r="E7" s="11" t="s">
        <v>29</v>
      </c>
    </row>
    <row r="8">
      <c r="A8" s="90"/>
      <c r="B8" s="61" t="s">
        <v>2008</v>
      </c>
      <c r="C8" s="45" t="s">
        <v>303</v>
      </c>
      <c r="D8" s="61" t="s">
        <v>1949</v>
      </c>
      <c r="E8" s="11" t="s">
        <v>33</v>
      </c>
    </row>
    <row r="9">
      <c r="A9" s="90"/>
      <c r="B9" s="62" t="s">
        <v>2010</v>
      </c>
      <c r="C9" s="45" t="s">
        <v>14</v>
      </c>
      <c r="D9" s="62" t="s">
        <v>2007</v>
      </c>
      <c r="E9" s="11" t="s">
        <v>29</v>
      </c>
    </row>
    <row r="10">
      <c r="A10" s="90"/>
      <c r="B10" s="61" t="s">
        <v>2009</v>
      </c>
      <c r="C10" s="45" t="s">
        <v>194</v>
      </c>
      <c r="D10" s="61" t="s">
        <v>1949</v>
      </c>
      <c r="E10" s="11" t="s">
        <v>33</v>
      </c>
    </row>
    <row r="11">
      <c r="A11" s="90"/>
      <c r="B11" s="62" t="s">
        <v>2010</v>
      </c>
      <c r="C11" s="45" t="s">
        <v>16</v>
      </c>
      <c r="D11" s="61" t="s">
        <v>2008</v>
      </c>
      <c r="E11" s="11" t="s">
        <v>29</v>
      </c>
    </row>
    <row r="12">
      <c r="A12" s="90"/>
      <c r="B12" s="61" t="s">
        <v>2009</v>
      </c>
      <c r="C12" s="45" t="s">
        <v>712</v>
      </c>
      <c r="D12" s="62" t="s">
        <v>2007</v>
      </c>
      <c r="E12" s="11" t="s">
        <v>33</v>
      </c>
    </row>
    <row r="13">
      <c r="A13" s="90"/>
      <c r="B13" s="62" t="s">
        <v>2007</v>
      </c>
      <c r="C13" s="45" t="s">
        <v>220</v>
      </c>
      <c r="D13" s="61" t="s">
        <v>1949</v>
      </c>
      <c r="E13" s="11" t="s">
        <v>29</v>
      </c>
    </row>
    <row r="14">
      <c r="A14" s="90"/>
      <c r="B14" s="61" t="s">
        <v>2009</v>
      </c>
      <c r="C14" s="45" t="s">
        <v>20</v>
      </c>
      <c r="D14" s="61" t="s">
        <v>2008</v>
      </c>
      <c r="E14" s="11" t="s">
        <v>33</v>
      </c>
    </row>
    <row r="15">
      <c r="A15" s="90"/>
      <c r="B15" s="61" t="s">
        <v>1949</v>
      </c>
      <c r="C15" s="45" t="s">
        <v>181</v>
      </c>
      <c r="D15" s="62" t="s">
        <v>2010</v>
      </c>
      <c r="E15" s="11" t="s">
        <v>29</v>
      </c>
    </row>
    <row r="16">
      <c r="A16" s="90"/>
      <c r="B16" s="62" t="s">
        <v>2007</v>
      </c>
      <c r="C16" s="45" t="s">
        <v>16</v>
      </c>
      <c r="D16" s="61" t="s">
        <v>2008</v>
      </c>
      <c r="E16" s="11" t="s">
        <v>33</v>
      </c>
    </row>
    <row r="17">
      <c r="A17" s="90"/>
      <c r="B17" s="61" t="s">
        <v>2009</v>
      </c>
      <c r="C17" s="45" t="s">
        <v>203</v>
      </c>
      <c r="D17" s="62" t="s">
        <v>2010</v>
      </c>
      <c r="E17" s="11" t="s">
        <v>29</v>
      </c>
    </row>
    <row r="18">
      <c r="A18" s="90"/>
      <c r="B18" s="61" t="s">
        <v>1949</v>
      </c>
      <c r="C18" s="45" t="s">
        <v>534</v>
      </c>
      <c r="D18" s="61" t="s">
        <v>2008</v>
      </c>
      <c r="E18" s="11" t="s">
        <v>33</v>
      </c>
    </row>
    <row r="19">
      <c r="A19" s="90"/>
      <c r="B19" s="62" t="s">
        <v>2007</v>
      </c>
      <c r="C19" s="45" t="s">
        <v>2011</v>
      </c>
      <c r="D19" s="62" t="s">
        <v>2010</v>
      </c>
      <c r="E19" s="11" t="s">
        <v>29</v>
      </c>
    </row>
    <row r="20">
      <c r="A20" s="90"/>
      <c r="B20" s="61" t="s">
        <v>1949</v>
      </c>
      <c r="C20" s="45" t="s">
        <v>193</v>
      </c>
      <c r="D20" s="61" t="s">
        <v>2009</v>
      </c>
      <c r="E20" s="11" t="s">
        <v>33</v>
      </c>
    </row>
    <row r="21">
      <c r="A21" s="90"/>
      <c r="B21" s="61" t="s">
        <v>2008</v>
      </c>
      <c r="C21" s="45" t="s">
        <v>357</v>
      </c>
      <c r="D21" s="62" t="s">
        <v>2010</v>
      </c>
      <c r="E21" s="11" t="s">
        <v>29</v>
      </c>
    </row>
    <row r="22">
      <c r="A22" s="90"/>
      <c r="B22" s="62" t="s">
        <v>2007</v>
      </c>
      <c r="C22" s="45" t="s">
        <v>210</v>
      </c>
      <c r="D22" s="61" t="s">
        <v>2009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141</v>
      </c>
      <c r="C25" s="45" t="s">
        <v>443</v>
      </c>
      <c r="D25" s="61" t="s">
        <v>1832</v>
      </c>
      <c r="E25" s="11" t="s">
        <v>9</v>
      </c>
    </row>
    <row r="26">
      <c r="A26" s="90"/>
      <c r="B26" s="61" t="s">
        <v>1202</v>
      </c>
      <c r="C26" s="45" t="s">
        <v>16</v>
      </c>
      <c r="D26" s="61" t="s">
        <v>2012</v>
      </c>
      <c r="E26" s="11" t="s">
        <v>13</v>
      </c>
    </row>
    <row r="27">
      <c r="A27" s="90"/>
      <c r="B27" s="62" t="s">
        <v>2013</v>
      </c>
      <c r="C27" s="45" t="s">
        <v>41</v>
      </c>
      <c r="D27" s="62" t="s">
        <v>141</v>
      </c>
      <c r="E27" s="11" t="s">
        <v>9</v>
      </c>
    </row>
    <row r="28">
      <c r="A28" s="90"/>
      <c r="B28" s="61" t="s">
        <v>1202</v>
      </c>
      <c r="C28" s="45" t="s">
        <v>23</v>
      </c>
      <c r="D28" s="61" t="s">
        <v>1832</v>
      </c>
      <c r="E28" s="11" t="s">
        <v>13</v>
      </c>
    </row>
    <row r="29">
      <c r="A29" s="90"/>
      <c r="B29" s="62" t="s">
        <v>2013</v>
      </c>
      <c r="C29" s="45" t="s">
        <v>23</v>
      </c>
      <c r="D29" s="61" t="s">
        <v>2012</v>
      </c>
      <c r="E29" s="11" t="s">
        <v>9</v>
      </c>
    </row>
    <row r="30">
      <c r="A30" s="90"/>
      <c r="B30" s="61" t="s">
        <v>1202</v>
      </c>
      <c r="C30" s="45" t="s">
        <v>193</v>
      </c>
      <c r="D30" s="62" t="s">
        <v>141</v>
      </c>
      <c r="E30" s="11" t="s">
        <v>13</v>
      </c>
    </row>
    <row r="31">
      <c r="A31" s="90"/>
      <c r="B31" s="62" t="s">
        <v>2013</v>
      </c>
      <c r="C31" s="45" t="s">
        <v>218</v>
      </c>
      <c r="D31" s="61" t="s">
        <v>1832</v>
      </c>
      <c r="E31" s="11" t="s">
        <v>9</v>
      </c>
    </row>
    <row r="32">
      <c r="A32" s="90"/>
      <c r="B32" s="61" t="s">
        <v>2012</v>
      </c>
      <c r="C32" s="45" t="s">
        <v>433</v>
      </c>
      <c r="D32" s="62" t="s">
        <v>141</v>
      </c>
      <c r="E32" s="11" t="s">
        <v>13</v>
      </c>
    </row>
    <row r="33">
      <c r="A33" s="90"/>
      <c r="B33" s="62" t="s">
        <v>2013</v>
      </c>
      <c r="C33" s="45" t="s">
        <v>301</v>
      </c>
      <c r="D33" s="61" t="s">
        <v>1202</v>
      </c>
      <c r="E33" s="11" t="s">
        <v>9</v>
      </c>
    </row>
    <row r="34">
      <c r="A34" s="90"/>
      <c r="B34" s="61" t="s">
        <v>2012</v>
      </c>
      <c r="C34" s="45" t="s">
        <v>534</v>
      </c>
      <c r="D34" s="61" t="s">
        <v>1832</v>
      </c>
      <c r="E34" s="11" t="s">
        <v>13</v>
      </c>
    </row>
    <row r="35">
      <c r="A35" s="90"/>
      <c r="B35" s="61" t="s">
        <v>1832</v>
      </c>
      <c r="C35" s="45" t="s">
        <v>196</v>
      </c>
      <c r="D35" s="62" t="s">
        <v>141</v>
      </c>
      <c r="E35" s="11" t="s">
        <v>9</v>
      </c>
    </row>
    <row r="36">
      <c r="A36" s="90"/>
      <c r="B36" s="61" t="s">
        <v>2012</v>
      </c>
      <c r="C36" s="45" t="s">
        <v>185</v>
      </c>
      <c r="D36" s="61" t="s">
        <v>1202</v>
      </c>
      <c r="E36" s="11" t="s">
        <v>13</v>
      </c>
    </row>
    <row r="37">
      <c r="A37" s="90"/>
      <c r="B37" s="62" t="s">
        <v>141</v>
      </c>
      <c r="C37" s="45" t="s">
        <v>158</v>
      </c>
      <c r="D37" s="62" t="s">
        <v>2013</v>
      </c>
      <c r="E37" s="11" t="s">
        <v>9</v>
      </c>
    </row>
    <row r="38">
      <c r="A38" s="90"/>
      <c r="B38" s="61" t="s">
        <v>1832</v>
      </c>
      <c r="C38" s="45" t="s">
        <v>27</v>
      </c>
      <c r="D38" s="61" t="s">
        <v>1202</v>
      </c>
      <c r="E38" s="11" t="s">
        <v>13</v>
      </c>
    </row>
    <row r="39">
      <c r="A39" s="90"/>
      <c r="B39" s="61" t="s">
        <v>2012</v>
      </c>
      <c r="C39" s="45" t="s">
        <v>208</v>
      </c>
      <c r="D39" s="62" t="s">
        <v>2013</v>
      </c>
      <c r="E39" s="11" t="s">
        <v>9</v>
      </c>
    </row>
    <row r="40">
      <c r="A40" s="90"/>
      <c r="B40" s="62" t="s">
        <v>141</v>
      </c>
      <c r="C40" s="45" t="s">
        <v>219</v>
      </c>
      <c r="D40" s="61" t="s">
        <v>1202</v>
      </c>
      <c r="E40" s="11" t="s">
        <v>13</v>
      </c>
    </row>
    <row r="41">
      <c r="A41" s="90"/>
      <c r="B41" s="61" t="s">
        <v>1832</v>
      </c>
      <c r="C41" s="45" t="s">
        <v>302</v>
      </c>
      <c r="D41" s="62" t="s">
        <v>2013</v>
      </c>
      <c r="E41" s="11" t="s">
        <v>9</v>
      </c>
    </row>
    <row r="42">
      <c r="A42" s="90"/>
      <c r="B42" s="62" t="s">
        <v>141</v>
      </c>
      <c r="C42" s="45" t="s">
        <v>194</v>
      </c>
      <c r="D42" s="61" t="s">
        <v>2012</v>
      </c>
      <c r="E42" s="11" t="s">
        <v>13</v>
      </c>
    </row>
    <row r="43">
      <c r="A43" s="90"/>
      <c r="B43" s="61" t="s">
        <v>1202</v>
      </c>
      <c r="C43" s="45" t="s">
        <v>155</v>
      </c>
      <c r="D43" s="62" t="s">
        <v>2013</v>
      </c>
      <c r="E43" s="11" t="s">
        <v>9</v>
      </c>
    </row>
    <row r="44">
      <c r="A44" s="91"/>
      <c r="B44" s="61" t="s">
        <v>1832</v>
      </c>
      <c r="C44" s="45" t="s">
        <v>208</v>
      </c>
      <c r="D44" s="61" t="s">
        <v>2012</v>
      </c>
      <c r="E44" s="11" t="s">
        <v>13</v>
      </c>
    </row>
    <row r="45">
      <c r="B45" s="1" t="s">
        <v>1457</v>
      </c>
      <c r="C45" s="2"/>
      <c r="D45" s="3"/>
      <c r="E45" s="18"/>
      <c r="Q45" s="50" t="s">
        <v>861</v>
      </c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1900</v>
      </c>
      <c r="C47" s="45" t="s">
        <v>248</v>
      </c>
      <c r="D47" s="61" t="s">
        <v>1771</v>
      </c>
      <c r="E47" s="11" t="s">
        <v>29</v>
      </c>
    </row>
    <row r="48">
      <c r="B48" s="61" t="s">
        <v>2014</v>
      </c>
      <c r="C48" s="45" t="s">
        <v>173</v>
      </c>
      <c r="D48" s="61" t="s">
        <v>2015</v>
      </c>
      <c r="E48" s="11" t="s">
        <v>33</v>
      </c>
    </row>
    <row r="49">
      <c r="B49" s="61" t="s">
        <v>2016</v>
      </c>
      <c r="C49" s="45" t="s">
        <v>18</v>
      </c>
      <c r="D49" s="61" t="s">
        <v>1900</v>
      </c>
      <c r="E49" s="11" t="s">
        <v>29</v>
      </c>
    </row>
    <row r="50">
      <c r="B50" s="61" t="s">
        <v>2014</v>
      </c>
      <c r="C50" s="45" t="s">
        <v>14</v>
      </c>
      <c r="D50" s="61" t="s">
        <v>1771</v>
      </c>
      <c r="E50" s="11" t="s">
        <v>33</v>
      </c>
    </row>
    <row r="51">
      <c r="B51" s="61" t="s">
        <v>2016</v>
      </c>
      <c r="C51" s="45" t="s">
        <v>183</v>
      </c>
      <c r="D51" s="61" t="s">
        <v>2015</v>
      </c>
      <c r="E51" s="11" t="s">
        <v>29</v>
      </c>
    </row>
    <row r="52">
      <c r="B52" s="61" t="s">
        <v>2014</v>
      </c>
      <c r="C52" s="45" t="s">
        <v>21</v>
      </c>
      <c r="D52" s="61" t="s">
        <v>1900</v>
      </c>
      <c r="E52" s="11" t="s">
        <v>33</v>
      </c>
    </row>
    <row r="53">
      <c r="B53" s="61" t="s">
        <v>2016</v>
      </c>
      <c r="C53" s="45" t="s">
        <v>43</v>
      </c>
      <c r="D53" s="61" t="s">
        <v>1771</v>
      </c>
      <c r="E53" s="11" t="s">
        <v>29</v>
      </c>
    </row>
    <row r="54">
      <c r="B54" s="61" t="s">
        <v>2015</v>
      </c>
      <c r="C54" s="45" t="s">
        <v>257</v>
      </c>
      <c r="D54" s="61" t="s">
        <v>1900</v>
      </c>
      <c r="E54" s="11" t="s">
        <v>33</v>
      </c>
    </row>
    <row r="55">
      <c r="B55" s="61" t="s">
        <v>2016</v>
      </c>
      <c r="C55" s="45" t="s">
        <v>163</v>
      </c>
      <c r="D55" s="61" t="s">
        <v>2014</v>
      </c>
      <c r="E55" s="11" t="s">
        <v>29</v>
      </c>
    </row>
    <row r="56">
      <c r="B56" s="61" t="s">
        <v>2015</v>
      </c>
      <c r="C56" s="45" t="s">
        <v>1015</v>
      </c>
      <c r="D56" s="61" t="s">
        <v>1771</v>
      </c>
      <c r="E56" s="11" t="s">
        <v>33</v>
      </c>
    </row>
    <row r="57">
      <c r="B57" s="61" t="s">
        <v>1771</v>
      </c>
      <c r="C57" s="45" t="s">
        <v>18</v>
      </c>
      <c r="D57" s="61" t="s">
        <v>1900</v>
      </c>
      <c r="E57" s="11" t="s">
        <v>29</v>
      </c>
    </row>
    <row r="58">
      <c r="B58" s="61" t="s">
        <v>2015</v>
      </c>
      <c r="C58" s="45" t="s">
        <v>158</v>
      </c>
      <c r="D58" s="61" t="s">
        <v>2014</v>
      </c>
      <c r="E58" s="11" t="s">
        <v>33</v>
      </c>
    </row>
    <row r="59">
      <c r="B59" s="61" t="s">
        <v>1900</v>
      </c>
      <c r="C59" s="45" t="s">
        <v>209</v>
      </c>
      <c r="D59" s="61" t="s">
        <v>2016</v>
      </c>
      <c r="E59" s="11" t="s">
        <v>29</v>
      </c>
    </row>
    <row r="60">
      <c r="B60" s="61" t="s">
        <v>1771</v>
      </c>
      <c r="C60" s="45" t="s">
        <v>408</v>
      </c>
      <c r="D60" s="61" t="s">
        <v>2014</v>
      </c>
      <c r="E60" s="11" t="s">
        <v>33</v>
      </c>
    </row>
    <row r="61">
      <c r="B61" s="61" t="s">
        <v>2015</v>
      </c>
      <c r="C61" s="45" t="s">
        <v>24</v>
      </c>
      <c r="D61" s="61" t="s">
        <v>2016</v>
      </c>
      <c r="E61" s="11" t="s">
        <v>29</v>
      </c>
      <c r="H61" s="50"/>
    </row>
    <row r="62">
      <c r="B62" s="61" t="s">
        <v>1900</v>
      </c>
      <c r="C62" s="45" t="s">
        <v>225</v>
      </c>
      <c r="D62" s="61" t="s">
        <v>2014</v>
      </c>
      <c r="E62" s="11" t="s">
        <v>33</v>
      </c>
    </row>
    <row r="63">
      <c r="B63" s="61" t="s">
        <v>1771</v>
      </c>
      <c r="C63" s="45" t="s">
        <v>233</v>
      </c>
      <c r="D63" s="61" t="s">
        <v>2016</v>
      </c>
      <c r="E63" s="11" t="s">
        <v>29</v>
      </c>
    </row>
    <row r="64">
      <c r="B64" s="61" t="s">
        <v>1900</v>
      </c>
      <c r="C64" s="45" t="s">
        <v>23</v>
      </c>
      <c r="D64" s="61" t="s">
        <v>2015</v>
      </c>
      <c r="E64" s="11" t="s">
        <v>33</v>
      </c>
    </row>
    <row r="65">
      <c r="B65" s="61" t="s">
        <v>2014</v>
      </c>
      <c r="C65" s="45" t="s">
        <v>20</v>
      </c>
      <c r="D65" s="61" t="s">
        <v>2016</v>
      </c>
      <c r="E65" s="11" t="s">
        <v>29</v>
      </c>
    </row>
    <row r="66">
      <c r="B66" s="61" t="s">
        <v>1771</v>
      </c>
      <c r="C66" s="45" t="s">
        <v>244</v>
      </c>
      <c r="D66" s="61" t="s">
        <v>2015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2017</v>
      </c>
      <c r="C69" s="57" t="s">
        <v>219</v>
      </c>
      <c r="D69" s="61" t="s">
        <v>1961</v>
      </c>
      <c r="E69" s="11" t="s">
        <v>9</v>
      </c>
    </row>
    <row r="70">
      <c r="B70" s="61" t="s">
        <v>2018</v>
      </c>
      <c r="C70" s="57" t="s">
        <v>209</v>
      </c>
      <c r="D70" s="61" t="s">
        <v>1824</v>
      </c>
      <c r="E70" s="11" t="s">
        <v>13</v>
      </c>
    </row>
    <row r="71">
      <c r="B71" s="61" t="s">
        <v>2013</v>
      </c>
      <c r="C71" s="57" t="s">
        <v>17</v>
      </c>
      <c r="D71" s="61" t="s">
        <v>2017</v>
      </c>
      <c r="E71" s="11" t="s">
        <v>9</v>
      </c>
    </row>
    <row r="72">
      <c r="B72" s="61" t="s">
        <v>2018</v>
      </c>
      <c r="C72" s="57" t="s">
        <v>219</v>
      </c>
      <c r="D72" s="61" t="s">
        <v>1961</v>
      </c>
      <c r="E72" s="11" t="s">
        <v>13</v>
      </c>
    </row>
    <row r="73">
      <c r="B73" s="61" t="s">
        <v>2013</v>
      </c>
      <c r="C73" s="57" t="s">
        <v>525</v>
      </c>
      <c r="D73" s="61" t="s">
        <v>1824</v>
      </c>
      <c r="E73" s="11" t="s">
        <v>9</v>
      </c>
    </row>
    <row r="74">
      <c r="B74" s="61" t="s">
        <v>2018</v>
      </c>
      <c r="C74" s="57" t="s">
        <v>158</v>
      </c>
      <c r="D74" s="61" t="s">
        <v>2017</v>
      </c>
      <c r="E74" s="11" t="s">
        <v>13</v>
      </c>
    </row>
    <row r="75">
      <c r="B75" s="61" t="s">
        <v>2013</v>
      </c>
      <c r="C75" s="57" t="s">
        <v>342</v>
      </c>
      <c r="D75" s="61" t="s">
        <v>1961</v>
      </c>
      <c r="E75" s="11" t="s">
        <v>9</v>
      </c>
    </row>
    <row r="76">
      <c r="B76" s="61" t="s">
        <v>1824</v>
      </c>
      <c r="C76" s="57" t="s">
        <v>620</v>
      </c>
      <c r="D76" s="61" t="s">
        <v>2017</v>
      </c>
      <c r="E76" s="11" t="s">
        <v>13</v>
      </c>
    </row>
    <row r="77">
      <c r="B77" s="61" t="s">
        <v>2013</v>
      </c>
      <c r="C77" s="57" t="s">
        <v>208</v>
      </c>
      <c r="D77" s="61" t="s">
        <v>2018</v>
      </c>
      <c r="E77" s="11" t="s">
        <v>9</v>
      </c>
    </row>
    <row r="78">
      <c r="B78" s="61" t="s">
        <v>1824</v>
      </c>
      <c r="C78" s="57" t="s">
        <v>324</v>
      </c>
      <c r="D78" s="61" t="s">
        <v>1961</v>
      </c>
      <c r="E78" s="11" t="s">
        <v>13</v>
      </c>
    </row>
    <row r="79">
      <c r="B79" s="61" t="s">
        <v>1961</v>
      </c>
      <c r="C79" s="57" t="s">
        <v>209</v>
      </c>
      <c r="D79" s="61" t="s">
        <v>2017</v>
      </c>
      <c r="E79" s="11" t="s">
        <v>9</v>
      </c>
    </row>
    <row r="80">
      <c r="B80" s="61" t="s">
        <v>1824</v>
      </c>
      <c r="C80" s="57" t="s">
        <v>23</v>
      </c>
      <c r="D80" s="61" t="s">
        <v>2018</v>
      </c>
      <c r="E80" s="11" t="s">
        <v>13</v>
      </c>
    </row>
    <row r="81">
      <c r="B81" s="61" t="s">
        <v>2017</v>
      </c>
      <c r="C81" s="45" t="s">
        <v>231</v>
      </c>
      <c r="D81" s="61" t="s">
        <v>2013</v>
      </c>
      <c r="E81" s="11" t="s">
        <v>9</v>
      </c>
    </row>
    <row r="82">
      <c r="B82" s="61" t="s">
        <v>1961</v>
      </c>
      <c r="C82" s="45" t="s">
        <v>196</v>
      </c>
      <c r="D82" s="61" t="s">
        <v>2018</v>
      </c>
      <c r="E82" s="11" t="s">
        <v>13</v>
      </c>
    </row>
    <row r="83">
      <c r="B83" s="61" t="s">
        <v>1824</v>
      </c>
      <c r="C83" s="45" t="s">
        <v>194</v>
      </c>
      <c r="D83" s="61" t="s">
        <v>2013</v>
      </c>
      <c r="E83" s="11" t="s">
        <v>9</v>
      </c>
    </row>
    <row r="84">
      <c r="B84" s="61" t="s">
        <v>2017</v>
      </c>
      <c r="C84" s="45" t="s">
        <v>1472</v>
      </c>
      <c r="D84" s="61" t="s">
        <v>2018</v>
      </c>
      <c r="E84" s="11" t="s">
        <v>13</v>
      </c>
    </row>
    <row r="85">
      <c r="B85" s="61" t="s">
        <v>1961</v>
      </c>
      <c r="C85" s="45" t="s">
        <v>289</v>
      </c>
      <c r="D85" s="61" t="s">
        <v>2013</v>
      </c>
      <c r="E85" s="11" t="s">
        <v>9</v>
      </c>
    </row>
    <row r="86">
      <c r="B86" s="61" t="s">
        <v>2017</v>
      </c>
      <c r="C86" s="45" t="s">
        <v>181</v>
      </c>
      <c r="D86" s="61" t="s">
        <v>1824</v>
      </c>
      <c r="E86" s="11" t="s">
        <v>13</v>
      </c>
    </row>
    <row r="87">
      <c r="B87" s="61" t="s">
        <v>2018</v>
      </c>
      <c r="C87" s="45" t="s">
        <v>158</v>
      </c>
      <c r="D87" s="61" t="s">
        <v>2013</v>
      </c>
      <c r="E87" s="11" t="s">
        <v>9</v>
      </c>
    </row>
    <row r="88">
      <c r="B88" s="61" t="s">
        <v>1961</v>
      </c>
      <c r="C88" s="45" t="s">
        <v>19</v>
      </c>
      <c r="D88" s="61" t="s">
        <v>1824</v>
      </c>
      <c r="E88" s="11" t="s">
        <v>13</v>
      </c>
    </row>
    <row r="89">
      <c r="B89" s="1" t="s">
        <v>1777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2019</v>
      </c>
      <c r="C91" s="45" t="s">
        <v>161</v>
      </c>
      <c r="D91" s="61" t="s">
        <v>2020</v>
      </c>
      <c r="E91" s="11" t="s">
        <v>9</v>
      </c>
    </row>
    <row r="92">
      <c r="B92" s="61" t="s">
        <v>1381</v>
      </c>
      <c r="C92" s="45" t="s">
        <v>43</v>
      </c>
      <c r="D92" s="61" t="s">
        <v>1044</v>
      </c>
      <c r="E92" s="11" t="s">
        <v>13</v>
      </c>
    </row>
    <row r="93">
      <c r="B93" s="61" t="s">
        <v>795</v>
      </c>
      <c r="C93" s="45" t="s">
        <v>7</v>
      </c>
      <c r="D93" s="61" t="s">
        <v>2019</v>
      </c>
      <c r="E93" s="11" t="s">
        <v>9</v>
      </c>
    </row>
    <row r="94">
      <c r="B94" s="61" t="s">
        <v>1381</v>
      </c>
      <c r="C94" s="45" t="s">
        <v>158</v>
      </c>
      <c r="D94" s="61" t="s">
        <v>2020</v>
      </c>
      <c r="E94" s="11" t="s">
        <v>13</v>
      </c>
    </row>
    <row r="95">
      <c r="B95" s="61" t="s">
        <v>795</v>
      </c>
      <c r="C95" s="45" t="s">
        <v>292</v>
      </c>
      <c r="D95" s="61" t="s">
        <v>1044</v>
      </c>
      <c r="E95" s="11" t="s">
        <v>9</v>
      </c>
    </row>
    <row r="96">
      <c r="B96" s="61" t="s">
        <v>1381</v>
      </c>
      <c r="C96" s="45" t="s">
        <v>18</v>
      </c>
      <c r="D96" s="61" t="s">
        <v>2019</v>
      </c>
      <c r="E96" s="11" t="s">
        <v>13</v>
      </c>
    </row>
    <row r="97">
      <c r="B97" s="61" t="s">
        <v>795</v>
      </c>
      <c r="C97" s="45" t="s">
        <v>155</v>
      </c>
      <c r="D97" s="61" t="s">
        <v>2020</v>
      </c>
      <c r="E97" s="11" t="s">
        <v>9</v>
      </c>
    </row>
    <row r="98">
      <c r="B98" s="61" t="s">
        <v>1044</v>
      </c>
      <c r="C98" s="45" t="s">
        <v>44</v>
      </c>
      <c r="D98" s="61" t="s">
        <v>2019</v>
      </c>
      <c r="E98" s="11" t="s">
        <v>13</v>
      </c>
    </row>
    <row r="99">
      <c r="B99" s="61" t="s">
        <v>795</v>
      </c>
      <c r="C99" s="45" t="s">
        <v>610</v>
      </c>
      <c r="D99" s="61" t="s">
        <v>1381</v>
      </c>
      <c r="E99" s="11" t="s">
        <v>9</v>
      </c>
    </row>
    <row r="100">
      <c r="B100" s="61" t="s">
        <v>1044</v>
      </c>
      <c r="C100" s="45" t="s">
        <v>292</v>
      </c>
      <c r="D100" s="61" t="s">
        <v>2020</v>
      </c>
      <c r="E100" s="11" t="s">
        <v>13</v>
      </c>
    </row>
    <row r="101">
      <c r="B101" s="61" t="s">
        <v>2020</v>
      </c>
      <c r="C101" s="45" t="s">
        <v>43</v>
      </c>
      <c r="D101" s="61" t="s">
        <v>2019</v>
      </c>
      <c r="E101" s="11" t="s">
        <v>9</v>
      </c>
    </row>
    <row r="102">
      <c r="B102" s="61" t="s">
        <v>1044</v>
      </c>
      <c r="C102" s="45" t="s">
        <v>257</v>
      </c>
      <c r="D102" s="61" t="s">
        <v>1381</v>
      </c>
      <c r="E102" s="11" t="s">
        <v>13</v>
      </c>
    </row>
    <row r="103">
      <c r="B103" s="61" t="s">
        <v>2019</v>
      </c>
      <c r="C103" s="45" t="s">
        <v>908</v>
      </c>
      <c r="D103" s="61" t="s">
        <v>795</v>
      </c>
      <c r="E103" s="11" t="s">
        <v>9</v>
      </c>
    </row>
    <row r="104">
      <c r="B104" s="61" t="s">
        <v>2020</v>
      </c>
      <c r="C104" s="45" t="s">
        <v>549</v>
      </c>
      <c r="D104" s="61" t="s">
        <v>1381</v>
      </c>
      <c r="E104" s="11" t="s">
        <v>13</v>
      </c>
    </row>
    <row r="105">
      <c r="B105" s="61" t="s">
        <v>1044</v>
      </c>
      <c r="C105" s="45" t="s">
        <v>181</v>
      </c>
      <c r="D105" s="61" t="s">
        <v>795</v>
      </c>
      <c r="E105" s="11" t="s">
        <v>9</v>
      </c>
    </row>
    <row r="106">
      <c r="B106" s="61" t="s">
        <v>2019</v>
      </c>
      <c r="C106" s="45" t="s">
        <v>171</v>
      </c>
      <c r="D106" s="61" t="s">
        <v>1381</v>
      </c>
      <c r="E106" s="11" t="s">
        <v>13</v>
      </c>
    </row>
    <row r="107">
      <c r="B107" s="61" t="s">
        <v>2020</v>
      </c>
      <c r="C107" s="45" t="s">
        <v>18</v>
      </c>
      <c r="D107" s="61" t="s">
        <v>795</v>
      </c>
      <c r="E107" s="11" t="s">
        <v>9</v>
      </c>
    </row>
    <row r="108">
      <c r="B108" s="61" t="s">
        <v>2019</v>
      </c>
      <c r="C108" s="45" t="s">
        <v>173</v>
      </c>
      <c r="D108" s="61" t="s">
        <v>1044</v>
      </c>
      <c r="E108" s="11" t="s">
        <v>13</v>
      </c>
    </row>
    <row r="109">
      <c r="B109" s="61" t="s">
        <v>1381</v>
      </c>
      <c r="C109" s="45" t="s">
        <v>316</v>
      </c>
      <c r="D109" s="61" t="s">
        <v>795</v>
      </c>
      <c r="E109" s="11" t="s">
        <v>9</v>
      </c>
    </row>
    <row r="110">
      <c r="B110" s="61" t="s">
        <v>2020</v>
      </c>
      <c r="C110" s="45" t="s">
        <v>181</v>
      </c>
      <c r="D110" s="61" t="s">
        <v>1044</v>
      </c>
      <c r="E110" s="11" t="s">
        <v>13</v>
      </c>
    </row>
    <row r="111">
      <c r="B111" s="1" t="s">
        <v>1782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937</v>
      </c>
      <c r="C113" s="57" t="s">
        <v>7</v>
      </c>
      <c r="D113" s="61" t="s">
        <v>2021</v>
      </c>
      <c r="E113" s="11" t="s">
        <v>9</v>
      </c>
    </row>
    <row r="114">
      <c r="B114" s="61" t="s">
        <v>1783</v>
      </c>
      <c r="C114" s="57" t="s">
        <v>177</v>
      </c>
      <c r="D114" s="61" t="s">
        <v>2022</v>
      </c>
      <c r="E114" s="11" t="s">
        <v>13</v>
      </c>
    </row>
    <row r="115">
      <c r="B115" s="61" t="s">
        <v>1852</v>
      </c>
      <c r="C115" s="57" t="s">
        <v>42</v>
      </c>
      <c r="D115" s="61" t="s">
        <v>937</v>
      </c>
      <c r="E115" s="11" t="s">
        <v>9</v>
      </c>
    </row>
    <row r="116">
      <c r="B116" s="61" t="s">
        <v>1783</v>
      </c>
      <c r="C116" s="57" t="s">
        <v>16</v>
      </c>
      <c r="D116" s="61" t="s">
        <v>2021</v>
      </c>
      <c r="E116" s="15" t="s">
        <v>13</v>
      </c>
    </row>
    <row r="117">
      <c r="B117" s="61" t="s">
        <v>1852</v>
      </c>
      <c r="C117" s="57" t="s">
        <v>193</v>
      </c>
      <c r="D117" s="61" t="s">
        <v>2022</v>
      </c>
      <c r="E117" s="11" t="s">
        <v>9</v>
      </c>
    </row>
    <row r="118">
      <c r="B118" s="61" t="s">
        <v>1783</v>
      </c>
      <c r="C118" s="57" t="s">
        <v>185</v>
      </c>
      <c r="D118" s="61" t="s">
        <v>937</v>
      </c>
      <c r="E118" s="15" t="s">
        <v>13</v>
      </c>
    </row>
    <row r="119">
      <c r="B119" s="61" t="s">
        <v>1852</v>
      </c>
      <c r="C119" s="57" t="s">
        <v>158</v>
      </c>
      <c r="D119" s="61" t="s">
        <v>2021</v>
      </c>
      <c r="E119" s="11" t="s">
        <v>9</v>
      </c>
    </row>
    <row r="120">
      <c r="B120" s="61" t="s">
        <v>2022</v>
      </c>
      <c r="C120" s="57" t="s">
        <v>218</v>
      </c>
      <c r="D120" s="61" t="s">
        <v>937</v>
      </c>
      <c r="E120" s="15" t="s">
        <v>13</v>
      </c>
    </row>
    <row r="121">
      <c r="B121" s="61" t="s">
        <v>1852</v>
      </c>
      <c r="C121" s="57" t="s">
        <v>239</v>
      </c>
      <c r="D121" s="61" t="s">
        <v>1783</v>
      </c>
      <c r="E121" s="11" t="s">
        <v>9</v>
      </c>
    </row>
    <row r="122">
      <c r="B122" s="61" t="s">
        <v>2022</v>
      </c>
      <c r="C122" s="57" t="s">
        <v>218</v>
      </c>
      <c r="D122" s="61" t="s">
        <v>2021</v>
      </c>
      <c r="E122" s="15" t="s">
        <v>13</v>
      </c>
    </row>
    <row r="123">
      <c r="B123" s="61" t="s">
        <v>2021</v>
      </c>
      <c r="C123" s="57" t="s">
        <v>195</v>
      </c>
      <c r="D123" s="61" t="s">
        <v>937</v>
      </c>
      <c r="E123" s="11" t="s">
        <v>9</v>
      </c>
    </row>
    <row r="124">
      <c r="B124" s="61" t="s">
        <v>2022</v>
      </c>
      <c r="C124" s="57" t="s">
        <v>227</v>
      </c>
      <c r="D124" s="61" t="s">
        <v>1783</v>
      </c>
      <c r="E124" s="15" t="s">
        <v>13</v>
      </c>
    </row>
    <row r="125">
      <c r="B125" s="61" t="s">
        <v>937</v>
      </c>
      <c r="C125" s="45" t="s">
        <v>222</v>
      </c>
      <c r="D125" s="61" t="s">
        <v>1852</v>
      </c>
      <c r="E125" s="11" t="s">
        <v>9</v>
      </c>
    </row>
    <row r="126">
      <c r="B126" s="61" t="s">
        <v>2021</v>
      </c>
      <c r="C126" s="45" t="s">
        <v>41</v>
      </c>
      <c r="D126" s="61" t="s">
        <v>1783</v>
      </c>
      <c r="E126" s="15" t="s">
        <v>13</v>
      </c>
    </row>
    <row r="127">
      <c r="B127" s="61" t="s">
        <v>2022</v>
      </c>
      <c r="C127" s="45" t="s">
        <v>7</v>
      </c>
      <c r="D127" s="61" t="s">
        <v>1852</v>
      </c>
      <c r="E127" s="11" t="s">
        <v>9</v>
      </c>
    </row>
    <row r="128">
      <c r="B128" s="61" t="s">
        <v>937</v>
      </c>
      <c r="C128" s="45" t="s">
        <v>196</v>
      </c>
      <c r="D128" s="61" t="s">
        <v>1783</v>
      </c>
      <c r="E128" s="15" t="s">
        <v>13</v>
      </c>
    </row>
    <row r="129">
      <c r="B129" s="61" t="s">
        <v>2021</v>
      </c>
      <c r="C129" s="45" t="s">
        <v>357</v>
      </c>
      <c r="D129" s="61" t="s">
        <v>1852</v>
      </c>
      <c r="E129" s="11" t="s">
        <v>9</v>
      </c>
    </row>
    <row r="130">
      <c r="B130" s="61" t="s">
        <v>937</v>
      </c>
      <c r="C130" s="45" t="s">
        <v>268</v>
      </c>
      <c r="D130" s="61" t="s">
        <v>2022</v>
      </c>
      <c r="E130" s="15" t="s">
        <v>13</v>
      </c>
    </row>
    <row r="131">
      <c r="B131" s="61" t="s">
        <v>1783</v>
      </c>
      <c r="C131" s="45" t="s">
        <v>160</v>
      </c>
      <c r="D131" s="61" t="s">
        <v>1852</v>
      </c>
      <c r="E131" s="11" t="s">
        <v>9</v>
      </c>
    </row>
    <row r="132">
      <c r="B132" s="61" t="s">
        <v>2021</v>
      </c>
      <c r="C132" s="45" t="s">
        <v>43</v>
      </c>
      <c r="D132" s="61" t="s">
        <v>2022</v>
      </c>
      <c r="E132" s="15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2023</v>
      </c>
      <c r="C135" s="57" t="s">
        <v>573</v>
      </c>
      <c r="D135" s="61" t="s">
        <v>2024</v>
      </c>
      <c r="E135" s="11" t="s">
        <v>29</v>
      </c>
    </row>
    <row r="136">
      <c r="B136" s="61" t="s">
        <v>2025</v>
      </c>
      <c r="C136" s="57" t="s">
        <v>302</v>
      </c>
      <c r="D136" s="61" t="s">
        <v>773</v>
      </c>
      <c r="E136" s="11" t="s">
        <v>33</v>
      </c>
    </row>
    <row r="137">
      <c r="B137" s="61" t="s">
        <v>2026</v>
      </c>
      <c r="C137" s="57" t="s">
        <v>193</v>
      </c>
      <c r="D137" s="61" t="s">
        <v>2023</v>
      </c>
      <c r="E137" s="11" t="s">
        <v>29</v>
      </c>
    </row>
    <row r="138">
      <c r="B138" s="61" t="s">
        <v>2025</v>
      </c>
      <c r="C138" s="57" t="s">
        <v>23</v>
      </c>
      <c r="D138" s="61" t="s">
        <v>2024</v>
      </c>
      <c r="E138" s="11" t="s">
        <v>33</v>
      </c>
    </row>
    <row r="139">
      <c r="B139" s="61" t="s">
        <v>2026</v>
      </c>
      <c r="C139" s="57" t="s">
        <v>16</v>
      </c>
      <c r="D139" s="61" t="s">
        <v>773</v>
      </c>
      <c r="E139" s="11" t="s">
        <v>29</v>
      </c>
    </row>
    <row r="140">
      <c r="B140" s="61" t="s">
        <v>2025</v>
      </c>
      <c r="C140" s="57" t="s">
        <v>155</v>
      </c>
      <c r="D140" s="61" t="s">
        <v>2023</v>
      </c>
      <c r="E140" s="11" t="s">
        <v>33</v>
      </c>
    </row>
    <row r="141">
      <c r="B141" s="61" t="s">
        <v>2026</v>
      </c>
      <c r="C141" s="57" t="s">
        <v>208</v>
      </c>
      <c r="D141" s="61" t="s">
        <v>2024</v>
      </c>
      <c r="E141" s="69" t="str">
        <f>HYPERLINK("https://youtu.be/G3hz68HOdC4?t=2598","channel 3")</f>
        <v>channel 3</v>
      </c>
    </row>
    <row r="142">
      <c r="B142" s="61" t="s">
        <v>773</v>
      </c>
      <c r="C142" s="57" t="s">
        <v>281</v>
      </c>
      <c r="D142" s="61" t="s">
        <v>2023</v>
      </c>
      <c r="E142" s="11" t="s">
        <v>33</v>
      </c>
    </row>
    <row r="143">
      <c r="B143" s="61" t="s">
        <v>2026</v>
      </c>
      <c r="C143" s="57" t="s">
        <v>14</v>
      </c>
      <c r="D143" s="61" t="s">
        <v>2025</v>
      </c>
      <c r="E143" s="11" t="s">
        <v>29</v>
      </c>
    </row>
    <row r="144">
      <c r="B144" s="61" t="s">
        <v>773</v>
      </c>
      <c r="C144" s="57" t="s">
        <v>610</v>
      </c>
      <c r="D144" s="61" t="s">
        <v>2024</v>
      </c>
      <c r="E144" s="11" t="s">
        <v>33</v>
      </c>
    </row>
    <row r="145">
      <c r="B145" s="61" t="s">
        <v>2024</v>
      </c>
      <c r="C145" s="57" t="s">
        <v>164</v>
      </c>
      <c r="D145" s="61" t="s">
        <v>2023</v>
      </c>
      <c r="E145" s="11" t="s">
        <v>29</v>
      </c>
    </row>
    <row r="146">
      <c r="B146" s="61" t="s">
        <v>773</v>
      </c>
      <c r="C146" s="57" t="s">
        <v>20</v>
      </c>
      <c r="D146" s="61" t="s">
        <v>2025</v>
      </c>
      <c r="E146" s="11" t="s">
        <v>33</v>
      </c>
    </row>
    <row r="147">
      <c r="B147" s="61" t="s">
        <v>2023</v>
      </c>
      <c r="C147" s="45" t="s">
        <v>225</v>
      </c>
      <c r="D147" s="61" t="s">
        <v>2026</v>
      </c>
      <c r="E147" s="11" t="s">
        <v>29</v>
      </c>
    </row>
    <row r="148">
      <c r="B148" s="61" t="s">
        <v>2024</v>
      </c>
      <c r="C148" s="45" t="s">
        <v>194</v>
      </c>
      <c r="D148" s="61" t="s">
        <v>2025</v>
      </c>
      <c r="E148" s="11" t="s">
        <v>33</v>
      </c>
    </row>
    <row r="149">
      <c r="B149" s="61" t="s">
        <v>773</v>
      </c>
      <c r="C149" s="45" t="s">
        <v>162</v>
      </c>
      <c r="D149" s="61" t="s">
        <v>2026</v>
      </c>
      <c r="E149" s="11" t="s">
        <v>29</v>
      </c>
    </row>
    <row r="150">
      <c r="B150" s="61" t="s">
        <v>2023</v>
      </c>
      <c r="C150" s="45" t="s">
        <v>162</v>
      </c>
      <c r="D150" s="61" t="s">
        <v>2025</v>
      </c>
      <c r="E150" s="11" t="s">
        <v>33</v>
      </c>
    </row>
    <row r="151">
      <c r="B151" s="61" t="s">
        <v>2024</v>
      </c>
      <c r="C151" s="45" t="s">
        <v>165</v>
      </c>
      <c r="D151" s="61" t="s">
        <v>2026</v>
      </c>
      <c r="E151" s="11" t="s">
        <v>29</v>
      </c>
      <c r="R151" s="50" t="s">
        <v>514</v>
      </c>
    </row>
    <row r="152">
      <c r="B152" s="61" t="s">
        <v>2023</v>
      </c>
      <c r="C152" s="45" t="s">
        <v>257</v>
      </c>
      <c r="D152" s="61" t="s">
        <v>773</v>
      </c>
      <c r="E152" s="11" t="s">
        <v>33</v>
      </c>
    </row>
    <row r="153">
      <c r="B153" s="61" t="s">
        <v>2025</v>
      </c>
      <c r="C153" s="45" t="s">
        <v>16</v>
      </c>
      <c r="D153" s="61" t="s">
        <v>2026</v>
      </c>
      <c r="E153" s="11" t="s">
        <v>29</v>
      </c>
    </row>
    <row r="154">
      <c r="B154" s="61" t="s">
        <v>2024</v>
      </c>
      <c r="C154" s="45" t="s">
        <v>162</v>
      </c>
      <c r="D154" s="61" t="s">
        <v>773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1914</v>
      </c>
      <c r="C157" s="45" t="s">
        <v>750</v>
      </c>
      <c r="D157" s="61" t="s">
        <v>2027</v>
      </c>
      <c r="E157" s="11" t="s">
        <v>9</v>
      </c>
    </row>
    <row r="158">
      <c r="B158" s="61" t="s">
        <v>2028</v>
      </c>
      <c r="C158" s="45" t="s">
        <v>281</v>
      </c>
      <c r="D158" s="61" t="s">
        <v>777</v>
      </c>
      <c r="E158" s="11" t="s">
        <v>13</v>
      </c>
    </row>
    <row r="159">
      <c r="B159" s="61" t="s">
        <v>780</v>
      </c>
      <c r="C159" s="45" t="s">
        <v>219</v>
      </c>
      <c r="D159" s="61" t="s">
        <v>1914</v>
      </c>
      <c r="E159" s="11" t="s">
        <v>9</v>
      </c>
    </row>
    <row r="160">
      <c r="B160" s="61" t="s">
        <v>2028</v>
      </c>
      <c r="C160" s="45" t="s">
        <v>7</v>
      </c>
      <c r="D160" s="61" t="s">
        <v>2027</v>
      </c>
      <c r="E160" s="11" t="s">
        <v>13</v>
      </c>
    </row>
    <row r="161">
      <c r="B161" s="61" t="s">
        <v>780</v>
      </c>
      <c r="C161" s="45" t="s">
        <v>24</v>
      </c>
      <c r="D161" s="61" t="s">
        <v>777</v>
      </c>
      <c r="E161" s="11" t="s">
        <v>9</v>
      </c>
    </row>
    <row r="162">
      <c r="B162" s="61" t="s">
        <v>2028</v>
      </c>
      <c r="C162" s="45" t="s">
        <v>185</v>
      </c>
      <c r="D162" s="61" t="s">
        <v>1914</v>
      </c>
      <c r="E162" s="11" t="s">
        <v>13</v>
      </c>
    </row>
    <row r="163">
      <c r="B163" s="61" t="s">
        <v>780</v>
      </c>
      <c r="C163" s="45" t="s">
        <v>43</v>
      </c>
      <c r="D163" s="61" t="s">
        <v>2027</v>
      </c>
      <c r="E163" s="11" t="s">
        <v>9</v>
      </c>
    </row>
    <row r="164">
      <c r="B164" s="61" t="s">
        <v>777</v>
      </c>
      <c r="C164" s="45" t="s">
        <v>264</v>
      </c>
      <c r="D164" s="61" t="s">
        <v>1914</v>
      </c>
      <c r="E164" s="11" t="s">
        <v>13</v>
      </c>
    </row>
    <row r="165">
      <c r="B165" s="61" t="s">
        <v>780</v>
      </c>
      <c r="C165" s="45" t="s">
        <v>366</v>
      </c>
      <c r="D165" s="61" t="s">
        <v>2028</v>
      </c>
      <c r="E165" s="11" t="s">
        <v>9</v>
      </c>
    </row>
    <row r="166">
      <c r="B166" s="61" t="s">
        <v>777</v>
      </c>
      <c r="C166" s="45" t="s">
        <v>173</v>
      </c>
      <c r="D166" s="61" t="s">
        <v>2027</v>
      </c>
      <c r="E166" s="11" t="s">
        <v>13</v>
      </c>
    </row>
    <row r="167">
      <c r="B167" s="61" t="s">
        <v>2027</v>
      </c>
      <c r="C167" s="45" t="s">
        <v>41</v>
      </c>
      <c r="D167" s="61" t="s">
        <v>1914</v>
      </c>
      <c r="E167" s="11" t="s">
        <v>9</v>
      </c>
    </row>
    <row r="168">
      <c r="B168" s="61" t="s">
        <v>777</v>
      </c>
      <c r="C168" s="45" t="s">
        <v>20</v>
      </c>
      <c r="D168" s="61" t="s">
        <v>2028</v>
      </c>
      <c r="E168" s="11" t="s">
        <v>13</v>
      </c>
    </row>
    <row r="169">
      <c r="B169" s="61" t="s">
        <v>1914</v>
      </c>
      <c r="C169" s="45" t="s">
        <v>344</v>
      </c>
      <c r="D169" s="61" t="s">
        <v>780</v>
      </c>
      <c r="E169" s="11" t="s">
        <v>9</v>
      </c>
    </row>
    <row r="170">
      <c r="B170" s="61" t="s">
        <v>2027</v>
      </c>
      <c r="C170" s="45" t="s">
        <v>7</v>
      </c>
      <c r="D170" s="61" t="s">
        <v>2028</v>
      </c>
      <c r="E170" s="11" t="s">
        <v>13</v>
      </c>
    </row>
    <row r="171">
      <c r="B171" s="61" t="s">
        <v>777</v>
      </c>
      <c r="C171" s="45" t="s">
        <v>164</v>
      </c>
      <c r="D171" s="61" t="s">
        <v>780</v>
      </c>
      <c r="E171" s="11" t="s">
        <v>9</v>
      </c>
    </row>
    <row r="172">
      <c r="B172" s="61" t="s">
        <v>1914</v>
      </c>
      <c r="C172" s="45" t="s">
        <v>173</v>
      </c>
      <c r="D172" s="61" t="s">
        <v>2028</v>
      </c>
      <c r="E172" s="11" t="s">
        <v>13</v>
      </c>
    </row>
    <row r="173">
      <c r="B173" s="61" t="s">
        <v>2027</v>
      </c>
      <c r="C173" s="45" t="s">
        <v>181</v>
      </c>
      <c r="D173" s="61" t="s">
        <v>780</v>
      </c>
      <c r="E173" s="11" t="s">
        <v>9</v>
      </c>
    </row>
    <row r="174">
      <c r="B174" s="61" t="s">
        <v>1914</v>
      </c>
      <c r="C174" s="45" t="s">
        <v>357</v>
      </c>
      <c r="D174" s="61" t="s">
        <v>777</v>
      </c>
      <c r="E174" s="11" t="s">
        <v>13</v>
      </c>
    </row>
    <row r="175">
      <c r="B175" s="61" t="s">
        <v>2028</v>
      </c>
      <c r="C175" s="45" t="s">
        <v>198</v>
      </c>
      <c r="D175" s="61" t="s">
        <v>780</v>
      </c>
      <c r="E175" s="11" t="s">
        <v>9</v>
      </c>
    </row>
    <row r="176">
      <c r="B176" s="61" t="s">
        <v>2027</v>
      </c>
      <c r="C176" s="45" t="s">
        <v>162</v>
      </c>
      <c r="D176" s="61" t="s">
        <v>777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2029</v>
      </c>
      <c r="C179" s="57" t="s">
        <v>162</v>
      </c>
      <c r="D179" s="61" t="s">
        <v>2030</v>
      </c>
      <c r="E179" s="11" t="s">
        <v>29</v>
      </c>
    </row>
    <row r="180">
      <c r="B180" s="61" t="s">
        <v>2031</v>
      </c>
      <c r="C180" s="57" t="s">
        <v>20</v>
      </c>
      <c r="D180" s="61" t="s">
        <v>1917</v>
      </c>
      <c r="E180" s="11" t="s">
        <v>33</v>
      </c>
    </row>
    <row r="181">
      <c r="B181" s="61" t="s">
        <v>2032</v>
      </c>
      <c r="C181" s="57" t="s">
        <v>181</v>
      </c>
      <c r="D181" s="61" t="s">
        <v>2029</v>
      </c>
      <c r="E181" s="11" t="s">
        <v>29</v>
      </c>
    </row>
    <row r="182">
      <c r="B182" s="61" t="s">
        <v>2031</v>
      </c>
      <c r="C182" s="57" t="s">
        <v>164</v>
      </c>
      <c r="D182" s="61" t="s">
        <v>2030</v>
      </c>
      <c r="E182" s="11" t="s">
        <v>33</v>
      </c>
    </row>
    <row r="183">
      <c r="B183" s="61" t="s">
        <v>2032</v>
      </c>
      <c r="C183" s="57" t="s">
        <v>219</v>
      </c>
      <c r="D183" s="61" t="s">
        <v>1917</v>
      </c>
      <c r="E183" s="11" t="s">
        <v>29</v>
      </c>
    </row>
    <row r="184">
      <c r="B184" s="61" t="s">
        <v>2031</v>
      </c>
      <c r="C184" s="57" t="s">
        <v>189</v>
      </c>
      <c r="D184" s="61" t="s">
        <v>2029</v>
      </c>
      <c r="E184" s="11" t="s">
        <v>33</v>
      </c>
    </row>
    <row r="185">
      <c r="B185" s="61" t="s">
        <v>2032</v>
      </c>
      <c r="C185" s="57" t="s">
        <v>910</v>
      </c>
      <c r="D185" s="61" t="s">
        <v>2030</v>
      </c>
      <c r="E185" s="11" t="s">
        <v>29</v>
      </c>
    </row>
    <row r="186">
      <c r="B186" s="61" t="s">
        <v>1917</v>
      </c>
      <c r="C186" s="57" t="s">
        <v>220</v>
      </c>
      <c r="D186" s="61" t="s">
        <v>2029</v>
      </c>
      <c r="E186" s="11" t="s">
        <v>33</v>
      </c>
    </row>
    <row r="187">
      <c r="B187" s="61" t="s">
        <v>2032</v>
      </c>
      <c r="C187" s="57" t="s">
        <v>210</v>
      </c>
      <c r="D187" s="56" t="s">
        <v>2031</v>
      </c>
      <c r="E187" s="11" t="s">
        <v>29</v>
      </c>
    </row>
    <row r="188">
      <c r="B188" s="61" t="s">
        <v>1917</v>
      </c>
      <c r="C188" s="57" t="s">
        <v>271</v>
      </c>
      <c r="D188" s="61" t="s">
        <v>2030</v>
      </c>
      <c r="E188" s="11" t="s">
        <v>33</v>
      </c>
    </row>
    <row r="189">
      <c r="B189" s="61" t="s">
        <v>2030</v>
      </c>
      <c r="C189" s="57" t="s">
        <v>574</v>
      </c>
      <c r="D189" s="61" t="s">
        <v>2029</v>
      </c>
      <c r="E189" s="11" t="s">
        <v>29</v>
      </c>
    </row>
    <row r="190">
      <c r="B190" s="61" t="s">
        <v>1917</v>
      </c>
      <c r="C190" s="57" t="s">
        <v>248</v>
      </c>
      <c r="D190" s="61" t="s">
        <v>2031</v>
      </c>
      <c r="E190" s="11" t="s">
        <v>33</v>
      </c>
    </row>
    <row r="191">
      <c r="B191" s="61" t="s">
        <v>2029</v>
      </c>
      <c r="C191" s="45" t="s">
        <v>744</v>
      </c>
      <c r="D191" s="61" t="s">
        <v>2032</v>
      </c>
      <c r="E191" s="11" t="s">
        <v>29</v>
      </c>
    </row>
    <row r="192">
      <c r="B192" s="61" t="s">
        <v>2030</v>
      </c>
      <c r="C192" s="45" t="s">
        <v>640</v>
      </c>
      <c r="D192" s="61" t="s">
        <v>2031</v>
      </c>
      <c r="E192" s="11" t="s">
        <v>33</v>
      </c>
    </row>
    <row r="193">
      <c r="B193" s="61" t="s">
        <v>1917</v>
      </c>
      <c r="C193" s="45" t="s">
        <v>1947</v>
      </c>
      <c r="D193" s="61" t="s">
        <v>2032</v>
      </c>
      <c r="E193" s="11" t="s">
        <v>29</v>
      </c>
    </row>
    <row r="194">
      <c r="B194" s="61" t="s">
        <v>2029</v>
      </c>
      <c r="C194" s="45" t="s">
        <v>183</v>
      </c>
      <c r="D194" s="61" t="s">
        <v>2031</v>
      </c>
      <c r="E194" s="11" t="s">
        <v>33</v>
      </c>
    </row>
    <row r="195">
      <c r="B195" s="61" t="s">
        <v>2030</v>
      </c>
      <c r="C195" s="45" t="s">
        <v>38</v>
      </c>
      <c r="D195" s="61" t="s">
        <v>2032</v>
      </c>
      <c r="E195" s="11" t="s">
        <v>29</v>
      </c>
    </row>
    <row r="196">
      <c r="B196" s="61" t="s">
        <v>2029</v>
      </c>
      <c r="C196" s="45" t="s">
        <v>180</v>
      </c>
      <c r="D196" s="61" t="s">
        <v>1917</v>
      </c>
      <c r="E196" s="11" t="s">
        <v>33</v>
      </c>
    </row>
    <row r="197">
      <c r="B197" s="61" t="s">
        <v>2031</v>
      </c>
      <c r="C197" s="45" t="s">
        <v>744</v>
      </c>
      <c r="D197" s="61" t="s">
        <v>2032</v>
      </c>
      <c r="E197" s="11" t="s">
        <v>29</v>
      </c>
    </row>
    <row r="198">
      <c r="B198" s="61" t="s">
        <v>2030</v>
      </c>
      <c r="C198" s="45" t="s">
        <v>219</v>
      </c>
      <c r="D198" s="61" t="s">
        <v>1917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726</v>
      </c>
      <c r="C201" s="45" t="s">
        <v>344</v>
      </c>
      <c r="D201" s="61" t="s">
        <v>2033</v>
      </c>
      <c r="E201" s="11" t="s">
        <v>29</v>
      </c>
    </row>
    <row r="202">
      <c r="B202" s="61" t="s">
        <v>1981</v>
      </c>
      <c r="C202" s="45" t="s">
        <v>17</v>
      </c>
      <c r="D202" s="61" t="s">
        <v>2034</v>
      </c>
      <c r="E202" s="11" t="s">
        <v>33</v>
      </c>
    </row>
    <row r="203">
      <c r="B203" s="61" t="s">
        <v>1867</v>
      </c>
      <c r="C203" s="45" t="s">
        <v>256</v>
      </c>
      <c r="D203" s="61" t="s">
        <v>726</v>
      </c>
      <c r="E203" s="11" t="s">
        <v>29</v>
      </c>
    </row>
    <row r="204">
      <c r="B204" s="61" t="s">
        <v>1981</v>
      </c>
      <c r="C204" s="45" t="s">
        <v>208</v>
      </c>
      <c r="D204" s="61" t="s">
        <v>2033</v>
      </c>
      <c r="E204" s="11" t="s">
        <v>33</v>
      </c>
    </row>
    <row r="205">
      <c r="B205" s="61" t="s">
        <v>1867</v>
      </c>
      <c r="C205" s="45" t="s">
        <v>158</v>
      </c>
      <c r="D205" s="61" t="s">
        <v>2034</v>
      </c>
      <c r="E205" s="11" t="s">
        <v>29</v>
      </c>
    </row>
    <row r="206">
      <c r="B206" s="61" t="s">
        <v>1981</v>
      </c>
      <c r="C206" s="45" t="s">
        <v>196</v>
      </c>
      <c r="D206" s="61" t="s">
        <v>726</v>
      </c>
      <c r="E206" s="11" t="s">
        <v>33</v>
      </c>
    </row>
    <row r="207">
      <c r="B207" s="61" t="s">
        <v>1867</v>
      </c>
      <c r="C207" s="45" t="s">
        <v>239</v>
      </c>
      <c r="D207" s="61" t="s">
        <v>2033</v>
      </c>
      <c r="E207" s="11" t="s">
        <v>29</v>
      </c>
    </row>
    <row r="208">
      <c r="B208" s="61" t="s">
        <v>2034</v>
      </c>
      <c r="C208" s="45" t="s">
        <v>383</v>
      </c>
      <c r="D208" s="61" t="s">
        <v>726</v>
      </c>
      <c r="E208" s="11" t="s">
        <v>33</v>
      </c>
    </row>
    <row r="209">
      <c r="B209" s="61" t="s">
        <v>1867</v>
      </c>
      <c r="C209" s="45" t="s">
        <v>344</v>
      </c>
      <c r="D209" s="61" t="s">
        <v>1981</v>
      </c>
      <c r="E209" s="11" t="s">
        <v>29</v>
      </c>
    </row>
    <row r="210">
      <c r="B210" s="61" t="s">
        <v>2034</v>
      </c>
      <c r="C210" s="45" t="s">
        <v>177</v>
      </c>
      <c r="D210" s="61" t="s">
        <v>2033</v>
      </c>
      <c r="E210" s="11" t="s">
        <v>33</v>
      </c>
    </row>
    <row r="211">
      <c r="B211" s="61" t="s">
        <v>2033</v>
      </c>
      <c r="C211" s="45" t="s">
        <v>18</v>
      </c>
      <c r="D211" s="61" t="s">
        <v>726</v>
      </c>
      <c r="E211" s="11" t="s">
        <v>29</v>
      </c>
    </row>
    <row r="212">
      <c r="B212" s="61" t="s">
        <v>2034</v>
      </c>
      <c r="C212" s="45" t="s">
        <v>194</v>
      </c>
      <c r="D212" s="61" t="s">
        <v>1981</v>
      </c>
      <c r="E212" s="11" t="s">
        <v>33</v>
      </c>
    </row>
    <row r="213">
      <c r="B213" s="61" t="s">
        <v>726</v>
      </c>
      <c r="C213" s="45" t="s">
        <v>888</v>
      </c>
      <c r="D213" s="61" t="s">
        <v>1867</v>
      </c>
      <c r="E213" s="11" t="s">
        <v>29</v>
      </c>
    </row>
    <row r="214">
      <c r="B214" s="61" t="s">
        <v>2033</v>
      </c>
      <c r="C214" s="45" t="s">
        <v>302</v>
      </c>
      <c r="D214" s="61" t="s">
        <v>1981</v>
      </c>
      <c r="E214" s="11" t="s">
        <v>33</v>
      </c>
    </row>
    <row r="215">
      <c r="B215" s="61" t="s">
        <v>2034</v>
      </c>
      <c r="C215" s="45" t="s">
        <v>220</v>
      </c>
      <c r="D215" s="61" t="s">
        <v>1867</v>
      </c>
      <c r="E215" s="11" t="s">
        <v>29</v>
      </c>
    </row>
    <row r="216">
      <c r="B216" s="61" t="s">
        <v>726</v>
      </c>
      <c r="C216" s="45" t="s">
        <v>163</v>
      </c>
      <c r="D216" s="61" t="s">
        <v>1981</v>
      </c>
      <c r="E216" s="11" t="s">
        <v>33</v>
      </c>
    </row>
    <row r="217">
      <c r="B217" s="61" t="s">
        <v>2033</v>
      </c>
      <c r="C217" s="45" t="s">
        <v>324</v>
      </c>
      <c r="D217" s="61" t="s">
        <v>1867</v>
      </c>
      <c r="E217" s="11" t="s">
        <v>29</v>
      </c>
    </row>
    <row r="218">
      <c r="B218" s="61" t="s">
        <v>726</v>
      </c>
      <c r="C218" s="45" t="s">
        <v>1123</v>
      </c>
      <c r="D218" s="61" t="s">
        <v>2034</v>
      </c>
      <c r="E218" s="11" t="s">
        <v>33</v>
      </c>
    </row>
    <row r="219">
      <c r="B219" s="61" t="s">
        <v>1981</v>
      </c>
      <c r="C219" s="45" t="s">
        <v>538</v>
      </c>
      <c r="D219" s="61" t="s">
        <v>1867</v>
      </c>
      <c r="E219" s="11" t="s">
        <v>29</v>
      </c>
    </row>
    <row r="220">
      <c r="B220" s="61" t="s">
        <v>2033</v>
      </c>
      <c r="C220" s="45" t="s">
        <v>419</v>
      </c>
      <c r="D220" s="61" t="s">
        <v>2034</v>
      </c>
      <c r="E220" s="11" t="s">
        <v>33</v>
      </c>
    </row>
    <row r="221">
      <c r="B221" s="52" t="s">
        <v>1803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2035</v>
      </c>
      <c r="C223" s="57" t="s">
        <v>222</v>
      </c>
      <c r="D223" s="62" t="s">
        <v>1083</v>
      </c>
      <c r="E223" s="11" t="s">
        <v>9</v>
      </c>
    </row>
    <row r="224">
      <c r="B224" s="62" t="s">
        <v>2036</v>
      </c>
      <c r="C224" s="57" t="s">
        <v>177</v>
      </c>
      <c r="D224" s="62" t="s">
        <v>1984</v>
      </c>
      <c r="E224" s="11" t="s">
        <v>13</v>
      </c>
    </row>
    <row r="225">
      <c r="B225" s="62" t="s">
        <v>2037</v>
      </c>
      <c r="C225" s="57" t="s">
        <v>19</v>
      </c>
      <c r="D225" s="62" t="s">
        <v>2035</v>
      </c>
      <c r="E225" s="11" t="s">
        <v>9</v>
      </c>
    </row>
    <row r="226">
      <c r="B226" s="62" t="s">
        <v>2036</v>
      </c>
      <c r="C226" s="57" t="s">
        <v>16</v>
      </c>
      <c r="D226" s="62" t="s">
        <v>1083</v>
      </c>
      <c r="E226" s="11" t="s">
        <v>13</v>
      </c>
    </row>
    <row r="227">
      <c r="B227" s="62" t="s">
        <v>2037</v>
      </c>
      <c r="C227" s="57" t="s">
        <v>301</v>
      </c>
      <c r="D227" s="62" t="s">
        <v>1984</v>
      </c>
      <c r="E227" s="11" t="s">
        <v>9</v>
      </c>
    </row>
    <row r="228">
      <c r="B228" s="62" t="s">
        <v>2036</v>
      </c>
      <c r="C228" s="57" t="s">
        <v>208</v>
      </c>
      <c r="D228" s="62" t="s">
        <v>2035</v>
      </c>
      <c r="E228" s="11" t="s">
        <v>13</v>
      </c>
    </row>
    <row r="229">
      <c r="B229" s="62" t="s">
        <v>2037</v>
      </c>
      <c r="C229" s="57" t="s">
        <v>24</v>
      </c>
      <c r="D229" s="62" t="s">
        <v>1083</v>
      </c>
      <c r="E229" s="11" t="s">
        <v>9</v>
      </c>
    </row>
    <row r="230">
      <c r="B230" s="62" t="s">
        <v>1984</v>
      </c>
      <c r="C230" s="57" t="s">
        <v>38</v>
      </c>
      <c r="D230" s="62" t="s">
        <v>2035</v>
      </c>
      <c r="E230" s="11" t="s">
        <v>13</v>
      </c>
    </row>
    <row r="231">
      <c r="B231" s="62" t="s">
        <v>2037</v>
      </c>
      <c r="C231" s="57" t="s">
        <v>554</v>
      </c>
      <c r="D231" s="62" t="s">
        <v>2036</v>
      </c>
      <c r="E231" s="11" t="s">
        <v>9</v>
      </c>
    </row>
    <row r="232">
      <c r="B232" s="62" t="s">
        <v>1984</v>
      </c>
      <c r="C232" s="57" t="s">
        <v>291</v>
      </c>
      <c r="D232" s="62" t="s">
        <v>1083</v>
      </c>
      <c r="E232" s="11" t="s">
        <v>13</v>
      </c>
    </row>
    <row r="233">
      <c r="B233" s="62" t="s">
        <v>1083</v>
      </c>
      <c r="C233" s="57" t="s">
        <v>44</v>
      </c>
      <c r="D233" s="62" t="s">
        <v>2035</v>
      </c>
      <c r="E233" s="11" t="s">
        <v>9</v>
      </c>
    </row>
    <row r="234">
      <c r="B234" s="62" t="s">
        <v>1984</v>
      </c>
      <c r="C234" s="57" t="s">
        <v>193</v>
      </c>
      <c r="D234" s="62" t="s">
        <v>2036</v>
      </c>
      <c r="E234" s="11" t="s">
        <v>13</v>
      </c>
    </row>
    <row r="235">
      <c r="B235" s="62" t="s">
        <v>2035</v>
      </c>
      <c r="C235" s="45" t="s">
        <v>344</v>
      </c>
      <c r="D235" s="62" t="s">
        <v>2037</v>
      </c>
      <c r="E235" s="11" t="s">
        <v>9</v>
      </c>
    </row>
    <row r="236">
      <c r="B236" s="62" t="s">
        <v>1083</v>
      </c>
      <c r="C236" s="45" t="s">
        <v>342</v>
      </c>
      <c r="D236" s="62" t="s">
        <v>2036</v>
      </c>
      <c r="E236" s="11" t="s">
        <v>13</v>
      </c>
    </row>
    <row r="237">
      <c r="B237" s="62" t="s">
        <v>1984</v>
      </c>
      <c r="C237" s="45" t="s">
        <v>16</v>
      </c>
      <c r="D237" s="62" t="s">
        <v>2037</v>
      </c>
      <c r="E237" s="11" t="s">
        <v>9</v>
      </c>
    </row>
    <row r="238">
      <c r="B238" s="62" t="s">
        <v>2035</v>
      </c>
      <c r="C238" s="45" t="s">
        <v>218</v>
      </c>
      <c r="D238" s="62" t="s">
        <v>2036</v>
      </c>
      <c r="E238" s="11" t="s">
        <v>13</v>
      </c>
    </row>
    <row r="239">
      <c r="B239" s="62" t="s">
        <v>1083</v>
      </c>
      <c r="C239" s="45" t="s">
        <v>18</v>
      </c>
      <c r="D239" s="62" t="s">
        <v>2037</v>
      </c>
      <c r="E239" s="11" t="s">
        <v>9</v>
      </c>
    </row>
    <row r="240">
      <c r="B240" s="62" t="s">
        <v>2035</v>
      </c>
      <c r="C240" s="45" t="s">
        <v>43</v>
      </c>
      <c r="D240" s="62" t="s">
        <v>1984</v>
      </c>
      <c r="E240" s="11" t="s">
        <v>13</v>
      </c>
    </row>
    <row r="241">
      <c r="B241" s="62" t="s">
        <v>2036</v>
      </c>
      <c r="C241" s="45" t="s">
        <v>168</v>
      </c>
      <c r="D241" s="62" t="s">
        <v>2037</v>
      </c>
      <c r="E241" s="11" t="s">
        <v>9</v>
      </c>
    </row>
    <row r="242">
      <c r="B242" s="62" t="s">
        <v>1083</v>
      </c>
      <c r="C242" s="45" t="s">
        <v>14</v>
      </c>
      <c r="D242" s="62" t="s">
        <v>1984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1931</v>
      </c>
      <c r="C245" s="45" t="s">
        <v>439</v>
      </c>
      <c r="D245" s="62" t="s">
        <v>543</v>
      </c>
      <c r="E245" s="11" t="s">
        <v>9</v>
      </c>
    </row>
    <row r="246">
      <c r="B246" s="62" t="s">
        <v>2038</v>
      </c>
      <c r="C246" s="45" t="s">
        <v>218</v>
      </c>
      <c r="D246" s="62" t="s">
        <v>2039</v>
      </c>
      <c r="E246" s="11" t="s">
        <v>13</v>
      </c>
    </row>
    <row r="247">
      <c r="B247" s="62" t="s">
        <v>1873</v>
      </c>
      <c r="C247" s="45" t="s">
        <v>166</v>
      </c>
      <c r="D247" s="62" t="s">
        <v>1931</v>
      </c>
      <c r="E247" s="11" t="s">
        <v>9</v>
      </c>
    </row>
    <row r="248">
      <c r="B248" s="62" t="s">
        <v>2038</v>
      </c>
      <c r="C248" s="45" t="s">
        <v>19</v>
      </c>
      <c r="D248" s="62" t="s">
        <v>543</v>
      </c>
      <c r="E248" s="11" t="s">
        <v>13</v>
      </c>
    </row>
    <row r="249">
      <c r="B249" s="62" t="s">
        <v>1873</v>
      </c>
      <c r="C249" s="45" t="s">
        <v>22</v>
      </c>
      <c r="D249" s="62" t="s">
        <v>2039</v>
      </c>
      <c r="E249" s="11" t="s">
        <v>9</v>
      </c>
    </row>
    <row r="250">
      <c r="B250" s="62" t="s">
        <v>2038</v>
      </c>
      <c r="C250" s="45" t="s">
        <v>251</v>
      </c>
      <c r="D250" s="62" t="s">
        <v>1931</v>
      </c>
      <c r="E250" s="11" t="s">
        <v>13</v>
      </c>
    </row>
    <row r="251">
      <c r="B251" s="62" t="s">
        <v>1873</v>
      </c>
      <c r="C251" s="45" t="s">
        <v>1494</v>
      </c>
      <c r="D251" s="62" t="s">
        <v>543</v>
      </c>
      <c r="E251" s="11" t="s">
        <v>9</v>
      </c>
    </row>
    <row r="252">
      <c r="B252" s="62" t="s">
        <v>2039</v>
      </c>
      <c r="C252" s="45" t="s">
        <v>166</v>
      </c>
      <c r="D252" s="62" t="s">
        <v>1931</v>
      </c>
      <c r="E252" s="11" t="s">
        <v>13</v>
      </c>
    </row>
    <row r="253">
      <c r="B253" s="62" t="s">
        <v>1873</v>
      </c>
      <c r="C253" s="45" t="s">
        <v>20</v>
      </c>
      <c r="D253" s="62" t="s">
        <v>2038</v>
      </c>
      <c r="E253" s="11" t="s">
        <v>9</v>
      </c>
    </row>
    <row r="254">
      <c r="B254" s="62" t="s">
        <v>2039</v>
      </c>
      <c r="C254" s="45" t="s">
        <v>38</v>
      </c>
      <c r="D254" s="62" t="s">
        <v>543</v>
      </c>
      <c r="E254" s="11" t="s">
        <v>13</v>
      </c>
    </row>
    <row r="255">
      <c r="B255" s="62" t="s">
        <v>543</v>
      </c>
      <c r="C255" s="45" t="s">
        <v>41</v>
      </c>
      <c r="D255" s="62" t="s">
        <v>1931</v>
      </c>
      <c r="E255" s="11" t="s">
        <v>9</v>
      </c>
    </row>
    <row r="256">
      <c r="B256" s="62" t="s">
        <v>2039</v>
      </c>
      <c r="C256" s="45" t="s">
        <v>303</v>
      </c>
      <c r="D256" s="62" t="s">
        <v>2038</v>
      </c>
      <c r="E256" s="11" t="s">
        <v>13</v>
      </c>
    </row>
    <row r="257">
      <c r="B257" s="62" t="s">
        <v>1931</v>
      </c>
      <c r="C257" s="45" t="s">
        <v>290</v>
      </c>
      <c r="D257" s="62" t="s">
        <v>1873</v>
      </c>
      <c r="E257" s="11" t="s">
        <v>9</v>
      </c>
    </row>
    <row r="258">
      <c r="B258" s="62" t="s">
        <v>543</v>
      </c>
      <c r="C258" s="45" t="s">
        <v>176</v>
      </c>
      <c r="D258" s="62" t="s">
        <v>2038</v>
      </c>
      <c r="E258" s="11" t="s">
        <v>13</v>
      </c>
    </row>
    <row r="259">
      <c r="B259" s="62" t="s">
        <v>2039</v>
      </c>
      <c r="C259" s="45" t="s">
        <v>164</v>
      </c>
      <c r="D259" s="62" t="s">
        <v>1873</v>
      </c>
      <c r="E259" s="11" t="s">
        <v>9</v>
      </c>
    </row>
    <row r="260">
      <c r="B260" s="62" t="s">
        <v>1931</v>
      </c>
      <c r="C260" s="45" t="s">
        <v>534</v>
      </c>
      <c r="D260" s="62" t="s">
        <v>2038</v>
      </c>
      <c r="E260" s="11" t="s">
        <v>13</v>
      </c>
    </row>
    <row r="261">
      <c r="B261" s="62" t="s">
        <v>543</v>
      </c>
      <c r="C261" s="45" t="s">
        <v>490</v>
      </c>
      <c r="D261" s="62" t="s">
        <v>1873</v>
      </c>
      <c r="E261" s="11" t="s">
        <v>9</v>
      </c>
    </row>
    <row r="262">
      <c r="B262" s="62" t="s">
        <v>1931</v>
      </c>
      <c r="C262" s="45" t="s">
        <v>23</v>
      </c>
      <c r="D262" s="62" t="s">
        <v>2039</v>
      </c>
      <c r="E262" s="11" t="s">
        <v>13</v>
      </c>
    </row>
    <row r="263">
      <c r="B263" s="62" t="s">
        <v>2038</v>
      </c>
      <c r="C263" s="45" t="s">
        <v>301</v>
      </c>
      <c r="D263" s="62" t="s">
        <v>1873</v>
      </c>
      <c r="E263" s="11" t="s">
        <v>9</v>
      </c>
    </row>
    <row r="264">
      <c r="B264" s="62" t="s">
        <v>543</v>
      </c>
      <c r="C264" s="45" t="s">
        <v>640</v>
      </c>
      <c r="D264" s="62" t="s">
        <v>2039</v>
      </c>
      <c r="E264" s="11" t="s">
        <v>13</v>
      </c>
    </row>
    <row r="265">
      <c r="B265" s="52" t="s">
        <v>100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2040</v>
      </c>
      <c r="C267" s="45" t="s">
        <v>279</v>
      </c>
      <c r="D267" s="62" t="s">
        <v>2041</v>
      </c>
      <c r="E267" s="11" t="s">
        <v>29</v>
      </c>
    </row>
    <row r="268">
      <c r="B268" s="62" t="s">
        <v>1990</v>
      </c>
      <c r="C268" s="45" t="s">
        <v>257</v>
      </c>
      <c r="D268" s="62" t="s">
        <v>2042</v>
      </c>
      <c r="E268" s="11" t="s">
        <v>33</v>
      </c>
    </row>
    <row r="269">
      <c r="B269" s="62" t="s">
        <v>676</v>
      </c>
      <c r="C269" s="45" t="s">
        <v>165</v>
      </c>
      <c r="D269" s="62" t="s">
        <v>2040</v>
      </c>
      <c r="E269" s="11" t="s">
        <v>29</v>
      </c>
    </row>
    <row r="270">
      <c r="B270" s="62" t="s">
        <v>1990</v>
      </c>
      <c r="C270" s="45" t="s">
        <v>193</v>
      </c>
      <c r="D270" s="62" t="s">
        <v>2041</v>
      </c>
      <c r="E270" s="11" t="s">
        <v>33</v>
      </c>
    </row>
    <row r="271">
      <c r="B271" s="62" t="s">
        <v>676</v>
      </c>
      <c r="C271" s="45" t="s">
        <v>164</v>
      </c>
      <c r="D271" s="62" t="s">
        <v>2042</v>
      </c>
      <c r="E271" s="11" t="s">
        <v>29</v>
      </c>
    </row>
    <row r="272">
      <c r="B272" s="62" t="s">
        <v>1990</v>
      </c>
      <c r="C272" s="45" t="s">
        <v>208</v>
      </c>
      <c r="D272" s="62" t="s">
        <v>2040</v>
      </c>
      <c r="E272" s="11" t="s">
        <v>33</v>
      </c>
    </row>
    <row r="273">
      <c r="B273" s="62" t="s">
        <v>676</v>
      </c>
      <c r="C273" s="45" t="s">
        <v>185</v>
      </c>
      <c r="D273" s="62" t="s">
        <v>2041</v>
      </c>
      <c r="E273" s="11" t="s">
        <v>29</v>
      </c>
    </row>
    <row r="274">
      <c r="B274" s="62" t="s">
        <v>2042</v>
      </c>
      <c r="C274" s="45" t="s">
        <v>177</v>
      </c>
      <c r="D274" s="62" t="s">
        <v>2040</v>
      </c>
      <c r="E274" s="11" t="s">
        <v>33</v>
      </c>
    </row>
    <row r="275">
      <c r="B275" s="62" t="s">
        <v>676</v>
      </c>
      <c r="C275" s="45" t="s">
        <v>209</v>
      </c>
      <c r="D275" s="62" t="s">
        <v>1990</v>
      </c>
      <c r="E275" s="11" t="s">
        <v>29</v>
      </c>
    </row>
    <row r="276">
      <c r="B276" s="62" t="s">
        <v>2042</v>
      </c>
      <c r="C276" s="45" t="s">
        <v>231</v>
      </c>
      <c r="D276" s="62" t="s">
        <v>2041</v>
      </c>
      <c r="E276" s="11" t="s">
        <v>33</v>
      </c>
    </row>
    <row r="277">
      <c r="B277" s="62" t="s">
        <v>2041</v>
      </c>
      <c r="C277" s="45" t="s">
        <v>251</v>
      </c>
      <c r="D277" s="62" t="s">
        <v>2040</v>
      </c>
      <c r="E277" s="11" t="s">
        <v>29</v>
      </c>
    </row>
    <row r="278">
      <c r="B278" s="62" t="s">
        <v>2042</v>
      </c>
      <c r="C278" s="45" t="s">
        <v>545</v>
      </c>
      <c r="D278" s="62" t="s">
        <v>1990</v>
      </c>
      <c r="E278" s="11" t="s">
        <v>33</v>
      </c>
    </row>
    <row r="279">
      <c r="B279" s="62" t="s">
        <v>2040</v>
      </c>
      <c r="C279" s="45" t="s">
        <v>751</v>
      </c>
      <c r="D279" s="62" t="s">
        <v>676</v>
      </c>
      <c r="E279" s="11" t="s">
        <v>29</v>
      </c>
    </row>
    <row r="280">
      <c r="B280" s="62" t="s">
        <v>2041</v>
      </c>
      <c r="C280" s="45" t="s">
        <v>210</v>
      </c>
      <c r="D280" s="62" t="s">
        <v>1990</v>
      </c>
      <c r="E280" s="11" t="s">
        <v>33</v>
      </c>
    </row>
    <row r="281">
      <c r="B281" s="62" t="s">
        <v>2042</v>
      </c>
      <c r="C281" s="45" t="s">
        <v>7</v>
      </c>
      <c r="D281" s="62" t="s">
        <v>676</v>
      </c>
      <c r="E281" s="11" t="s">
        <v>29</v>
      </c>
    </row>
    <row r="282">
      <c r="B282" s="62" t="s">
        <v>2040</v>
      </c>
      <c r="C282" s="45" t="s">
        <v>227</v>
      </c>
      <c r="D282" s="62" t="s">
        <v>1990</v>
      </c>
      <c r="E282" s="11" t="s">
        <v>33</v>
      </c>
    </row>
    <row r="283">
      <c r="B283" s="62" t="s">
        <v>2041</v>
      </c>
      <c r="C283" s="45" t="s">
        <v>23</v>
      </c>
      <c r="D283" s="62" t="s">
        <v>676</v>
      </c>
      <c r="E283" s="11" t="s">
        <v>29</v>
      </c>
    </row>
    <row r="284">
      <c r="B284" s="62" t="s">
        <v>2040</v>
      </c>
      <c r="C284" s="45" t="s">
        <v>34</v>
      </c>
      <c r="D284" s="62" t="s">
        <v>2042</v>
      </c>
      <c r="E284" s="11" t="s">
        <v>33</v>
      </c>
    </row>
    <row r="285">
      <c r="B285" s="62" t="s">
        <v>1990</v>
      </c>
      <c r="C285" s="45" t="s">
        <v>344</v>
      </c>
      <c r="D285" s="62" t="s">
        <v>676</v>
      </c>
      <c r="E285" s="11" t="s">
        <v>29</v>
      </c>
    </row>
    <row r="286">
      <c r="B286" s="62" t="s">
        <v>2041</v>
      </c>
      <c r="C286" s="45" t="s">
        <v>7</v>
      </c>
      <c r="D286" s="62" t="s">
        <v>2042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2043</v>
      </c>
      <c r="C289" s="45" t="s">
        <v>570</v>
      </c>
      <c r="D289" s="62" t="s">
        <v>2044</v>
      </c>
      <c r="E289" s="11" t="s">
        <v>29</v>
      </c>
    </row>
    <row r="290">
      <c r="B290" s="62" t="s">
        <v>1994</v>
      </c>
      <c r="C290" s="45" t="s">
        <v>218</v>
      </c>
      <c r="D290" s="62" t="s">
        <v>2045</v>
      </c>
      <c r="E290" s="11" t="s">
        <v>33</v>
      </c>
    </row>
    <row r="291">
      <c r="B291" s="62" t="s">
        <v>2046</v>
      </c>
      <c r="C291" s="45" t="s">
        <v>43</v>
      </c>
      <c r="D291" s="62" t="s">
        <v>2043</v>
      </c>
      <c r="E291" s="11" t="s">
        <v>29</v>
      </c>
    </row>
    <row r="292">
      <c r="B292" s="62" t="s">
        <v>1994</v>
      </c>
      <c r="C292" s="45" t="s">
        <v>20</v>
      </c>
      <c r="D292" s="62" t="s">
        <v>2044</v>
      </c>
      <c r="E292" s="11" t="s">
        <v>33</v>
      </c>
    </row>
    <row r="293">
      <c r="B293" s="62" t="s">
        <v>2046</v>
      </c>
      <c r="C293" s="45" t="s">
        <v>7</v>
      </c>
      <c r="D293" s="62" t="s">
        <v>2045</v>
      </c>
      <c r="E293" s="11" t="s">
        <v>29</v>
      </c>
    </row>
    <row r="294">
      <c r="B294" s="62" t="s">
        <v>1994</v>
      </c>
      <c r="C294" s="45" t="s">
        <v>958</v>
      </c>
      <c r="D294" s="62" t="s">
        <v>2043</v>
      </c>
      <c r="E294" s="11" t="s">
        <v>33</v>
      </c>
    </row>
    <row r="295">
      <c r="B295" s="62" t="s">
        <v>2046</v>
      </c>
      <c r="C295" s="45" t="s">
        <v>289</v>
      </c>
      <c r="D295" s="62" t="s">
        <v>2044</v>
      </c>
      <c r="E295" s="11" t="s">
        <v>29</v>
      </c>
    </row>
    <row r="296">
      <c r="B296" s="62" t="s">
        <v>2045</v>
      </c>
      <c r="C296" s="45" t="s">
        <v>18</v>
      </c>
      <c r="D296" s="62" t="s">
        <v>2043</v>
      </c>
      <c r="E296" s="11" t="s">
        <v>33</v>
      </c>
    </row>
    <row r="297">
      <c r="B297" s="62" t="s">
        <v>2046</v>
      </c>
      <c r="C297" s="45" t="s">
        <v>380</v>
      </c>
      <c r="D297" s="62" t="s">
        <v>1994</v>
      </c>
      <c r="E297" s="11" t="s">
        <v>29</v>
      </c>
    </row>
    <row r="298">
      <c r="B298" s="62" t="s">
        <v>2045</v>
      </c>
      <c r="C298" s="45" t="s">
        <v>166</v>
      </c>
      <c r="D298" s="62" t="s">
        <v>2044</v>
      </c>
      <c r="E298" s="11" t="s">
        <v>33</v>
      </c>
    </row>
    <row r="299">
      <c r="B299" s="62" t="s">
        <v>2044</v>
      </c>
      <c r="C299" s="45" t="s">
        <v>279</v>
      </c>
      <c r="D299" s="62" t="s">
        <v>2043</v>
      </c>
      <c r="E299" s="11" t="s">
        <v>29</v>
      </c>
    </row>
    <row r="300">
      <c r="B300" s="62" t="s">
        <v>2045</v>
      </c>
      <c r="C300" s="45" t="s">
        <v>43</v>
      </c>
      <c r="D300" s="62" t="s">
        <v>1994</v>
      </c>
      <c r="E300" s="11" t="s">
        <v>33</v>
      </c>
    </row>
    <row r="301">
      <c r="B301" s="62" t="s">
        <v>2043</v>
      </c>
      <c r="C301" s="45" t="s">
        <v>271</v>
      </c>
      <c r="D301" s="62" t="s">
        <v>2046</v>
      </c>
      <c r="E301" s="11" t="s">
        <v>29</v>
      </c>
    </row>
    <row r="302">
      <c r="B302" s="62" t="s">
        <v>2044</v>
      </c>
      <c r="C302" s="45" t="s">
        <v>545</v>
      </c>
      <c r="D302" s="62" t="s">
        <v>1994</v>
      </c>
      <c r="E302" s="11" t="s">
        <v>33</v>
      </c>
    </row>
    <row r="303">
      <c r="B303" s="62" t="s">
        <v>2045</v>
      </c>
      <c r="C303" s="45" t="s">
        <v>389</v>
      </c>
      <c r="D303" s="62" t="s">
        <v>2046</v>
      </c>
      <c r="E303" s="11" t="s">
        <v>29</v>
      </c>
    </row>
    <row r="304">
      <c r="B304" s="62" t="s">
        <v>2043</v>
      </c>
      <c r="C304" s="45" t="s">
        <v>210</v>
      </c>
      <c r="D304" s="62" t="s">
        <v>1994</v>
      </c>
      <c r="E304" s="11" t="s">
        <v>33</v>
      </c>
      <c r="I304" s="50" t="s">
        <v>861</v>
      </c>
    </row>
    <row r="305">
      <c r="B305" s="62" t="s">
        <v>2044</v>
      </c>
      <c r="C305" s="45" t="s">
        <v>327</v>
      </c>
      <c r="D305" s="62" t="s">
        <v>2046</v>
      </c>
      <c r="E305" s="11" t="s">
        <v>29</v>
      </c>
    </row>
    <row r="306">
      <c r="B306" s="62" t="s">
        <v>2043</v>
      </c>
      <c r="C306" s="45" t="s">
        <v>16</v>
      </c>
      <c r="D306" s="62" t="s">
        <v>2045</v>
      </c>
      <c r="E306" s="11" t="s">
        <v>33</v>
      </c>
    </row>
    <row r="307">
      <c r="B307" s="62" t="s">
        <v>1994</v>
      </c>
      <c r="C307" s="45" t="s">
        <v>11</v>
      </c>
      <c r="D307" s="62" t="s">
        <v>2046</v>
      </c>
      <c r="E307" s="11" t="s">
        <v>29</v>
      </c>
    </row>
    <row r="308">
      <c r="B308" s="62" t="s">
        <v>2044</v>
      </c>
      <c r="C308" s="45" t="s">
        <v>181</v>
      </c>
      <c r="D308" s="62" t="s">
        <v>2045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137</v>
      </c>
      <c r="C311" s="57" t="s">
        <v>278</v>
      </c>
      <c r="D311" s="62" t="s">
        <v>2047</v>
      </c>
      <c r="E311" s="11" t="s">
        <v>9</v>
      </c>
    </row>
    <row r="312">
      <c r="B312" s="62" t="s">
        <v>2048</v>
      </c>
      <c r="C312" s="57" t="s">
        <v>19</v>
      </c>
      <c r="D312" s="62" t="s">
        <v>1824</v>
      </c>
      <c r="E312" s="11" t="s">
        <v>13</v>
      </c>
    </row>
    <row r="313">
      <c r="B313" s="62" t="s">
        <v>1385</v>
      </c>
      <c r="C313" s="57" t="s">
        <v>158</v>
      </c>
      <c r="D313" s="62" t="s">
        <v>137</v>
      </c>
      <c r="E313" s="11" t="s">
        <v>9</v>
      </c>
    </row>
    <row r="314">
      <c r="B314" s="62" t="s">
        <v>2048</v>
      </c>
      <c r="C314" s="57" t="s">
        <v>1277</v>
      </c>
      <c r="D314" s="62" t="s">
        <v>2047</v>
      </c>
      <c r="E314" s="11" t="s">
        <v>13</v>
      </c>
    </row>
    <row r="315">
      <c r="B315" s="62" t="s">
        <v>1385</v>
      </c>
      <c r="C315" s="57" t="s">
        <v>264</v>
      </c>
      <c r="D315" s="62" t="s">
        <v>1824</v>
      </c>
      <c r="E315" s="11" t="s">
        <v>9</v>
      </c>
    </row>
    <row r="316">
      <c r="B316" s="62" t="s">
        <v>2048</v>
      </c>
      <c r="C316" s="57" t="s">
        <v>336</v>
      </c>
      <c r="D316" s="62" t="s">
        <v>137</v>
      </c>
      <c r="E316" s="11" t="s">
        <v>13</v>
      </c>
    </row>
    <row r="317">
      <c r="B317" s="62" t="s">
        <v>1385</v>
      </c>
      <c r="C317" s="57" t="s">
        <v>31</v>
      </c>
      <c r="D317" s="62" t="s">
        <v>2047</v>
      </c>
      <c r="E317" s="11" t="s">
        <v>9</v>
      </c>
    </row>
    <row r="318">
      <c r="B318" s="62" t="s">
        <v>1824</v>
      </c>
      <c r="C318" s="57" t="s">
        <v>17</v>
      </c>
      <c r="D318" s="62" t="s">
        <v>137</v>
      </c>
      <c r="E318" s="11" t="s">
        <v>13</v>
      </c>
    </row>
    <row r="319">
      <c r="B319" s="62" t="s">
        <v>1385</v>
      </c>
      <c r="C319" s="57" t="s">
        <v>1226</v>
      </c>
      <c r="D319" s="62" t="s">
        <v>2048</v>
      </c>
      <c r="E319" s="11" t="s">
        <v>9</v>
      </c>
    </row>
    <row r="320">
      <c r="B320" s="62" t="s">
        <v>1824</v>
      </c>
      <c r="C320" s="57" t="s">
        <v>2049</v>
      </c>
      <c r="D320" s="62" t="s">
        <v>2047</v>
      </c>
      <c r="E320" s="11" t="s">
        <v>13</v>
      </c>
    </row>
    <row r="321">
      <c r="B321" s="62" t="s">
        <v>2047</v>
      </c>
      <c r="C321" s="57" t="s">
        <v>2050</v>
      </c>
      <c r="D321" s="62" t="s">
        <v>137</v>
      </c>
      <c r="E321" s="11" t="s">
        <v>9</v>
      </c>
    </row>
    <row r="322">
      <c r="B322" s="62" t="s">
        <v>1824</v>
      </c>
      <c r="C322" s="57" t="s">
        <v>27</v>
      </c>
      <c r="D322" s="62" t="s">
        <v>2048</v>
      </c>
      <c r="E322" s="11" t="s">
        <v>13</v>
      </c>
    </row>
    <row r="323">
      <c r="B323" s="62" t="s">
        <v>137</v>
      </c>
      <c r="C323" s="45" t="s">
        <v>186</v>
      </c>
      <c r="D323" s="62" t="s">
        <v>1385</v>
      </c>
      <c r="E323" s="11" t="s">
        <v>9</v>
      </c>
    </row>
    <row r="324">
      <c r="B324" s="62" t="s">
        <v>2047</v>
      </c>
      <c r="C324" s="45" t="s">
        <v>165</v>
      </c>
      <c r="D324" s="62" t="s">
        <v>2048</v>
      </c>
      <c r="E324" s="11" t="s">
        <v>13</v>
      </c>
    </row>
    <row r="325">
      <c r="B325" s="62" t="s">
        <v>1824</v>
      </c>
      <c r="C325" s="45" t="s">
        <v>16</v>
      </c>
      <c r="D325" s="62" t="s">
        <v>1385</v>
      </c>
      <c r="E325" s="11" t="s">
        <v>9</v>
      </c>
    </row>
    <row r="326">
      <c r="B326" s="62" t="s">
        <v>137</v>
      </c>
      <c r="C326" s="45" t="s">
        <v>545</v>
      </c>
      <c r="D326" s="62" t="s">
        <v>2048</v>
      </c>
      <c r="E326" s="11" t="s">
        <v>13</v>
      </c>
    </row>
    <row r="327">
      <c r="B327" s="62" t="s">
        <v>2047</v>
      </c>
      <c r="C327" s="45" t="s">
        <v>351</v>
      </c>
      <c r="D327" s="62" t="s">
        <v>1385</v>
      </c>
      <c r="E327" s="11" t="s">
        <v>9</v>
      </c>
    </row>
    <row r="328">
      <c r="B328" s="62" t="s">
        <v>137</v>
      </c>
      <c r="C328" s="45" t="s">
        <v>233</v>
      </c>
      <c r="D328" s="62" t="s">
        <v>1824</v>
      </c>
      <c r="E328" s="11" t="s">
        <v>13</v>
      </c>
    </row>
    <row r="329">
      <c r="B329" s="62" t="s">
        <v>2048</v>
      </c>
      <c r="C329" s="45" t="s">
        <v>344</v>
      </c>
      <c r="D329" s="62" t="s">
        <v>1385</v>
      </c>
      <c r="E329" s="11" t="s">
        <v>9</v>
      </c>
    </row>
    <row r="330">
      <c r="B330" s="62" t="s">
        <v>2047</v>
      </c>
      <c r="C330" s="45" t="s">
        <v>657</v>
      </c>
      <c r="D330" s="62" t="s">
        <v>1824</v>
      </c>
      <c r="E330" s="11" t="s">
        <v>13</v>
      </c>
    </row>
    <row r="331">
      <c r="B331" s="52" t="s">
        <v>122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2051</v>
      </c>
      <c r="C333" s="45" t="s">
        <v>181</v>
      </c>
      <c r="D333" s="62" t="s">
        <v>2003</v>
      </c>
      <c r="E333" s="11" t="s">
        <v>29</v>
      </c>
    </row>
    <row r="334">
      <c r="B334" s="62" t="s">
        <v>2052</v>
      </c>
      <c r="C334" s="45" t="s">
        <v>18</v>
      </c>
      <c r="D334" s="62" t="s">
        <v>124</v>
      </c>
      <c r="E334" s="11" t="s">
        <v>33</v>
      </c>
    </row>
    <row r="335">
      <c r="B335" s="62" t="s">
        <v>2053</v>
      </c>
      <c r="C335" s="45" t="s">
        <v>218</v>
      </c>
      <c r="D335" s="62" t="s">
        <v>2051</v>
      </c>
      <c r="E335" s="11" t="s">
        <v>29</v>
      </c>
    </row>
    <row r="336">
      <c r="B336" s="62" t="s">
        <v>2052</v>
      </c>
      <c r="C336" s="45" t="s">
        <v>155</v>
      </c>
      <c r="D336" s="62" t="s">
        <v>2003</v>
      </c>
      <c r="E336" s="11" t="s">
        <v>33</v>
      </c>
    </row>
    <row r="337">
      <c r="B337" s="62" t="s">
        <v>2053</v>
      </c>
      <c r="C337" s="45" t="s">
        <v>162</v>
      </c>
      <c r="D337" s="62" t="s">
        <v>124</v>
      </c>
      <c r="E337" s="11" t="s">
        <v>29</v>
      </c>
    </row>
    <row r="338">
      <c r="B338" s="62" t="s">
        <v>2052</v>
      </c>
      <c r="C338" s="45" t="s">
        <v>36</v>
      </c>
      <c r="D338" s="62" t="s">
        <v>2051</v>
      </c>
      <c r="E338" s="11" t="s">
        <v>33</v>
      </c>
    </row>
    <row r="339">
      <c r="B339" s="62" t="s">
        <v>2053</v>
      </c>
      <c r="C339" s="45" t="s">
        <v>17</v>
      </c>
      <c r="D339" s="62" t="s">
        <v>2003</v>
      </c>
      <c r="E339" s="11" t="s">
        <v>29</v>
      </c>
    </row>
    <row r="340">
      <c r="B340" s="62" t="s">
        <v>124</v>
      </c>
      <c r="C340" s="45" t="s">
        <v>42</v>
      </c>
      <c r="D340" s="62" t="s">
        <v>2051</v>
      </c>
      <c r="E340" s="11" t="s">
        <v>33</v>
      </c>
    </row>
    <row r="341">
      <c r="B341" s="62" t="s">
        <v>2053</v>
      </c>
      <c r="C341" s="45" t="s">
        <v>20</v>
      </c>
      <c r="D341" s="62" t="s">
        <v>2052</v>
      </c>
      <c r="E341" s="11" t="s">
        <v>29</v>
      </c>
    </row>
    <row r="342">
      <c r="B342" s="62" t="s">
        <v>124</v>
      </c>
      <c r="C342" s="45" t="s">
        <v>248</v>
      </c>
      <c r="D342" s="62" t="s">
        <v>2003</v>
      </c>
      <c r="E342" s="11" t="s">
        <v>33</v>
      </c>
    </row>
    <row r="343">
      <c r="B343" s="62" t="s">
        <v>2003</v>
      </c>
      <c r="C343" s="45" t="s">
        <v>155</v>
      </c>
      <c r="D343" s="62" t="s">
        <v>2051</v>
      </c>
      <c r="E343" s="11" t="s">
        <v>29</v>
      </c>
      <c r="J343" s="50"/>
    </row>
    <row r="344">
      <c r="B344" s="62" t="s">
        <v>124</v>
      </c>
      <c r="C344" s="45" t="s">
        <v>155</v>
      </c>
      <c r="D344" s="62" t="s">
        <v>2052</v>
      </c>
      <c r="E344" s="11" t="s">
        <v>33</v>
      </c>
    </row>
    <row r="345">
      <c r="B345" s="62" t="s">
        <v>2051</v>
      </c>
      <c r="C345" s="45" t="s">
        <v>16</v>
      </c>
      <c r="D345" s="62" t="s">
        <v>2053</v>
      </c>
      <c r="E345" s="11" t="s">
        <v>29</v>
      </c>
    </row>
    <row r="346">
      <c r="B346" s="62" t="s">
        <v>2003</v>
      </c>
      <c r="C346" s="45" t="s">
        <v>7</v>
      </c>
      <c r="D346" s="62" t="s">
        <v>2052</v>
      </c>
      <c r="E346" s="11" t="s">
        <v>33</v>
      </c>
    </row>
    <row r="347">
      <c r="B347" s="62" t="s">
        <v>124</v>
      </c>
      <c r="C347" s="45" t="s">
        <v>786</v>
      </c>
      <c r="D347" s="62" t="s">
        <v>2053</v>
      </c>
      <c r="E347" s="11" t="s">
        <v>29</v>
      </c>
    </row>
    <row r="348">
      <c r="B348" s="62" t="s">
        <v>2051</v>
      </c>
      <c r="C348" s="45" t="s">
        <v>209</v>
      </c>
      <c r="D348" s="62" t="s">
        <v>2052</v>
      </c>
      <c r="E348" s="11" t="s">
        <v>33</v>
      </c>
    </row>
    <row r="349">
      <c r="B349" s="62" t="s">
        <v>2003</v>
      </c>
      <c r="C349" s="45" t="s">
        <v>193</v>
      </c>
      <c r="D349" s="62" t="s">
        <v>2053</v>
      </c>
      <c r="E349" s="11" t="s">
        <v>29</v>
      </c>
    </row>
    <row r="350">
      <c r="B350" s="62" t="s">
        <v>2051</v>
      </c>
      <c r="C350" s="45" t="s">
        <v>743</v>
      </c>
      <c r="D350" s="62" t="s">
        <v>124</v>
      </c>
      <c r="E350" s="11" t="s">
        <v>33</v>
      </c>
    </row>
    <row r="351">
      <c r="B351" s="62" t="s">
        <v>2052</v>
      </c>
      <c r="C351" s="45" t="s">
        <v>301</v>
      </c>
      <c r="D351" s="62" t="s">
        <v>2053</v>
      </c>
      <c r="E351" s="11" t="s">
        <v>29</v>
      </c>
    </row>
    <row r="352">
      <c r="B352" s="62" t="s">
        <v>2003</v>
      </c>
      <c r="C352" s="45" t="s">
        <v>1173</v>
      </c>
      <c r="D352" s="62" t="s">
        <v>124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2054</v>
      </c>
      <c r="C3" s="45" t="s">
        <v>225</v>
      </c>
      <c r="D3" s="62" t="s">
        <v>2009</v>
      </c>
      <c r="E3" s="11" t="s">
        <v>29</v>
      </c>
    </row>
    <row r="4">
      <c r="A4" s="90"/>
      <c r="B4" s="61" t="s">
        <v>2055</v>
      </c>
      <c r="C4" s="45" t="s">
        <v>155</v>
      </c>
      <c r="D4" s="61" t="s">
        <v>2056</v>
      </c>
      <c r="E4" s="11" t="s">
        <v>33</v>
      </c>
    </row>
    <row r="5">
      <c r="A5" s="90"/>
      <c r="B5" s="62" t="s">
        <v>2057</v>
      </c>
      <c r="C5" s="45" t="s">
        <v>173</v>
      </c>
      <c r="D5" s="61" t="s">
        <v>2054</v>
      </c>
      <c r="E5" s="11" t="s">
        <v>29</v>
      </c>
    </row>
    <row r="6">
      <c r="A6" s="90"/>
      <c r="B6" s="61" t="s">
        <v>2055</v>
      </c>
      <c r="C6" s="45" t="s">
        <v>173</v>
      </c>
      <c r="D6" s="62" t="s">
        <v>2009</v>
      </c>
      <c r="E6" s="11" t="s">
        <v>33</v>
      </c>
    </row>
    <row r="7">
      <c r="A7" s="90"/>
      <c r="B7" s="62" t="s">
        <v>2057</v>
      </c>
      <c r="C7" s="45" t="s">
        <v>271</v>
      </c>
      <c r="D7" s="61" t="s">
        <v>2056</v>
      </c>
      <c r="E7" s="11" t="s">
        <v>29</v>
      </c>
    </row>
    <row r="8">
      <c r="A8" s="90"/>
      <c r="B8" s="61" t="s">
        <v>2055</v>
      </c>
      <c r="C8" s="45" t="s">
        <v>534</v>
      </c>
      <c r="D8" s="61" t="s">
        <v>2054</v>
      </c>
      <c r="E8" s="11" t="s">
        <v>33</v>
      </c>
    </row>
    <row r="9">
      <c r="A9" s="90"/>
      <c r="B9" s="62" t="s">
        <v>2057</v>
      </c>
      <c r="C9" s="45" t="s">
        <v>16</v>
      </c>
      <c r="D9" s="62" t="s">
        <v>2009</v>
      </c>
      <c r="E9" s="11" t="s">
        <v>29</v>
      </c>
    </row>
    <row r="10">
      <c r="A10" s="90"/>
      <c r="B10" s="61" t="s">
        <v>2056</v>
      </c>
      <c r="C10" s="45" t="s">
        <v>298</v>
      </c>
      <c r="D10" s="61" t="s">
        <v>2054</v>
      </c>
      <c r="E10" s="11" t="s">
        <v>33</v>
      </c>
    </row>
    <row r="11">
      <c r="A11" s="90"/>
      <c r="B11" s="62" t="s">
        <v>2057</v>
      </c>
      <c r="C11" s="45" t="s">
        <v>173</v>
      </c>
      <c r="D11" s="61" t="s">
        <v>2055</v>
      </c>
      <c r="E11" s="11" t="s">
        <v>29</v>
      </c>
    </row>
    <row r="12">
      <c r="A12" s="90"/>
      <c r="B12" s="61" t="s">
        <v>2056</v>
      </c>
      <c r="C12" s="45" t="s">
        <v>165</v>
      </c>
      <c r="D12" s="62" t="s">
        <v>2009</v>
      </c>
      <c r="E12" s="11" t="s">
        <v>33</v>
      </c>
    </row>
    <row r="13">
      <c r="A13" s="90"/>
      <c r="B13" s="62" t="s">
        <v>2009</v>
      </c>
      <c r="C13" s="45" t="s">
        <v>185</v>
      </c>
      <c r="D13" s="61" t="s">
        <v>2054</v>
      </c>
      <c r="E13" s="11" t="s">
        <v>29</v>
      </c>
    </row>
    <row r="14">
      <c r="A14" s="90"/>
      <c r="B14" s="61" t="s">
        <v>2056</v>
      </c>
      <c r="C14" s="45" t="s">
        <v>442</v>
      </c>
      <c r="D14" s="61" t="s">
        <v>2055</v>
      </c>
      <c r="E14" s="11" t="s">
        <v>33</v>
      </c>
    </row>
    <row r="15">
      <c r="A15" s="90"/>
      <c r="B15" s="61" t="s">
        <v>2054</v>
      </c>
      <c r="C15" s="45" t="s">
        <v>454</v>
      </c>
      <c r="D15" s="62" t="s">
        <v>2057</v>
      </c>
      <c r="E15" s="11" t="s">
        <v>29</v>
      </c>
    </row>
    <row r="16">
      <c r="A16" s="90"/>
      <c r="B16" s="62" t="s">
        <v>2009</v>
      </c>
      <c r="C16" s="45" t="s">
        <v>219</v>
      </c>
      <c r="D16" s="61" t="s">
        <v>2055</v>
      </c>
      <c r="E16" s="11" t="s">
        <v>33</v>
      </c>
    </row>
    <row r="17">
      <c r="A17" s="90"/>
      <c r="B17" s="61" t="s">
        <v>2056</v>
      </c>
      <c r="C17" s="45" t="s">
        <v>336</v>
      </c>
      <c r="D17" s="62" t="s">
        <v>2057</v>
      </c>
      <c r="E17" s="11" t="s">
        <v>29</v>
      </c>
    </row>
    <row r="18">
      <c r="A18" s="90"/>
      <c r="B18" s="61" t="s">
        <v>2054</v>
      </c>
      <c r="C18" s="45" t="s">
        <v>165</v>
      </c>
      <c r="D18" s="61" t="s">
        <v>2055</v>
      </c>
      <c r="E18" s="11" t="s">
        <v>33</v>
      </c>
    </row>
    <row r="19">
      <c r="A19" s="90"/>
      <c r="B19" s="62" t="s">
        <v>2009</v>
      </c>
      <c r="C19" s="45" t="s">
        <v>20</v>
      </c>
      <c r="D19" s="62" t="s">
        <v>2057</v>
      </c>
      <c r="E19" s="11" t="s">
        <v>29</v>
      </c>
    </row>
    <row r="20">
      <c r="A20" s="90"/>
      <c r="B20" s="61" t="s">
        <v>2054</v>
      </c>
      <c r="C20" s="45" t="s">
        <v>165</v>
      </c>
      <c r="D20" s="61" t="s">
        <v>2056</v>
      </c>
      <c r="E20" s="11" t="s">
        <v>33</v>
      </c>
    </row>
    <row r="21">
      <c r="A21" s="90"/>
      <c r="B21" s="61" t="s">
        <v>2055</v>
      </c>
      <c r="C21" s="45" t="s">
        <v>164</v>
      </c>
      <c r="D21" s="62" t="s">
        <v>2057</v>
      </c>
      <c r="E21" s="11" t="s">
        <v>29</v>
      </c>
    </row>
    <row r="22">
      <c r="A22" s="90"/>
      <c r="B22" s="62" t="s">
        <v>2009</v>
      </c>
      <c r="C22" s="45" t="s">
        <v>41</v>
      </c>
      <c r="D22" s="61" t="s">
        <v>2056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28</v>
      </c>
      <c r="C25" s="57" t="s">
        <v>239</v>
      </c>
      <c r="D25" s="61" t="s">
        <v>1897</v>
      </c>
      <c r="E25" s="11" t="s">
        <v>9</v>
      </c>
    </row>
    <row r="26">
      <c r="A26" s="90"/>
      <c r="B26" s="61" t="s">
        <v>1896</v>
      </c>
      <c r="C26" s="57" t="s">
        <v>292</v>
      </c>
      <c r="D26" s="61" t="s">
        <v>2058</v>
      </c>
      <c r="E26" s="11" t="s">
        <v>13</v>
      </c>
    </row>
    <row r="27">
      <c r="A27" s="90"/>
      <c r="B27" s="62" t="s">
        <v>2059</v>
      </c>
      <c r="C27" s="57" t="s">
        <v>477</v>
      </c>
      <c r="D27" s="62" t="s">
        <v>28</v>
      </c>
      <c r="E27" s="11" t="s">
        <v>9</v>
      </c>
    </row>
    <row r="28">
      <c r="A28" s="90"/>
      <c r="B28" s="61" t="s">
        <v>1896</v>
      </c>
      <c r="C28" s="57" t="s">
        <v>7</v>
      </c>
      <c r="D28" s="61" t="s">
        <v>1897</v>
      </c>
      <c r="E28" s="11" t="s">
        <v>13</v>
      </c>
    </row>
    <row r="29">
      <c r="A29" s="90"/>
      <c r="B29" s="62" t="s">
        <v>2059</v>
      </c>
      <c r="C29" s="57" t="s">
        <v>302</v>
      </c>
      <c r="D29" s="61" t="s">
        <v>2058</v>
      </c>
      <c r="E29" s="11" t="s">
        <v>9</v>
      </c>
    </row>
    <row r="30">
      <c r="A30" s="90"/>
      <c r="B30" s="61" t="s">
        <v>1896</v>
      </c>
      <c r="C30" s="57" t="s">
        <v>248</v>
      </c>
      <c r="D30" s="62" t="s">
        <v>28</v>
      </c>
      <c r="E30" s="11" t="s">
        <v>13</v>
      </c>
    </row>
    <row r="31">
      <c r="A31" s="90"/>
      <c r="B31" s="62" t="s">
        <v>2059</v>
      </c>
      <c r="C31" s="57" t="s">
        <v>193</v>
      </c>
      <c r="D31" s="61" t="s">
        <v>1897</v>
      </c>
      <c r="E31" s="11" t="s">
        <v>9</v>
      </c>
    </row>
    <row r="32">
      <c r="A32" s="90"/>
      <c r="B32" s="61" t="s">
        <v>2058</v>
      </c>
      <c r="C32" s="57" t="s">
        <v>298</v>
      </c>
      <c r="D32" s="62" t="s">
        <v>28</v>
      </c>
      <c r="E32" s="11" t="s">
        <v>13</v>
      </c>
    </row>
    <row r="33">
      <c r="A33" s="90"/>
      <c r="B33" s="62" t="s">
        <v>2059</v>
      </c>
      <c r="C33" s="57" t="s">
        <v>256</v>
      </c>
      <c r="D33" s="61" t="s">
        <v>1896</v>
      </c>
      <c r="E33" s="11" t="s">
        <v>9</v>
      </c>
    </row>
    <row r="34">
      <c r="A34" s="90"/>
      <c r="B34" s="61" t="s">
        <v>2058</v>
      </c>
      <c r="C34" s="57" t="s">
        <v>23</v>
      </c>
      <c r="D34" s="61" t="s">
        <v>1897</v>
      </c>
      <c r="E34" s="11" t="s">
        <v>13</v>
      </c>
    </row>
    <row r="35">
      <c r="A35" s="90"/>
      <c r="B35" s="61" t="s">
        <v>1897</v>
      </c>
      <c r="C35" s="57" t="s">
        <v>554</v>
      </c>
      <c r="D35" s="62" t="s">
        <v>28</v>
      </c>
      <c r="E35" s="11" t="s">
        <v>9</v>
      </c>
    </row>
    <row r="36">
      <c r="A36" s="90"/>
      <c r="B36" s="61" t="s">
        <v>2058</v>
      </c>
      <c r="C36" s="57" t="s">
        <v>164</v>
      </c>
      <c r="D36" s="61" t="s">
        <v>1896</v>
      </c>
      <c r="E36" s="11" t="s">
        <v>13</v>
      </c>
    </row>
    <row r="37">
      <c r="A37" s="90"/>
      <c r="B37" s="62" t="s">
        <v>28</v>
      </c>
      <c r="C37" s="45" t="s">
        <v>193</v>
      </c>
      <c r="D37" s="62" t="s">
        <v>2059</v>
      </c>
      <c r="E37" s="11" t="s">
        <v>9</v>
      </c>
    </row>
    <row r="38">
      <c r="A38" s="90"/>
      <c r="B38" s="61" t="s">
        <v>1897</v>
      </c>
      <c r="C38" s="45" t="s">
        <v>158</v>
      </c>
      <c r="D38" s="61" t="s">
        <v>1896</v>
      </c>
      <c r="E38" s="11" t="s">
        <v>13</v>
      </c>
    </row>
    <row r="39">
      <c r="A39" s="90"/>
      <c r="B39" s="61" t="s">
        <v>2058</v>
      </c>
      <c r="C39" s="45" t="s">
        <v>352</v>
      </c>
      <c r="D39" s="62" t="s">
        <v>2059</v>
      </c>
      <c r="E39" s="11" t="s">
        <v>9</v>
      </c>
    </row>
    <row r="40">
      <c r="A40" s="90"/>
      <c r="B40" s="62" t="s">
        <v>28</v>
      </c>
      <c r="C40" s="45" t="s">
        <v>302</v>
      </c>
      <c r="D40" s="61" t="s">
        <v>1896</v>
      </c>
      <c r="E40" s="11" t="s">
        <v>13</v>
      </c>
    </row>
    <row r="41">
      <c r="A41" s="90"/>
      <c r="B41" s="61" t="s">
        <v>1897</v>
      </c>
      <c r="C41" s="45" t="s">
        <v>18</v>
      </c>
      <c r="D41" s="62" t="s">
        <v>2059</v>
      </c>
      <c r="E41" s="11" t="s">
        <v>9</v>
      </c>
    </row>
    <row r="42">
      <c r="A42" s="90"/>
      <c r="B42" s="62" t="s">
        <v>28</v>
      </c>
      <c r="C42" s="45" t="s">
        <v>165</v>
      </c>
      <c r="D42" s="61" t="s">
        <v>2058</v>
      </c>
      <c r="E42" s="11" t="s">
        <v>13</v>
      </c>
    </row>
    <row r="43">
      <c r="A43" s="90"/>
      <c r="B43" s="61" t="s">
        <v>1896</v>
      </c>
      <c r="C43" s="45" t="s">
        <v>507</v>
      </c>
      <c r="D43" s="62" t="s">
        <v>2059</v>
      </c>
      <c r="E43" s="11" t="s">
        <v>9</v>
      </c>
    </row>
    <row r="44">
      <c r="A44" s="91"/>
      <c r="B44" s="61" t="s">
        <v>1897</v>
      </c>
      <c r="C44" s="45" t="s">
        <v>290</v>
      </c>
      <c r="D44" s="61" t="s">
        <v>2058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2060</v>
      </c>
      <c r="C47" s="45" t="s">
        <v>43</v>
      </c>
      <c r="D47" s="61" t="s">
        <v>1956</v>
      </c>
      <c r="E47" s="11" t="s">
        <v>29</v>
      </c>
    </row>
    <row r="48">
      <c r="B48" s="61" t="s">
        <v>1839</v>
      </c>
      <c r="C48" s="45" t="s">
        <v>16</v>
      </c>
      <c r="D48" s="61" t="s">
        <v>2061</v>
      </c>
      <c r="E48" s="11" t="s">
        <v>33</v>
      </c>
    </row>
    <row r="49">
      <c r="B49" s="61" t="s">
        <v>2062</v>
      </c>
      <c r="C49" s="45" t="s">
        <v>534</v>
      </c>
      <c r="D49" s="61" t="s">
        <v>2060</v>
      </c>
      <c r="E49" s="11" t="s">
        <v>29</v>
      </c>
    </row>
    <row r="50">
      <c r="B50" s="61" t="s">
        <v>1839</v>
      </c>
      <c r="C50" s="45" t="s">
        <v>218</v>
      </c>
      <c r="D50" s="61" t="s">
        <v>1956</v>
      </c>
      <c r="E50" s="11" t="s">
        <v>33</v>
      </c>
    </row>
    <row r="51">
      <c r="B51" s="61" t="s">
        <v>2062</v>
      </c>
      <c r="C51" s="45" t="s">
        <v>17</v>
      </c>
      <c r="D51" s="61" t="s">
        <v>2061</v>
      </c>
      <c r="E51" s="11" t="s">
        <v>29</v>
      </c>
    </row>
    <row r="52">
      <c r="B52" s="61" t="s">
        <v>1839</v>
      </c>
      <c r="C52" s="45" t="s">
        <v>463</v>
      </c>
      <c r="D52" s="61" t="s">
        <v>2060</v>
      </c>
      <c r="E52" s="11" t="s">
        <v>33</v>
      </c>
    </row>
    <row r="53">
      <c r="B53" s="61" t="s">
        <v>2062</v>
      </c>
      <c r="C53" s="45" t="s">
        <v>210</v>
      </c>
      <c r="D53" s="61" t="s">
        <v>1956</v>
      </c>
      <c r="E53" s="11" t="s">
        <v>29</v>
      </c>
    </row>
    <row r="54">
      <c r="B54" s="61" t="s">
        <v>2061</v>
      </c>
      <c r="C54" s="45" t="s">
        <v>198</v>
      </c>
      <c r="D54" s="61" t="s">
        <v>2060</v>
      </c>
      <c r="E54" s="11" t="s">
        <v>33</v>
      </c>
    </row>
    <row r="55">
      <c r="B55" s="61" t="s">
        <v>2062</v>
      </c>
      <c r="C55" s="45" t="s">
        <v>7</v>
      </c>
      <c r="D55" s="61" t="s">
        <v>1839</v>
      </c>
      <c r="E55" s="11" t="s">
        <v>29</v>
      </c>
    </row>
    <row r="56">
      <c r="B56" s="61" t="s">
        <v>2061</v>
      </c>
      <c r="C56" s="45" t="s">
        <v>279</v>
      </c>
      <c r="D56" s="61" t="s">
        <v>1956</v>
      </c>
      <c r="E56" s="11" t="s">
        <v>33</v>
      </c>
      <c r="H56" s="50"/>
    </row>
    <row r="57">
      <c r="B57" s="61" t="s">
        <v>1956</v>
      </c>
      <c r="C57" s="45" t="s">
        <v>173</v>
      </c>
      <c r="D57" s="61" t="s">
        <v>2060</v>
      </c>
      <c r="E57" s="11" t="s">
        <v>29</v>
      </c>
    </row>
    <row r="58">
      <c r="B58" s="61" t="s">
        <v>2061</v>
      </c>
      <c r="C58" s="45" t="s">
        <v>315</v>
      </c>
      <c r="D58" s="61" t="s">
        <v>1839</v>
      </c>
      <c r="E58" s="11" t="s">
        <v>33</v>
      </c>
    </row>
    <row r="59">
      <c r="B59" s="61" t="s">
        <v>2060</v>
      </c>
      <c r="C59" s="45" t="s">
        <v>27</v>
      </c>
      <c r="D59" s="61" t="s">
        <v>2062</v>
      </c>
      <c r="E59" s="11" t="s">
        <v>29</v>
      </c>
    </row>
    <row r="60">
      <c r="B60" s="61" t="s">
        <v>1956</v>
      </c>
      <c r="C60" s="45" t="s">
        <v>640</v>
      </c>
      <c r="D60" s="61" t="s">
        <v>1839</v>
      </c>
      <c r="E60" s="11" t="s">
        <v>33</v>
      </c>
    </row>
    <row r="61">
      <c r="B61" s="61" t="s">
        <v>2061</v>
      </c>
      <c r="C61" s="45" t="s">
        <v>220</v>
      </c>
      <c r="D61" s="61" t="s">
        <v>2062</v>
      </c>
      <c r="E61" s="11" t="s">
        <v>29</v>
      </c>
    </row>
    <row r="62">
      <c r="B62" s="61" t="s">
        <v>2060</v>
      </c>
      <c r="C62" s="45" t="s">
        <v>271</v>
      </c>
      <c r="D62" s="61" t="s">
        <v>1839</v>
      </c>
      <c r="E62" s="11" t="s">
        <v>33</v>
      </c>
    </row>
    <row r="63">
      <c r="B63" s="61" t="s">
        <v>1956</v>
      </c>
      <c r="C63" s="45" t="s">
        <v>173</v>
      </c>
      <c r="D63" s="61" t="s">
        <v>2062</v>
      </c>
      <c r="E63" s="11" t="s">
        <v>29</v>
      </c>
    </row>
    <row r="64">
      <c r="B64" s="61" t="s">
        <v>2060</v>
      </c>
      <c r="C64" s="45" t="s">
        <v>231</v>
      </c>
      <c r="D64" s="61" t="s">
        <v>2061</v>
      </c>
      <c r="E64" s="11" t="s">
        <v>33</v>
      </c>
    </row>
    <row r="65">
      <c r="B65" s="61" t="s">
        <v>1839</v>
      </c>
      <c r="C65" s="45" t="s">
        <v>18</v>
      </c>
      <c r="D65" s="61" t="s">
        <v>2062</v>
      </c>
      <c r="E65" s="11" t="s">
        <v>29</v>
      </c>
    </row>
    <row r="66">
      <c r="B66" s="61" t="s">
        <v>1956</v>
      </c>
      <c r="C66" s="45" t="s">
        <v>41</v>
      </c>
      <c r="D66" s="61" t="s">
        <v>2061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2063</v>
      </c>
      <c r="C69" s="57" t="s">
        <v>7</v>
      </c>
      <c r="D69" s="61" t="s">
        <v>1775</v>
      </c>
      <c r="E69" s="11" t="s">
        <v>9</v>
      </c>
    </row>
    <row r="70">
      <c r="B70" s="61" t="s">
        <v>2018</v>
      </c>
      <c r="C70" s="57" t="s">
        <v>173</v>
      </c>
      <c r="D70" s="61" t="s">
        <v>1824</v>
      </c>
      <c r="E70" s="11" t="s">
        <v>13</v>
      </c>
    </row>
    <row r="71">
      <c r="B71" s="61" t="s">
        <v>74</v>
      </c>
      <c r="C71" s="57" t="s">
        <v>2064</v>
      </c>
      <c r="D71" s="61" t="s">
        <v>2063</v>
      </c>
      <c r="E71" s="11" t="s">
        <v>9</v>
      </c>
    </row>
    <row r="72">
      <c r="B72" s="61" t="s">
        <v>2018</v>
      </c>
      <c r="C72" s="57" t="s">
        <v>20</v>
      </c>
      <c r="D72" s="61" t="s">
        <v>1775</v>
      </c>
      <c r="E72" s="11" t="s">
        <v>13</v>
      </c>
    </row>
    <row r="73">
      <c r="B73" s="61" t="s">
        <v>74</v>
      </c>
      <c r="C73" s="57" t="s">
        <v>313</v>
      </c>
      <c r="D73" s="61" t="s">
        <v>1824</v>
      </c>
      <c r="E73" s="11" t="s">
        <v>9</v>
      </c>
    </row>
    <row r="74">
      <c r="B74" s="61" t="s">
        <v>2018</v>
      </c>
      <c r="C74" s="57" t="s">
        <v>23</v>
      </c>
      <c r="D74" s="61" t="s">
        <v>2063</v>
      </c>
      <c r="E74" s="11" t="s">
        <v>13</v>
      </c>
    </row>
    <row r="75">
      <c r="B75" s="61" t="s">
        <v>74</v>
      </c>
      <c r="C75" s="57" t="s">
        <v>245</v>
      </c>
      <c r="D75" s="61" t="s">
        <v>1775</v>
      </c>
      <c r="E75" s="11" t="s">
        <v>9</v>
      </c>
    </row>
    <row r="76">
      <c r="B76" s="61" t="s">
        <v>1824</v>
      </c>
      <c r="C76" s="57" t="s">
        <v>231</v>
      </c>
      <c r="D76" s="61" t="s">
        <v>2063</v>
      </c>
      <c r="E76" s="11" t="s">
        <v>13</v>
      </c>
    </row>
    <row r="77">
      <c r="B77" s="61" t="s">
        <v>74</v>
      </c>
      <c r="C77" s="57" t="s">
        <v>212</v>
      </c>
      <c r="D77" s="61" t="s">
        <v>2018</v>
      </c>
      <c r="E77" s="11" t="s">
        <v>9</v>
      </c>
    </row>
    <row r="78">
      <c r="B78" s="61" t="s">
        <v>1824</v>
      </c>
      <c r="C78" s="57" t="s">
        <v>1162</v>
      </c>
      <c r="D78" s="61" t="s">
        <v>1775</v>
      </c>
      <c r="E78" s="11" t="s">
        <v>13</v>
      </c>
    </row>
    <row r="79">
      <c r="B79" s="61" t="s">
        <v>1775</v>
      </c>
      <c r="C79" s="57" t="s">
        <v>7</v>
      </c>
      <c r="D79" s="61" t="s">
        <v>2063</v>
      </c>
      <c r="E79" s="11" t="s">
        <v>9</v>
      </c>
    </row>
    <row r="80">
      <c r="B80" s="61" t="s">
        <v>1824</v>
      </c>
      <c r="C80" s="57" t="s">
        <v>18</v>
      </c>
      <c r="D80" s="61" t="s">
        <v>2018</v>
      </c>
      <c r="E80" s="11" t="s">
        <v>13</v>
      </c>
    </row>
    <row r="81">
      <c r="B81" s="61" t="s">
        <v>2063</v>
      </c>
      <c r="C81" s="45" t="s">
        <v>219</v>
      </c>
      <c r="D81" s="61" t="s">
        <v>74</v>
      </c>
      <c r="E81" s="11" t="s">
        <v>9</v>
      </c>
    </row>
    <row r="82">
      <c r="B82" s="61" t="s">
        <v>1775</v>
      </c>
      <c r="C82" s="45" t="s">
        <v>220</v>
      </c>
      <c r="D82" s="61" t="s">
        <v>2018</v>
      </c>
      <c r="E82" s="11" t="s">
        <v>13</v>
      </c>
    </row>
    <row r="83">
      <c r="B83" s="61" t="s">
        <v>1824</v>
      </c>
      <c r="C83" s="45" t="s">
        <v>417</v>
      </c>
      <c r="D83" s="61" t="s">
        <v>74</v>
      </c>
      <c r="E83" s="11" t="s">
        <v>9</v>
      </c>
    </row>
    <row r="84">
      <c r="B84" s="61" t="s">
        <v>2063</v>
      </c>
      <c r="C84" s="45" t="s">
        <v>220</v>
      </c>
      <c r="D84" s="61" t="s">
        <v>2018</v>
      </c>
      <c r="E84" s="11" t="s">
        <v>13</v>
      </c>
    </row>
    <row r="85">
      <c r="B85" s="61" t="s">
        <v>1775</v>
      </c>
      <c r="C85" s="45" t="s">
        <v>231</v>
      </c>
      <c r="D85" s="61" t="s">
        <v>74</v>
      </c>
      <c r="E85" s="11" t="s">
        <v>9</v>
      </c>
    </row>
    <row r="86">
      <c r="B86" s="61" t="s">
        <v>2063</v>
      </c>
      <c r="C86" s="45" t="s">
        <v>205</v>
      </c>
      <c r="D86" s="61" t="s">
        <v>1824</v>
      </c>
      <c r="E86" s="11" t="s">
        <v>13</v>
      </c>
    </row>
    <row r="87">
      <c r="B87" s="61" t="s">
        <v>2018</v>
      </c>
      <c r="C87" s="45" t="s">
        <v>220</v>
      </c>
      <c r="D87" s="61" t="s">
        <v>74</v>
      </c>
      <c r="E87" s="11" t="s">
        <v>9</v>
      </c>
    </row>
    <row r="88">
      <c r="B88" s="61" t="s">
        <v>1775</v>
      </c>
      <c r="C88" s="45" t="s">
        <v>233</v>
      </c>
      <c r="D88" s="61" t="s">
        <v>1824</v>
      </c>
      <c r="E88" s="11" t="s">
        <v>13</v>
      </c>
    </row>
    <row r="89">
      <c r="B89" s="1" t="s">
        <v>1777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755</v>
      </c>
      <c r="C91" s="45" t="s">
        <v>20</v>
      </c>
      <c r="D91" s="61" t="s">
        <v>890</v>
      </c>
      <c r="E91" s="11" t="s">
        <v>9</v>
      </c>
    </row>
    <row r="92">
      <c r="B92" s="61" t="s">
        <v>752</v>
      </c>
      <c r="C92" s="45" t="s">
        <v>207</v>
      </c>
      <c r="D92" s="61" t="s">
        <v>1183</v>
      </c>
      <c r="E92" s="11" t="s">
        <v>13</v>
      </c>
    </row>
    <row r="93">
      <c r="B93" s="61" t="s">
        <v>1111</v>
      </c>
      <c r="C93" s="45" t="s">
        <v>218</v>
      </c>
      <c r="D93" s="61" t="s">
        <v>755</v>
      </c>
      <c r="E93" s="11" t="s">
        <v>9</v>
      </c>
    </row>
    <row r="94">
      <c r="B94" s="61" t="s">
        <v>752</v>
      </c>
      <c r="C94" s="45" t="s">
        <v>7</v>
      </c>
      <c r="D94" s="61" t="s">
        <v>890</v>
      </c>
      <c r="E94" s="11" t="s">
        <v>13</v>
      </c>
    </row>
    <row r="95">
      <c r="B95" s="61" t="s">
        <v>1111</v>
      </c>
      <c r="C95" s="45" t="s">
        <v>155</v>
      </c>
      <c r="D95" s="61" t="s">
        <v>1183</v>
      </c>
      <c r="E95" s="11" t="s">
        <v>9</v>
      </c>
    </row>
    <row r="96">
      <c r="B96" s="61" t="s">
        <v>752</v>
      </c>
      <c r="C96" s="45" t="s">
        <v>23</v>
      </c>
      <c r="D96" s="61" t="s">
        <v>755</v>
      </c>
      <c r="E96" s="11" t="s">
        <v>13</v>
      </c>
    </row>
    <row r="97">
      <c r="B97" s="61" t="s">
        <v>1111</v>
      </c>
      <c r="C97" s="45" t="s">
        <v>162</v>
      </c>
      <c r="D97" s="61" t="s">
        <v>890</v>
      </c>
      <c r="E97" s="11" t="s">
        <v>9</v>
      </c>
    </row>
    <row r="98">
      <c r="B98" s="61" t="s">
        <v>1183</v>
      </c>
      <c r="C98" s="45" t="s">
        <v>534</v>
      </c>
      <c r="D98" s="61" t="s">
        <v>755</v>
      </c>
      <c r="E98" s="11" t="s">
        <v>13</v>
      </c>
    </row>
    <row r="99">
      <c r="B99" s="61" t="s">
        <v>1111</v>
      </c>
      <c r="C99" s="45" t="s">
        <v>2065</v>
      </c>
      <c r="D99" s="61" t="s">
        <v>752</v>
      </c>
      <c r="E99" s="11" t="s">
        <v>9</v>
      </c>
    </row>
    <row r="100">
      <c r="B100" s="61" t="s">
        <v>1183</v>
      </c>
      <c r="C100" s="45" t="s">
        <v>181</v>
      </c>
      <c r="D100" s="61" t="s">
        <v>890</v>
      </c>
      <c r="E100" s="11" t="s">
        <v>13</v>
      </c>
    </row>
    <row r="101">
      <c r="B101" s="61" t="s">
        <v>890</v>
      </c>
      <c r="C101" s="45" t="s">
        <v>537</v>
      </c>
      <c r="D101" s="61" t="s">
        <v>755</v>
      </c>
      <c r="E101" s="11" t="s">
        <v>9</v>
      </c>
    </row>
    <row r="102">
      <c r="B102" s="61" t="s">
        <v>1183</v>
      </c>
      <c r="C102" s="45" t="s">
        <v>18</v>
      </c>
      <c r="D102" s="61" t="s">
        <v>752</v>
      </c>
      <c r="E102" s="11" t="s">
        <v>13</v>
      </c>
    </row>
    <row r="103">
      <c r="B103" s="61" t="s">
        <v>755</v>
      </c>
      <c r="C103" s="45" t="s">
        <v>219</v>
      </c>
      <c r="D103" s="61" t="s">
        <v>1111</v>
      </c>
      <c r="E103" s="11" t="s">
        <v>9</v>
      </c>
    </row>
    <row r="104">
      <c r="B104" s="61" t="s">
        <v>890</v>
      </c>
      <c r="C104" s="45" t="s">
        <v>162</v>
      </c>
      <c r="D104" s="61" t="s">
        <v>752</v>
      </c>
      <c r="E104" s="11" t="s">
        <v>13</v>
      </c>
    </row>
    <row r="105">
      <c r="B105" s="61" t="s">
        <v>1183</v>
      </c>
      <c r="C105" s="45" t="s">
        <v>517</v>
      </c>
      <c r="D105" s="61" t="s">
        <v>1111</v>
      </c>
      <c r="E105" s="11" t="s">
        <v>9</v>
      </c>
    </row>
    <row r="106">
      <c r="B106" s="61" t="s">
        <v>755</v>
      </c>
      <c r="C106" s="45" t="s">
        <v>185</v>
      </c>
      <c r="D106" s="61" t="s">
        <v>752</v>
      </c>
      <c r="E106" s="11" t="s">
        <v>13</v>
      </c>
    </row>
    <row r="107">
      <c r="B107" s="61" t="s">
        <v>890</v>
      </c>
      <c r="C107" s="45" t="s">
        <v>220</v>
      </c>
      <c r="D107" s="61" t="s">
        <v>1111</v>
      </c>
      <c r="E107" s="11" t="s">
        <v>9</v>
      </c>
    </row>
    <row r="108">
      <c r="B108" s="61" t="s">
        <v>755</v>
      </c>
      <c r="C108" s="45" t="s">
        <v>186</v>
      </c>
      <c r="D108" s="61" t="s">
        <v>1183</v>
      </c>
      <c r="E108" s="11" t="s">
        <v>13</v>
      </c>
    </row>
    <row r="109">
      <c r="B109" s="61" t="s">
        <v>752</v>
      </c>
      <c r="C109" s="45" t="s">
        <v>2066</v>
      </c>
      <c r="D109" s="61" t="s">
        <v>1111</v>
      </c>
      <c r="E109" s="11" t="s">
        <v>9</v>
      </c>
    </row>
    <row r="110">
      <c r="B110" s="61" t="s">
        <v>890</v>
      </c>
      <c r="C110" s="45" t="s">
        <v>38</v>
      </c>
      <c r="D110" s="61" t="s">
        <v>1183</v>
      </c>
      <c r="E110" s="11" t="s">
        <v>13</v>
      </c>
    </row>
    <row r="111">
      <c r="B111" s="1" t="s">
        <v>1782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1018</v>
      </c>
      <c r="C113" s="57" t="s">
        <v>162</v>
      </c>
      <c r="D113" s="61" t="s">
        <v>1908</v>
      </c>
      <c r="E113" s="11" t="s">
        <v>9</v>
      </c>
    </row>
    <row r="114">
      <c r="B114" s="61" t="s">
        <v>2067</v>
      </c>
      <c r="C114" s="57" t="s">
        <v>7</v>
      </c>
      <c r="D114" s="61" t="s">
        <v>2022</v>
      </c>
      <c r="E114" s="11" t="s">
        <v>13</v>
      </c>
    </row>
    <row r="115">
      <c r="B115" s="61" t="s">
        <v>1968</v>
      </c>
      <c r="C115" s="57" t="s">
        <v>164</v>
      </c>
      <c r="D115" s="61" t="s">
        <v>1018</v>
      </c>
      <c r="E115" s="11" t="s">
        <v>9</v>
      </c>
    </row>
    <row r="116">
      <c r="B116" s="61" t="s">
        <v>2067</v>
      </c>
      <c r="C116" s="57" t="s">
        <v>155</v>
      </c>
      <c r="D116" s="61" t="s">
        <v>1908</v>
      </c>
      <c r="E116" s="11" t="s">
        <v>13</v>
      </c>
    </row>
    <row r="117">
      <c r="B117" s="61" t="s">
        <v>1968</v>
      </c>
      <c r="C117" s="57" t="s">
        <v>219</v>
      </c>
      <c r="D117" s="61" t="s">
        <v>2022</v>
      </c>
      <c r="E117" s="11" t="s">
        <v>9</v>
      </c>
    </row>
    <row r="118">
      <c r="B118" s="61" t="s">
        <v>2067</v>
      </c>
      <c r="C118" s="57" t="s">
        <v>182</v>
      </c>
      <c r="D118" s="61" t="s">
        <v>1018</v>
      </c>
      <c r="E118" s="11" t="s">
        <v>13</v>
      </c>
    </row>
    <row r="119">
      <c r="B119" s="61" t="s">
        <v>1968</v>
      </c>
      <c r="C119" s="57" t="s">
        <v>18</v>
      </c>
      <c r="D119" s="61" t="s">
        <v>1908</v>
      </c>
      <c r="E119" s="11" t="s">
        <v>9</v>
      </c>
    </row>
    <row r="120">
      <c r="B120" s="61" t="s">
        <v>2022</v>
      </c>
      <c r="C120" s="57" t="s">
        <v>219</v>
      </c>
      <c r="D120" s="61" t="s">
        <v>1018</v>
      </c>
      <c r="E120" s="11" t="s">
        <v>13</v>
      </c>
    </row>
    <row r="121">
      <c r="B121" s="61" t="s">
        <v>1968</v>
      </c>
      <c r="C121" s="57" t="s">
        <v>2068</v>
      </c>
      <c r="D121" s="61" t="s">
        <v>2067</v>
      </c>
      <c r="E121" s="11" t="s">
        <v>9</v>
      </c>
    </row>
    <row r="122">
      <c r="B122" s="61" t="s">
        <v>2022</v>
      </c>
      <c r="C122" s="57" t="s">
        <v>220</v>
      </c>
      <c r="D122" s="61" t="s">
        <v>1908</v>
      </c>
      <c r="E122" s="11" t="s">
        <v>13</v>
      </c>
    </row>
    <row r="123">
      <c r="B123" s="61" t="s">
        <v>1908</v>
      </c>
      <c r="C123" s="57" t="s">
        <v>19</v>
      </c>
      <c r="D123" s="61" t="s">
        <v>1018</v>
      </c>
      <c r="E123" s="11" t="s">
        <v>9</v>
      </c>
    </row>
    <row r="124">
      <c r="B124" s="61" t="s">
        <v>2022</v>
      </c>
      <c r="C124" s="57" t="s">
        <v>162</v>
      </c>
      <c r="D124" s="61" t="s">
        <v>2067</v>
      </c>
      <c r="E124" s="11" t="s">
        <v>13</v>
      </c>
    </row>
    <row r="125">
      <c r="B125" s="61" t="s">
        <v>1018</v>
      </c>
      <c r="C125" s="57" t="s">
        <v>298</v>
      </c>
      <c r="D125" s="61" t="s">
        <v>1968</v>
      </c>
      <c r="E125" s="11" t="s">
        <v>9</v>
      </c>
    </row>
    <row r="126">
      <c r="B126" s="61" t="s">
        <v>1908</v>
      </c>
      <c r="C126" s="57" t="s">
        <v>20</v>
      </c>
      <c r="D126" s="61" t="s">
        <v>2067</v>
      </c>
      <c r="E126" s="11" t="s">
        <v>13</v>
      </c>
    </row>
    <row r="127">
      <c r="B127" s="61" t="s">
        <v>2022</v>
      </c>
      <c r="C127" s="57" t="s">
        <v>239</v>
      </c>
      <c r="D127" s="61" t="s">
        <v>1968</v>
      </c>
      <c r="E127" s="11" t="s">
        <v>9</v>
      </c>
    </row>
    <row r="128">
      <c r="B128" s="61" t="s">
        <v>1018</v>
      </c>
      <c r="C128" s="57" t="s">
        <v>1724</v>
      </c>
      <c r="D128" s="61" t="s">
        <v>2067</v>
      </c>
      <c r="E128" s="11" t="s">
        <v>13</v>
      </c>
    </row>
    <row r="129">
      <c r="B129" s="61" t="s">
        <v>1908</v>
      </c>
      <c r="C129" s="57" t="s">
        <v>558</v>
      </c>
      <c r="D129" s="61" t="s">
        <v>1968</v>
      </c>
      <c r="E129" s="11" t="s">
        <v>9</v>
      </c>
    </row>
    <row r="130">
      <c r="B130" s="61" t="s">
        <v>1018</v>
      </c>
      <c r="C130" s="57" t="s">
        <v>219</v>
      </c>
      <c r="D130" s="61" t="s">
        <v>2022</v>
      </c>
      <c r="E130" s="11" t="s">
        <v>13</v>
      </c>
    </row>
    <row r="131">
      <c r="B131" s="61" t="s">
        <v>2067</v>
      </c>
      <c r="C131" s="57" t="s">
        <v>362</v>
      </c>
      <c r="D131" s="61" t="s">
        <v>1968</v>
      </c>
      <c r="E131" s="11" t="s">
        <v>9</v>
      </c>
    </row>
    <row r="132">
      <c r="B132" s="61" t="s">
        <v>1908</v>
      </c>
      <c r="C132" s="57" t="s">
        <v>20</v>
      </c>
      <c r="D132" s="61" t="s">
        <v>2022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1032</v>
      </c>
      <c r="C135" s="81" t="s">
        <v>668</v>
      </c>
      <c r="D135" s="61" t="s">
        <v>539</v>
      </c>
      <c r="E135" s="11" t="s">
        <v>29</v>
      </c>
    </row>
    <row r="136">
      <c r="B136" s="61" t="s">
        <v>2026</v>
      </c>
      <c r="C136" s="81" t="s">
        <v>668</v>
      </c>
      <c r="D136" s="61" t="s">
        <v>2069</v>
      </c>
      <c r="E136" s="11" t="s">
        <v>33</v>
      </c>
    </row>
    <row r="137">
      <c r="B137" s="61" t="s">
        <v>950</v>
      </c>
      <c r="C137" s="45" t="s">
        <v>19</v>
      </c>
      <c r="D137" s="61" t="s">
        <v>1032</v>
      </c>
      <c r="E137" s="11" t="s">
        <v>29</v>
      </c>
    </row>
    <row r="138">
      <c r="B138" s="61" t="s">
        <v>2026</v>
      </c>
      <c r="C138" s="45" t="s">
        <v>20</v>
      </c>
      <c r="D138" s="61" t="s">
        <v>539</v>
      </c>
      <c r="E138" s="11" t="s">
        <v>33</v>
      </c>
    </row>
    <row r="139">
      <c r="B139" s="61" t="s">
        <v>950</v>
      </c>
      <c r="C139" s="45" t="s">
        <v>549</v>
      </c>
      <c r="D139" s="61" t="s">
        <v>2069</v>
      </c>
      <c r="E139" s="11" t="s">
        <v>29</v>
      </c>
    </row>
    <row r="140">
      <c r="B140" s="61" t="s">
        <v>2026</v>
      </c>
      <c r="C140" s="45" t="s">
        <v>181</v>
      </c>
      <c r="D140" s="61" t="s">
        <v>1032</v>
      </c>
      <c r="E140" s="11" t="s">
        <v>33</v>
      </c>
    </row>
    <row r="141">
      <c r="B141" s="61" t="s">
        <v>950</v>
      </c>
      <c r="C141" s="45" t="s">
        <v>22</v>
      </c>
      <c r="D141" s="61" t="s">
        <v>539</v>
      </c>
      <c r="E141" s="11" t="s">
        <v>29</v>
      </c>
    </row>
    <row r="142">
      <c r="B142" s="61" t="s">
        <v>2069</v>
      </c>
      <c r="C142" s="45" t="s">
        <v>338</v>
      </c>
      <c r="D142" s="61" t="s">
        <v>1032</v>
      </c>
      <c r="E142" s="11" t="s">
        <v>33</v>
      </c>
    </row>
    <row r="143">
      <c r="B143" s="61" t="s">
        <v>950</v>
      </c>
      <c r="C143" s="45" t="s">
        <v>709</v>
      </c>
      <c r="D143" s="61" t="s">
        <v>2026</v>
      </c>
      <c r="E143" s="11" t="s">
        <v>29</v>
      </c>
    </row>
    <row r="144">
      <c r="B144" s="61" t="s">
        <v>2069</v>
      </c>
      <c r="C144" s="45" t="s">
        <v>292</v>
      </c>
      <c r="D144" s="61" t="s">
        <v>539</v>
      </c>
      <c r="E144" s="11" t="s">
        <v>33</v>
      </c>
    </row>
    <row r="145">
      <c r="B145" s="61" t="s">
        <v>539</v>
      </c>
      <c r="C145" s="45" t="s">
        <v>166</v>
      </c>
      <c r="D145" s="61" t="s">
        <v>1032</v>
      </c>
      <c r="E145" s="11" t="s">
        <v>29</v>
      </c>
    </row>
    <row r="146">
      <c r="B146" s="61" t="s">
        <v>2069</v>
      </c>
      <c r="C146" s="45" t="s">
        <v>14</v>
      </c>
      <c r="D146" s="61" t="s">
        <v>2026</v>
      </c>
      <c r="E146" s="11" t="s">
        <v>33</v>
      </c>
    </row>
    <row r="147">
      <c r="B147" s="61" t="s">
        <v>1032</v>
      </c>
      <c r="C147" s="45" t="s">
        <v>155</v>
      </c>
      <c r="D147" s="61" t="s">
        <v>950</v>
      </c>
      <c r="E147" s="11" t="s">
        <v>29</v>
      </c>
    </row>
    <row r="148">
      <c r="B148" s="61" t="s">
        <v>539</v>
      </c>
      <c r="C148" s="45" t="s">
        <v>380</v>
      </c>
      <c r="D148" s="61" t="s">
        <v>2026</v>
      </c>
      <c r="E148" s="11" t="s">
        <v>33</v>
      </c>
    </row>
    <row r="149">
      <c r="B149" s="61" t="s">
        <v>2069</v>
      </c>
      <c r="C149" s="45" t="s">
        <v>250</v>
      </c>
      <c r="D149" s="61" t="s">
        <v>950</v>
      </c>
      <c r="E149" s="11" t="s">
        <v>29</v>
      </c>
    </row>
    <row r="150">
      <c r="B150" s="61" t="s">
        <v>1032</v>
      </c>
      <c r="C150" s="45" t="s">
        <v>517</v>
      </c>
      <c r="D150" s="61" t="s">
        <v>2026</v>
      </c>
      <c r="E150" s="11" t="s">
        <v>33</v>
      </c>
    </row>
    <row r="151">
      <c r="B151" s="61" t="s">
        <v>539</v>
      </c>
      <c r="C151" s="45" t="s">
        <v>173</v>
      </c>
      <c r="D151" s="61" t="s">
        <v>950</v>
      </c>
      <c r="E151" s="11" t="s">
        <v>29</v>
      </c>
    </row>
    <row r="152">
      <c r="B152" s="61" t="s">
        <v>1032</v>
      </c>
      <c r="C152" s="45" t="s">
        <v>464</v>
      </c>
      <c r="D152" s="61" t="s">
        <v>2069</v>
      </c>
      <c r="E152" s="11" t="s">
        <v>33</v>
      </c>
    </row>
    <row r="153">
      <c r="B153" s="61" t="s">
        <v>2026</v>
      </c>
      <c r="C153" s="45" t="s">
        <v>1739</v>
      </c>
      <c r="D153" s="61" t="s">
        <v>950</v>
      </c>
      <c r="E153" s="11" t="s">
        <v>29</v>
      </c>
    </row>
    <row r="154">
      <c r="B154" s="61" t="s">
        <v>539</v>
      </c>
      <c r="C154" s="45" t="s">
        <v>184</v>
      </c>
      <c r="D154" s="61" t="s">
        <v>2069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2070</v>
      </c>
      <c r="C157" s="57" t="s">
        <v>155</v>
      </c>
      <c r="D157" s="61" t="s">
        <v>961</v>
      </c>
      <c r="E157" s="11" t="s">
        <v>9</v>
      </c>
    </row>
    <row r="158">
      <c r="B158" s="61" t="s">
        <v>2071</v>
      </c>
      <c r="C158" s="57" t="s">
        <v>750</v>
      </c>
      <c r="D158" s="61" t="s">
        <v>1795</v>
      </c>
      <c r="E158" s="11" t="s">
        <v>13</v>
      </c>
    </row>
    <row r="159">
      <c r="B159" s="61" t="s">
        <v>564</v>
      </c>
      <c r="C159" s="57" t="s">
        <v>155</v>
      </c>
      <c r="D159" s="61" t="s">
        <v>2070</v>
      </c>
      <c r="E159" s="11" t="s">
        <v>9</v>
      </c>
    </row>
    <row r="160">
      <c r="B160" s="61" t="s">
        <v>2071</v>
      </c>
      <c r="C160" s="57" t="s">
        <v>16</v>
      </c>
      <c r="D160" s="61" t="s">
        <v>961</v>
      </c>
      <c r="E160" s="11" t="s">
        <v>13</v>
      </c>
    </row>
    <row r="161">
      <c r="B161" s="61" t="s">
        <v>564</v>
      </c>
      <c r="C161" s="57" t="s">
        <v>940</v>
      </c>
      <c r="D161" s="61" t="s">
        <v>1795</v>
      </c>
      <c r="E161" s="92" t="s">
        <v>9</v>
      </c>
    </row>
    <row r="162">
      <c r="B162" s="61" t="s">
        <v>2071</v>
      </c>
      <c r="C162" s="57" t="s">
        <v>231</v>
      </c>
      <c r="D162" s="61" t="s">
        <v>2070</v>
      </c>
      <c r="E162" s="11" t="s">
        <v>13</v>
      </c>
    </row>
    <row r="163">
      <c r="B163" s="61" t="s">
        <v>564</v>
      </c>
      <c r="C163" s="57" t="s">
        <v>524</v>
      </c>
      <c r="D163" s="61" t="s">
        <v>961</v>
      </c>
      <c r="E163" s="11" t="s">
        <v>9</v>
      </c>
    </row>
    <row r="164">
      <c r="B164" s="61" t="s">
        <v>1795</v>
      </c>
      <c r="C164" s="57" t="s">
        <v>208</v>
      </c>
      <c r="D164" s="61" t="s">
        <v>2070</v>
      </c>
      <c r="E164" s="11" t="s">
        <v>13</v>
      </c>
    </row>
    <row r="165">
      <c r="B165" s="61" t="s">
        <v>564</v>
      </c>
      <c r="C165" s="57" t="s">
        <v>313</v>
      </c>
      <c r="D165" s="61" t="s">
        <v>2071</v>
      </c>
      <c r="E165" s="11" t="s">
        <v>9</v>
      </c>
    </row>
    <row r="166">
      <c r="B166" s="61" t="s">
        <v>1795</v>
      </c>
      <c r="C166" s="57" t="s">
        <v>173</v>
      </c>
      <c r="D166" s="61" t="s">
        <v>961</v>
      </c>
      <c r="E166" s="11" t="s">
        <v>13</v>
      </c>
    </row>
    <row r="167">
      <c r="B167" s="61" t="s">
        <v>961</v>
      </c>
      <c r="C167" s="57" t="s">
        <v>41</v>
      </c>
      <c r="D167" s="61" t="s">
        <v>2070</v>
      </c>
      <c r="E167" s="11" t="s">
        <v>9</v>
      </c>
    </row>
    <row r="168">
      <c r="B168" s="61" t="s">
        <v>1795</v>
      </c>
      <c r="C168" s="57" t="s">
        <v>233</v>
      </c>
      <c r="D168" s="61" t="s">
        <v>2071</v>
      </c>
      <c r="E168" s="11" t="s">
        <v>13</v>
      </c>
    </row>
    <row r="169">
      <c r="B169" s="61" t="s">
        <v>2070</v>
      </c>
      <c r="C169" s="57" t="s">
        <v>209</v>
      </c>
      <c r="D169" s="61" t="s">
        <v>564</v>
      </c>
      <c r="E169" s="11" t="s">
        <v>9</v>
      </c>
    </row>
    <row r="170">
      <c r="B170" s="61" t="s">
        <v>961</v>
      </c>
      <c r="C170" s="57" t="s">
        <v>177</v>
      </c>
      <c r="D170" s="61" t="s">
        <v>2071</v>
      </c>
      <c r="E170" s="11" t="s">
        <v>13</v>
      </c>
    </row>
    <row r="171">
      <c r="B171" s="61" t="s">
        <v>1795</v>
      </c>
      <c r="C171" s="57" t="s">
        <v>7</v>
      </c>
      <c r="D171" s="61" t="s">
        <v>564</v>
      </c>
      <c r="E171" s="11" t="s">
        <v>9</v>
      </c>
    </row>
    <row r="172">
      <c r="B172" s="61" t="s">
        <v>2070</v>
      </c>
      <c r="C172" s="57" t="s">
        <v>183</v>
      </c>
      <c r="D172" s="61" t="s">
        <v>2071</v>
      </c>
      <c r="E172" s="11" t="s">
        <v>13</v>
      </c>
    </row>
    <row r="173">
      <c r="B173" s="61" t="s">
        <v>961</v>
      </c>
      <c r="C173" s="57" t="s">
        <v>183</v>
      </c>
      <c r="D173" s="61" t="s">
        <v>564</v>
      </c>
      <c r="E173" s="11" t="s">
        <v>9</v>
      </c>
    </row>
    <row r="174">
      <c r="B174" s="61" t="s">
        <v>2070</v>
      </c>
      <c r="C174" s="57" t="s">
        <v>7</v>
      </c>
      <c r="D174" s="61" t="s">
        <v>1795</v>
      </c>
      <c r="E174" s="11" t="s">
        <v>13</v>
      </c>
    </row>
    <row r="175">
      <c r="B175" s="61" t="s">
        <v>2071</v>
      </c>
      <c r="C175" s="57" t="s">
        <v>290</v>
      </c>
      <c r="D175" s="61" t="s">
        <v>564</v>
      </c>
      <c r="E175" s="11" t="s">
        <v>9</v>
      </c>
    </row>
    <row r="176">
      <c r="B176" s="61" t="s">
        <v>961</v>
      </c>
      <c r="C176" s="57" t="s">
        <v>187</v>
      </c>
      <c r="D176" s="61" t="s">
        <v>1795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1796</v>
      </c>
      <c r="C179" s="45" t="s">
        <v>165</v>
      </c>
      <c r="D179" s="61" t="s">
        <v>1022</v>
      </c>
      <c r="E179" s="11" t="s">
        <v>29</v>
      </c>
    </row>
    <row r="180">
      <c r="B180" s="61" t="s">
        <v>2072</v>
      </c>
      <c r="C180" s="45" t="s">
        <v>18</v>
      </c>
      <c r="D180" s="61" t="s">
        <v>2073</v>
      </c>
      <c r="E180" s="11" t="s">
        <v>33</v>
      </c>
    </row>
    <row r="181">
      <c r="B181" s="61" t="s">
        <v>2074</v>
      </c>
      <c r="C181" s="45" t="s">
        <v>161</v>
      </c>
      <c r="D181" s="61" t="s">
        <v>1796</v>
      </c>
      <c r="E181" s="11" t="s">
        <v>29</v>
      </c>
    </row>
    <row r="182">
      <c r="B182" s="61" t="s">
        <v>2072</v>
      </c>
      <c r="C182" s="45" t="s">
        <v>177</v>
      </c>
      <c r="D182" s="61" t="s">
        <v>1022</v>
      </c>
      <c r="E182" s="11" t="s">
        <v>33</v>
      </c>
    </row>
    <row r="183">
      <c r="B183" s="61" t="s">
        <v>2074</v>
      </c>
      <c r="C183" s="45" t="s">
        <v>161</v>
      </c>
      <c r="D183" s="61" t="s">
        <v>2073</v>
      </c>
      <c r="E183" s="11" t="s">
        <v>29</v>
      </c>
    </row>
    <row r="184">
      <c r="B184" s="61" t="s">
        <v>2072</v>
      </c>
      <c r="C184" s="45" t="s">
        <v>44</v>
      </c>
      <c r="D184" s="61" t="s">
        <v>1796</v>
      </c>
      <c r="E184" s="11" t="s">
        <v>33</v>
      </c>
    </row>
    <row r="185">
      <c r="B185" s="61" t="s">
        <v>2074</v>
      </c>
      <c r="C185" s="45" t="s">
        <v>573</v>
      </c>
      <c r="D185" s="61" t="s">
        <v>1022</v>
      </c>
      <c r="E185" s="11" t="s">
        <v>29</v>
      </c>
    </row>
    <row r="186">
      <c r="B186" s="61" t="s">
        <v>2073</v>
      </c>
      <c r="C186" s="45" t="s">
        <v>762</v>
      </c>
      <c r="D186" s="61" t="s">
        <v>1796</v>
      </c>
      <c r="E186" s="11" t="s">
        <v>33</v>
      </c>
    </row>
    <row r="187">
      <c r="B187" s="61" t="s">
        <v>2074</v>
      </c>
      <c r="C187" s="45" t="s">
        <v>380</v>
      </c>
      <c r="D187" s="61" t="s">
        <v>2072</v>
      </c>
      <c r="E187" s="11" t="s">
        <v>29</v>
      </c>
    </row>
    <row r="188">
      <c r="B188" s="61" t="s">
        <v>2073</v>
      </c>
      <c r="C188" s="45" t="s">
        <v>210</v>
      </c>
      <c r="D188" s="61" t="s">
        <v>1022</v>
      </c>
      <c r="E188" s="11" t="s">
        <v>33</v>
      </c>
    </row>
    <row r="189">
      <c r="B189" s="61" t="s">
        <v>1022</v>
      </c>
      <c r="C189" s="45" t="s">
        <v>208</v>
      </c>
      <c r="D189" s="61" t="s">
        <v>1796</v>
      </c>
      <c r="E189" s="11" t="s">
        <v>29</v>
      </c>
    </row>
    <row r="190">
      <c r="B190" s="61" t="s">
        <v>2073</v>
      </c>
      <c r="C190" s="45" t="s">
        <v>233</v>
      </c>
      <c r="D190" s="61" t="s">
        <v>2072</v>
      </c>
      <c r="E190" s="11" t="s">
        <v>33</v>
      </c>
    </row>
    <row r="191">
      <c r="B191" s="61" t="s">
        <v>1796</v>
      </c>
      <c r="C191" s="45" t="s">
        <v>41</v>
      </c>
      <c r="D191" s="61" t="s">
        <v>2074</v>
      </c>
      <c r="E191" s="11" t="s">
        <v>29</v>
      </c>
    </row>
    <row r="192">
      <c r="B192" s="61" t="s">
        <v>1022</v>
      </c>
      <c r="C192" s="45" t="s">
        <v>751</v>
      </c>
      <c r="D192" s="61" t="s">
        <v>2072</v>
      </c>
      <c r="E192" s="11" t="s">
        <v>33</v>
      </c>
    </row>
    <row r="193">
      <c r="B193" s="61" t="s">
        <v>2073</v>
      </c>
      <c r="C193" s="45" t="s">
        <v>211</v>
      </c>
      <c r="D193" s="61" t="s">
        <v>2074</v>
      </c>
      <c r="E193" s="11" t="s">
        <v>29</v>
      </c>
    </row>
    <row r="194">
      <c r="B194" s="61" t="s">
        <v>1796</v>
      </c>
      <c r="C194" s="45" t="s">
        <v>248</v>
      </c>
      <c r="D194" s="61" t="s">
        <v>2072</v>
      </c>
      <c r="E194" s="11" t="s">
        <v>33</v>
      </c>
    </row>
    <row r="195">
      <c r="B195" s="61" t="s">
        <v>1022</v>
      </c>
      <c r="C195" s="45" t="s">
        <v>2075</v>
      </c>
      <c r="D195" s="61" t="s">
        <v>2074</v>
      </c>
      <c r="E195" s="11" t="s">
        <v>29</v>
      </c>
    </row>
    <row r="196">
      <c r="B196" s="61" t="s">
        <v>1796</v>
      </c>
      <c r="C196" s="45" t="s">
        <v>181</v>
      </c>
      <c r="D196" s="61" t="s">
        <v>2073</v>
      </c>
      <c r="E196" s="11" t="s">
        <v>33</v>
      </c>
    </row>
    <row r="197">
      <c r="B197" s="61" t="s">
        <v>2072</v>
      </c>
      <c r="C197" s="45" t="s">
        <v>357</v>
      </c>
      <c r="D197" s="61" t="s">
        <v>2074</v>
      </c>
      <c r="E197" s="11" t="s">
        <v>29</v>
      </c>
    </row>
    <row r="198">
      <c r="B198" s="61" t="s">
        <v>1022</v>
      </c>
      <c r="C198" s="45" t="s">
        <v>165</v>
      </c>
      <c r="D198" s="61" t="s">
        <v>2073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1730</v>
      </c>
      <c r="C201" s="45" t="s">
        <v>525</v>
      </c>
      <c r="D201" s="61" t="s">
        <v>2076</v>
      </c>
      <c r="E201" s="11" t="s">
        <v>29</v>
      </c>
    </row>
    <row r="202">
      <c r="B202" s="61" t="s">
        <v>2077</v>
      </c>
      <c r="C202" s="45" t="s">
        <v>180</v>
      </c>
      <c r="D202" s="61" t="s">
        <v>2078</v>
      </c>
      <c r="E202" s="11" t="s">
        <v>33</v>
      </c>
    </row>
    <row r="203">
      <c r="B203" s="61" t="s">
        <v>1922</v>
      </c>
      <c r="C203" s="45" t="s">
        <v>433</v>
      </c>
      <c r="D203" s="61" t="s">
        <v>1730</v>
      </c>
      <c r="E203" s="11" t="s">
        <v>29</v>
      </c>
    </row>
    <row r="204">
      <c r="B204" s="61" t="s">
        <v>2077</v>
      </c>
      <c r="C204" s="45" t="s">
        <v>20</v>
      </c>
      <c r="D204" s="61" t="s">
        <v>2076</v>
      </c>
      <c r="E204" s="11" t="s">
        <v>33</v>
      </c>
    </row>
    <row r="205">
      <c r="B205" s="61" t="s">
        <v>1922</v>
      </c>
      <c r="C205" s="45" t="s">
        <v>225</v>
      </c>
      <c r="D205" s="61" t="s">
        <v>2078</v>
      </c>
      <c r="E205" s="11" t="s">
        <v>29</v>
      </c>
    </row>
    <row r="206">
      <c r="B206" s="61" t="s">
        <v>2077</v>
      </c>
      <c r="C206" s="45" t="s">
        <v>14</v>
      </c>
      <c r="D206" s="61" t="s">
        <v>1730</v>
      </c>
      <c r="E206" s="11" t="s">
        <v>33</v>
      </c>
    </row>
    <row r="207">
      <c r="B207" s="61" t="s">
        <v>1922</v>
      </c>
      <c r="C207" s="45" t="s">
        <v>433</v>
      </c>
      <c r="D207" s="61" t="s">
        <v>2076</v>
      </c>
      <c r="E207" s="11" t="s">
        <v>29</v>
      </c>
    </row>
    <row r="208">
      <c r="B208" s="61" t="s">
        <v>2078</v>
      </c>
      <c r="C208" s="45" t="s">
        <v>245</v>
      </c>
      <c r="D208" s="61" t="s">
        <v>1730</v>
      </c>
      <c r="E208" s="11" t="s">
        <v>33</v>
      </c>
    </row>
    <row r="209">
      <c r="B209" s="61" t="s">
        <v>1922</v>
      </c>
      <c r="C209" s="45" t="s">
        <v>357</v>
      </c>
      <c r="D209" s="61" t="s">
        <v>2077</v>
      </c>
      <c r="E209" s="11" t="s">
        <v>29</v>
      </c>
    </row>
    <row r="210">
      <c r="B210" s="61" t="s">
        <v>2078</v>
      </c>
      <c r="C210" s="45" t="s">
        <v>177</v>
      </c>
      <c r="D210" s="61" t="s">
        <v>2076</v>
      </c>
      <c r="E210" s="11" t="s">
        <v>33</v>
      </c>
    </row>
    <row r="211">
      <c r="B211" s="61" t="s">
        <v>2076</v>
      </c>
      <c r="C211" s="45" t="s">
        <v>278</v>
      </c>
      <c r="D211" s="61" t="s">
        <v>1730</v>
      </c>
      <c r="E211" s="11" t="s">
        <v>29</v>
      </c>
    </row>
    <row r="212">
      <c r="B212" s="61" t="s">
        <v>2078</v>
      </c>
      <c r="C212" s="45" t="s">
        <v>162</v>
      </c>
      <c r="D212" s="61" t="s">
        <v>2077</v>
      </c>
      <c r="E212" s="11" t="s">
        <v>33</v>
      </c>
    </row>
    <row r="213">
      <c r="B213" s="61" t="s">
        <v>1730</v>
      </c>
      <c r="C213" s="45" t="s">
        <v>289</v>
      </c>
      <c r="D213" s="61" t="s">
        <v>1922</v>
      </c>
      <c r="E213" s="11" t="s">
        <v>29</v>
      </c>
    </row>
    <row r="214">
      <c r="B214" s="61" t="s">
        <v>2076</v>
      </c>
      <c r="C214" s="45" t="s">
        <v>250</v>
      </c>
      <c r="D214" s="61" t="s">
        <v>2077</v>
      </c>
      <c r="E214" s="11" t="s">
        <v>33</v>
      </c>
    </row>
    <row r="215">
      <c r="B215" s="61" t="s">
        <v>2078</v>
      </c>
      <c r="C215" s="45" t="s">
        <v>342</v>
      </c>
      <c r="D215" s="61" t="s">
        <v>1922</v>
      </c>
      <c r="E215" s="11" t="s">
        <v>29</v>
      </c>
    </row>
    <row r="216">
      <c r="B216" s="61" t="s">
        <v>1730</v>
      </c>
      <c r="C216" s="45" t="s">
        <v>303</v>
      </c>
      <c r="D216" s="61" t="s">
        <v>2077</v>
      </c>
      <c r="E216" s="11" t="s">
        <v>33</v>
      </c>
    </row>
    <row r="217">
      <c r="B217" s="61" t="s">
        <v>2076</v>
      </c>
      <c r="C217" s="45" t="s">
        <v>218</v>
      </c>
      <c r="D217" s="61" t="s">
        <v>1922</v>
      </c>
      <c r="E217" s="11" t="s">
        <v>29</v>
      </c>
    </row>
    <row r="218">
      <c r="B218" s="61" t="s">
        <v>1730</v>
      </c>
      <c r="C218" s="45" t="s">
        <v>291</v>
      </c>
      <c r="D218" s="61" t="s">
        <v>2078</v>
      </c>
      <c r="E218" s="11" t="s">
        <v>33</v>
      </c>
    </row>
    <row r="219">
      <c r="B219" s="61" t="s">
        <v>2077</v>
      </c>
      <c r="C219" s="45" t="s">
        <v>264</v>
      </c>
      <c r="D219" s="61" t="s">
        <v>1922</v>
      </c>
      <c r="E219" s="11" t="s">
        <v>29</v>
      </c>
    </row>
    <row r="220">
      <c r="B220" s="61" t="s">
        <v>2076</v>
      </c>
      <c r="C220" s="45" t="s">
        <v>750</v>
      </c>
      <c r="D220" s="61" t="s">
        <v>2078</v>
      </c>
      <c r="E220" s="11" t="s">
        <v>33</v>
      </c>
    </row>
    <row r="221">
      <c r="B221" s="52" t="s">
        <v>1803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2079</v>
      </c>
      <c r="C223" s="57" t="s">
        <v>23</v>
      </c>
      <c r="D223" s="62" t="s">
        <v>1351</v>
      </c>
      <c r="E223" s="11" t="s">
        <v>9</v>
      </c>
    </row>
    <row r="224">
      <c r="B224" s="62" t="s">
        <v>1869</v>
      </c>
      <c r="C224" s="57" t="s">
        <v>23</v>
      </c>
      <c r="D224" s="62" t="s">
        <v>1984</v>
      </c>
      <c r="E224" s="11" t="s">
        <v>13</v>
      </c>
    </row>
    <row r="225">
      <c r="B225" s="62" t="s">
        <v>772</v>
      </c>
      <c r="C225" s="57" t="s">
        <v>158</v>
      </c>
      <c r="D225" s="62" t="s">
        <v>2079</v>
      </c>
      <c r="E225" s="11" t="s">
        <v>9</v>
      </c>
    </row>
    <row r="226">
      <c r="B226" s="62" t="s">
        <v>1869</v>
      </c>
      <c r="C226" s="57" t="s">
        <v>271</v>
      </c>
      <c r="D226" s="62" t="s">
        <v>1351</v>
      </c>
      <c r="E226" s="11" t="s">
        <v>13</v>
      </c>
    </row>
    <row r="227">
      <c r="B227" s="62" t="s">
        <v>772</v>
      </c>
      <c r="C227" s="57" t="s">
        <v>20</v>
      </c>
      <c r="D227" s="62" t="s">
        <v>1984</v>
      </c>
      <c r="E227" s="11" t="s">
        <v>9</v>
      </c>
    </row>
    <row r="228">
      <c r="B228" s="62" t="s">
        <v>1869</v>
      </c>
      <c r="C228" s="57" t="s">
        <v>158</v>
      </c>
      <c r="D228" s="62" t="s">
        <v>2079</v>
      </c>
      <c r="E228" s="11" t="s">
        <v>13</v>
      </c>
    </row>
    <row r="229">
      <c r="B229" s="62" t="s">
        <v>772</v>
      </c>
      <c r="C229" s="57" t="s">
        <v>24</v>
      </c>
      <c r="D229" s="62" t="s">
        <v>1351</v>
      </c>
      <c r="E229" s="11" t="s">
        <v>9</v>
      </c>
    </row>
    <row r="230">
      <c r="B230" s="62" t="s">
        <v>1984</v>
      </c>
      <c r="C230" s="57" t="s">
        <v>165</v>
      </c>
      <c r="D230" s="62" t="s">
        <v>2079</v>
      </c>
      <c r="E230" s="11" t="s">
        <v>13</v>
      </c>
    </row>
    <row r="231">
      <c r="B231" s="62" t="s">
        <v>772</v>
      </c>
      <c r="C231" s="57" t="s">
        <v>195</v>
      </c>
      <c r="D231" s="62" t="s">
        <v>1869</v>
      </c>
      <c r="E231" s="11" t="s">
        <v>9</v>
      </c>
    </row>
    <row r="232">
      <c r="B232" s="62" t="s">
        <v>1984</v>
      </c>
      <c r="C232" s="57" t="s">
        <v>19</v>
      </c>
      <c r="D232" s="62" t="s">
        <v>1351</v>
      </c>
      <c r="E232" s="11" t="s">
        <v>13</v>
      </c>
    </row>
    <row r="233">
      <c r="B233" s="62" t="s">
        <v>1351</v>
      </c>
      <c r="C233" s="57" t="s">
        <v>14</v>
      </c>
      <c r="D233" s="62" t="s">
        <v>2079</v>
      </c>
      <c r="E233" s="11" t="s">
        <v>9</v>
      </c>
    </row>
    <row r="234">
      <c r="B234" s="62" t="s">
        <v>1984</v>
      </c>
      <c r="C234" s="57" t="s">
        <v>43</v>
      </c>
      <c r="D234" s="62" t="s">
        <v>1869</v>
      </c>
      <c r="E234" s="11" t="s">
        <v>13</v>
      </c>
    </row>
    <row r="235">
      <c r="B235" s="62" t="s">
        <v>2079</v>
      </c>
      <c r="C235" s="57" t="s">
        <v>155</v>
      </c>
      <c r="D235" s="62" t="s">
        <v>772</v>
      </c>
      <c r="E235" s="11" t="s">
        <v>9</v>
      </c>
    </row>
    <row r="236">
      <c r="B236" s="62" t="s">
        <v>1351</v>
      </c>
      <c r="C236" s="57" t="s">
        <v>18</v>
      </c>
      <c r="D236" s="62" t="s">
        <v>1869</v>
      </c>
      <c r="E236" s="11" t="s">
        <v>13</v>
      </c>
    </row>
    <row r="237">
      <c r="B237" s="62" t="s">
        <v>1984</v>
      </c>
      <c r="C237" s="57" t="s">
        <v>218</v>
      </c>
      <c r="D237" s="62" t="s">
        <v>772</v>
      </c>
      <c r="E237" s="11" t="s">
        <v>9</v>
      </c>
    </row>
    <row r="238">
      <c r="B238" s="62" t="s">
        <v>2079</v>
      </c>
      <c r="C238" s="57" t="s">
        <v>291</v>
      </c>
      <c r="D238" s="62" t="s">
        <v>1869</v>
      </c>
      <c r="E238" s="11" t="s">
        <v>13</v>
      </c>
    </row>
    <row r="239">
      <c r="B239" s="62" t="s">
        <v>1351</v>
      </c>
      <c r="C239" s="57" t="s">
        <v>534</v>
      </c>
      <c r="D239" s="62" t="s">
        <v>772</v>
      </c>
      <c r="E239" s="11" t="s">
        <v>9</v>
      </c>
    </row>
    <row r="240">
      <c r="B240" s="62" t="s">
        <v>2079</v>
      </c>
      <c r="C240" s="57" t="s">
        <v>171</v>
      </c>
      <c r="D240" s="62" t="s">
        <v>1984</v>
      </c>
      <c r="E240" s="11" t="s">
        <v>13</v>
      </c>
    </row>
    <row r="241">
      <c r="B241" s="62" t="s">
        <v>1869</v>
      </c>
      <c r="C241" s="57" t="s">
        <v>237</v>
      </c>
      <c r="D241" s="62" t="s">
        <v>772</v>
      </c>
      <c r="E241" s="11" t="s">
        <v>9</v>
      </c>
    </row>
    <row r="242">
      <c r="B242" s="62" t="s">
        <v>1351</v>
      </c>
      <c r="C242" s="57" t="s">
        <v>162</v>
      </c>
      <c r="D242" s="62" t="s">
        <v>1984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1929</v>
      </c>
      <c r="C245" s="45" t="s">
        <v>303</v>
      </c>
      <c r="D245" s="62" t="s">
        <v>1987</v>
      </c>
      <c r="E245" s="11" t="s">
        <v>9</v>
      </c>
    </row>
    <row r="246">
      <c r="B246" s="62" t="s">
        <v>2080</v>
      </c>
      <c r="C246" s="45" t="s">
        <v>1661</v>
      </c>
      <c r="D246" s="62" t="s">
        <v>1810</v>
      </c>
      <c r="E246" s="11" t="s">
        <v>13</v>
      </c>
    </row>
    <row r="247">
      <c r="B247" s="62" t="s">
        <v>2081</v>
      </c>
      <c r="C247" s="45" t="s">
        <v>193</v>
      </c>
      <c r="D247" s="62" t="s">
        <v>1929</v>
      </c>
      <c r="E247" s="11" t="s">
        <v>9</v>
      </c>
    </row>
    <row r="248">
      <c r="B248" s="62" t="s">
        <v>2080</v>
      </c>
      <c r="C248" s="45" t="s">
        <v>525</v>
      </c>
      <c r="D248" s="62" t="s">
        <v>1987</v>
      </c>
      <c r="E248" s="11" t="s">
        <v>13</v>
      </c>
    </row>
    <row r="249">
      <c r="B249" s="62" t="s">
        <v>2081</v>
      </c>
      <c r="C249" s="45" t="s">
        <v>1277</v>
      </c>
      <c r="D249" s="62" t="s">
        <v>1810</v>
      </c>
      <c r="E249" s="11" t="s">
        <v>9</v>
      </c>
    </row>
    <row r="250">
      <c r="B250" s="62" t="s">
        <v>2080</v>
      </c>
      <c r="C250" s="45" t="s">
        <v>362</v>
      </c>
      <c r="D250" s="62" t="s">
        <v>1929</v>
      </c>
      <c r="E250" s="11" t="s">
        <v>13</v>
      </c>
    </row>
    <row r="251">
      <c r="B251" s="62" t="s">
        <v>2081</v>
      </c>
      <c r="C251" s="45" t="s">
        <v>248</v>
      </c>
      <c r="D251" s="62" t="s">
        <v>1987</v>
      </c>
      <c r="E251" s="11" t="s">
        <v>9</v>
      </c>
    </row>
    <row r="252">
      <c r="B252" s="62" t="s">
        <v>1810</v>
      </c>
      <c r="C252" s="45" t="s">
        <v>271</v>
      </c>
      <c r="D252" s="62" t="s">
        <v>1929</v>
      </c>
      <c r="E252" s="11" t="s">
        <v>13</v>
      </c>
    </row>
    <row r="253">
      <c r="B253" s="62" t="s">
        <v>2081</v>
      </c>
      <c r="C253" s="45" t="s">
        <v>198</v>
      </c>
      <c r="D253" s="62" t="s">
        <v>2080</v>
      </c>
      <c r="E253" s="11" t="s">
        <v>9</v>
      </c>
    </row>
    <row r="254">
      <c r="B254" s="62" t="s">
        <v>1810</v>
      </c>
      <c r="C254" s="45" t="s">
        <v>158</v>
      </c>
      <c r="D254" s="62" t="s">
        <v>1987</v>
      </c>
      <c r="E254" s="11" t="s">
        <v>13</v>
      </c>
    </row>
    <row r="255">
      <c r="B255" s="62" t="s">
        <v>1987</v>
      </c>
      <c r="C255" s="45" t="s">
        <v>351</v>
      </c>
      <c r="D255" s="62" t="s">
        <v>1929</v>
      </c>
      <c r="E255" s="11" t="s">
        <v>9</v>
      </c>
    </row>
    <row r="256">
      <c r="B256" s="62" t="s">
        <v>1810</v>
      </c>
      <c r="C256" s="45" t="s">
        <v>335</v>
      </c>
      <c r="D256" s="62" t="s">
        <v>2080</v>
      </c>
      <c r="E256" s="11" t="s">
        <v>13</v>
      </c>
    </row>
    <row r="257">
      <c r="B257" s="62" t="s">
        <v>1929</v>
      </c>
      <c r="C257" s="45" t="s">
        <v>162</v>
      </c>
      <c r="D257" s="62" t="s">
        <v>2081</v>
      </c>
      <c r="E257" s="11" t="s">
        <v>9</v>
      </c>
    </row>
    <row r="258">
      <c r="B258" s="62" t="s">
        <v>1987</v>
      </c>
      <c r="C258" s="45" t="s">
        <v>264</v>
      </c>
      <c r="D258" s="62" t="s">
        <v>2080</v>
      </c>
      <c r="E258" s="11" t="s">
        <v>13</v>
      </c>
    </row>
    <row r="259">
      <c r="B259" s="62" t="s">
        <v>1810</v>
      </c>
      <c r="C259" s="45" t="s">
        <v>161</v>
      </c>
      <c r="D259" s="62" t="s">
        <v>2081</v>
      </c>
      <c r="E259" s="11" t="s">
        <v>9</v>
      </c>
    </row>
    <row r="260">
      <c r="B260" s="62" t="s">
        <v>1929</v>
      </c>
      <c r="C260" s="45" t="s">
        <v>177</v>
      </c>
      <c r="D260" s="62" t="s">
        <v>2080</v>
      </c>
      <c r="E260" s="11" t="s">
        <v>13</v>
      </c>
    </row>
    <row r="261">
      <c r="B261" s="62" t="s">
        <v>1987</v>
      </c>
      <c r="C261" s="45" t="s">
        <v>302</v>
      </c>
      <c r="D261" s="62" t="s">
        <v>2081</v>
      </c>
      <c r="E261" s="11" t="s">
        <v>9</v>
      </c>
    </row>
    <row r="262">
      <c r="B262" s="62" t="s">
        <v>1929</v>
      </c>
      <c r="C262" s="45" t="s">
        <v>525</v>
      </c>
      <c r="D262" s="62" t="s">
        <v>1810</v>
      </c>
      <c r="E262" s="11" t="s">
        <v>13</v>
      </c>
    </row>
    <row r="263">
      <c r="B263" s="62" t="s">
        <v>2080</v>
      </c>
      <c r="C263" s="45" t="s">
        <v>1661</v>
      </c>
      <c r="D263" s="62" t="s">
        <v>2081</v>
      </c>
      <c r="E263" s="11" t="s">
        <v>9</v>
      </c>
    </row>
    <row r="264">
      <c r="B264" s="62" t="s">
        <v>1987</v>
      </c>
      <c r="C264" s="45" t="s">
        <v>158</v>
      </c>
      <c r="D264" s="62" t="s">
        <v>1810</v>
      </c>
      <c r="E264" s="11" t="s">
        <v>13</v>
      </c>
      <c r="S264" s="50" t="s">
        <v>861</v>
      </c>
    </row>
    <row r="265">
      <c r="B265" s="52" t="s">
        <v>100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104</v>
      </c>
      <c r="C267" s="45" t="s">
        <v>357</v>
      </c>
      <c r="D267" s="62" t="s">
        <v>2082</v>
      </c>
      <c r="E267" s="11" t="s">
        <v>29</v>
      </c>
    </row>
    <row r="268">
      <c r="B268" s="62" t="s">
        <v>1040</v>
      </c>
      <c r="C268" s="45" t="s">
        <v>1661</v>
      </c>
      <c r="D268" s="62" t="s">
        <v>2083</v>
      </c>
      <c r="E268" s="11" t="s">
        <v>33</v>
      </c>
    </row>
    <row r="269">
      <c r="B269" s="62" t="s">
        <v>964</v>
      </c>
      <c r="C269" s="45" t="s">
        <v>44</v>
      </c>
      <c r="D269" s="62" t="s">
        <v>104</v>
      </c>
      <c r="E269" s="11" t="s">
        <v>29</v>
      </c>
    </row>
    <row r="270">
      <c r="B270" s="62" t="s">
        <v>1040</v>
      </c>
      <c r="C270" s="45" t="s">
        <v>366</v>
      </c>
      <c r="D270" s="62" t="s">
        <v>2082</v>
      </c>
      <c r="E270" s="11" t="s">
        <v>33</v>
      </c>
    </row>
    <row r="271">
      <c r="B271" s="62" t="s">
        <v>964</v>
      </c>
      <c r="C271" s="45" t="s">
        <v>418</v>
      </c>
      <c r="D271" s="62" t="s">
        <v>2083</v>
      </c>
      <c r="E271" s="11" t="s">
        <v>29</v>
      </c>
    </row>
    <row r="272">
      <c r="B272" s="62" t="s">
        <v>1040</v>
      </c>
      <c r="C272" s="45" t="s">
        <v>19</v>
      </c>
      <c r="D272" s="62" t="s">
        <v>104</v>
      </c>
      <c r="E272" s="11" t="s">
        <v>33</v>
      </c>
    </row>
    <row r="273">
      <c r="B273" s="62" t="s">
        <v>964</v>
      </c>
      <c r="C273" s="45" t="s">
        <v>231</v>
      </c>
      <c r="D273" s="62" t="s">
        <v>2082</v>
      </c>
      <c r="E273" s="11" t="s">
        <v>29</v>
      </c>
    </row>
    <row r="274">
      <c r="B274" s="62" t="s">
        <v>2083</v>
      </c>
      <c r="C274" s="45" t="s">
        <v>220</v>
      </c>
      <c r="D274" s="62" t="s">
        <v>104</v>
      </c>
      <c r="E274" s="11" t="s">
        <v>33</v>
      </c>
      <c r="N274" s="50" t="s">
        <v>861</v>
      </c>
    </row>
    <row r="275">
      <c r="B275" s="62" t="s">
        <v>964</v>
      </c>
      <c r="C275" s="45" t="s">
        <v>210</v>
      </c>
      <c r="D275" s="62" t="s">
        <v>1040</v>
      </c>
      <c r="E275" s="11" t="s">
        <v>29</v>
      </c>
    </row>
    <row r="276">
      <c r="B276" s="62" t="s">
        <v>2083</v>
      </c>
      <c r="C276" s="45" t="s">
        <v>487</v>
      </c>
      <c r="D276" s="62" t="s">
        <v>2082</v>
      </c>
      <c r="E276" s="11" t="s">
        <v>33</v>
      </c>
    </row>
    <row r="277">
      <c r="B277" s="62" t="s">
        <v>2082</v>
      </c>
      <c r="C277" s="45" t="s">
        <v>18</v>
      </c>
      <c r="D277" s="62" t="s">
        <v>104</v>
      </c>
      <c r="E277" s="11" t="s">
        <v>29</v>
      </c>
    </row>
    <row r="278">
      <c r="B278" s="62" t="s">
        <v>2083</v>
      </c>
      <c r="C278" s="45" t="s">
        <v>16</v>
      </c>
      <c r="D278" s="62" t="s">
        <v>1040</v>
      </c>
      <c r="E278" s="11" t="s">
        <v>33</v>
      </c>
    </row>
    <row r="279">
      <c r="B279" s="62" t="s">
        <v>104</v>
      </c>
      <c r="C279" s="45" t="s">
        <v>155</v>
      </c>
      <c r="D279" s="62" t="s">
        <v>964</v>
      </c>
      <c r="E279" s="11" t="s">
        <v>29</v>
      </c>
    </row>
    <row r="280">
      <c r="B280" s="62" t="s">
        <v>2082</v>
      </c>
      <c r="C280" s="45" t="s">
        <v>338</v>
      </c>
      <c r="D280" s="62" t="s">
        <v>1040</v>
      </c>
      <c r="E280" s="11" t="s">
        <v>33</v>
      </c>
    </row>
    <row r="281">
      <c r="B281" s="62" t="s">
        <v>2083</v>
      </c>
      <c r="C281" s="45" t="s">
        <v>237</v>
      </c>
      <c r="D281" s="62" t="s">
        <v>964</v>
      </c>
      <c r="E281" s="11" t="s">
        <v>29</v>
      </c>
    </row>
    <row r="282">
      <c r="B282" s="62" t="s">
        <v>104</v>
      </c>
      <c r="C282" s="45" t="s">
        <v>524</v>
      </c>
      <c r="D282" s="62" t="s">
        <v>1040</v>
      </c>
      <c r="E282" s="11" t="s">
        <v>33</v>
      </c>
    </row>
    <row r="283">
      <c r="B283" s="62" t="s">
        <v>2082</v>
      </c>
      <c r="C283" s="45" t="s">
        <v>157</v>
      </c>
      <c r="D283" s="62" t="s">
        <v>964</v>
      </c>
      <c r="E283" s="11" t="s">
        <v>29</v>
      </c>
    </row>
    <row r="284">
      <c r="B284" s="62" t="s">
        <v>104</v>
      </c>
      <c r="C284" s="45" t="s">
        <v>289</v>
      </c>
      <c r="D284" s="62" t="s">
        <v>2083</v>
      </c>
      <c r="E284" s="11" t="s">
        <v>33</v>
      </c>
    </row>
    <row r="285">
      <c r="B285" s="62" t="s">
        <v>1040</v>
      </c>
      <c r="C285" s="45" t="s">
        <v>161</v>
      </c>
      <c r="D285" s="62" t="s">
        <v>964</v>
      </c>
      <c r="E285" s="11" t="s">
        <v>29</v>
      </c>
    </row>
    <row r="286">
      <c r="B286" s="62" t="s">
        <v>2082</v>
      </c>
      <c r="C286" s="45" t="s">
        <v>16</v>
      </c>
      <c r="D286" s="62" t="s">
        <v>2083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976</v>
      </c>
      <c r="C289" s="45" t="s">
        <v>195</v>
      </c>
      <c r="D289" s="62" t="s">
        <v>1819</v>
      </c>
      <c r="E289" s="11" t="s">
        <v>29</v>
      </c>
    </row>
    <row r="290">
      <c r="B290" s="62" t="s">
        <v>2046</v>
      </c>
      <c r="C290" s="45" t="s">
        <v>19</v>
      </c>
      <c r="D290" s="62" t="s">
        <v>2084</v>
      </c>
      <c r="E290" s="11" t="s">
        <v>33</v>
      </c>
    </row>
    <row r="291">
      <c r="B291" s="62" t="s">
        <v>1936</v>
      </c>
      <c r="C291" s="45" t="s">
        <v>302</v>
      </c>
      <c r="D291" s="62" t="s">
        <v>976</v>
      </c>
      <c r="E291" s="11" t="s">
        <v>29</v>
      </c>
    </row>
    <row r="292">
      <c r="B292" s="62" t="s">
        <v>2046</v>
      </c>
      <c r="C292" s="45" t="s">
        <v>185</v>
      </c>
      <c r="D292" s="62" t="s">
        <v>1819</v>
      </c>
      <c r="E292" s="11" t="s">
        <v>33</v>
      </c>
    </row>
    <row r="293">
      <c r="B293" s="62" t="s">
        <v>1936</v>
      </c>
      <c r="C293" s="45" t="s">
        <v>465</v>
      </c>
      <c r="D293" s="62" t="s">
        <v>2084</v>
      </c>
      <c r="E293" s="11" t="s">
        <v>29</v>
      </c>
      <c r="Q293" s="50" t="s">
        <v>861</v>
      </c>
    </row>
    <row r="294">
      <c r="B294" s="62" t="s">
        <v>2046</v>
      </c>
      <c r="C294" s="45" t="s">
        <v>23</v>
      </c>
      <c r="D294" s="62" t="s">
        <v>976</v>
      </c>
      <c r="E294" s="11" t="s">
        <v>33</v>
      </c>
    </row>
    <row r="295">
      <c r="B295" s="62" t="s">
        <v>1936</v>
      </c>
      <c r="C295" s="45" t="s">
        <v>1603</v>
      </c>
      <c r="D295" s="62" t="s">
        <v>1819</v>
      </c>
      <c r="E295" s="11" t="s">
        <v>29</v>
      </c>
    </row>
    <row r="296">
      <c r="B296" s="62" t="s">
        <v>2084</v>
      </c>
      <c r="C296" s="45" t="s">
        <v>256</v>
      </c>
      <c r="D296" s="62" t="s">
        <v>976</v>
      </c>
      <c r="E296" s="11" t="s">
        <v>33</v>
      </c>
    </row>
    <row r="297">
      <c r="B297" s="62" t="s">
        <v>1936</v>
      </c>
      <c r="C297" s="45" t="s">
        <v>20</v>
      </c>
      <c r="D297" s="62" t="s">
        <v>2046</v>
      </c>
      <c r="E297" s="11" t="s">
        <v>29</v>
      </c>
    </row>
    <row r="298">
      <c r="B298" s="62" t="s">
        <v>2084</v>
      </c>
      <c r="C298" s="45" t="s">
        <v>7</v>
      </c>
      <c r="D298" s="62" t="s">
        <v>1819</v>
      </c>
      <c r="E298" s="11" t="s">
        <v>33</v>
      </c>
    </row>
    <row r="299">
      <c r="B299" s="62" t="s">
        <v>1819</v>
      </c>
      <c r="C299" s="45" t="s">
        <v>42</v>
      </c>
      <c r="D299" s="62" t="s">
        <v>976</v>
      </c>
      <c r="E299" s="11" t="s">
        <v>29</v>
      </c>
    </row>
    <row r="300">
      <c r="B300" s="62" t="s">
        <v>2084</v>
      </c>
      <c r="C300" s="45" t="s">
        <v>155</v>
      </c>
      <c r="D300" s="62" t="s">
        <v>2046</v>
      </c>
      <c r="E300" s="11" t="s">
        <v>33</v>
      </c>
    </row>
    <row r="301">
      <c r="B301" s="62" t="s">
        <v>976</v>
      </c>
      <c r="C301" s="45" t="s">
        <v>210</v>
      </c>
      <c r="D301" s="62" t="s">
        <v>1936</v>
      </c>
      <c r="E301" s="11" t="s">
        <v>29</v>
      </c>
    </row>
    <row r="302">
      <c r="B302" s="62" t="s">
        <v>1819</v>
      </c>
      <c r="C302" s="45" t="s">
        <v>23</v>
      </c>
      <c r="D302" s="62" t="s">
        <v>2046</v>
      </c>
      <c r="E302" s="11" t="s">
        <v>33</v>
      </c>
    </row>
    <row r="303">
      <c r="B303" s="62" t="s">
        <v>2084</v>
      </c>
      <c r="C303" s="45" t="s">
        <v>17</v>
      </c>
      <c r="D303" s="62" t="s">
        <v>1936</v>
      </c>
      <c r="E303" s="11" t="s">
        <v>29</v>
      </c>
    </row>
    <row r="304">
      <c r="B304" s="62" t="s">
        <v>976</v>
      </c>
      <c r="C304" s="45" t="s">
        <v>281</v>
      </c>
      <c r="D304" s="62" t="s">
        <v>2046</v>
      </c>
      <c r="E304" s="11" t="s">
        <v>33</v>
      </c>
    </row>
    <row r="305">
      <c r="B305" s="62" t="s">
        <v>1819</v>
      </c>
      <c r="C305" s="45" t="s">
        <v>323</v>
      </c>
      <c r="D305" s="62" t="s">
        <v>1936</v>
      </c>
      <c r="E305" s="11" t="s">
        <v>29</v>
      </c>
    </row>
    <row r="306">
      <c r="B306" s="62" t="s">
        <v>976</v>
      </c>
      <c r="C306" s="45" t="s">
        <v>162</v>
      </c>
      <c r="D306" s="62" t="s">
        <v>2084</v>
      </c>
      <c r="E306" s="11" t="s">
        <v>33</v>
      </c>
    </row>
    <row r="307">
      <c r="B307" s="62" t="s">
        <v>2046</v>
      </c>
      <c r="C307" s="45" t="s">
        <v>278</v>
      </c>
      <c r="D307" s="62" t="s">
        <v>1936</v>
      </c>
      <c r="E307" s="11" t="s">
        <v>29</v>
      </c>
    </row>
    <row r="308">
      <c r="B308" s="62" t="s">
        <v>1819</v>
      </c>
      <c r="C308" s="45" t="s">
        <v>366</v>
      </c>
      <c r="D308" s="62" t="s">
        <v>2084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2085</v>
      </c>
      <c r="C311" s="57" t="s">
        <v>342</v>
      </c>
      <c r="D311" s="62" t="s">
        <v>592</v>
      </c>
      <c r="E311" s="11" t="s">
        <v>9</v>
      </c>
    </row>
    <row r="312">
      <c r="B312" s="62" t="s">
        <v>2086</v>
      </c>
      <c r="C312" s="57" t="s">
        <v>477</v>
      </c>
      <c r="D312" s="62" t="s">
        <v>2087</v>
      </c>
      <c r="E312" s="11" t="s">
        <v>13</v>
      </c>
    </row>
    <row r="313">
      <c r="B313" s="62" t="s">
        <v>2088</v>
      </c>
      <c r="C313" s="57" t="s">
        <v>16</v>
      </c>
      <c r="D313" s="62" t="s">
        <v>2085</v>
      </c>
      <c r="E313" s="11" t="s">
        <v>9</v>
      </c>
    </row>
    <row r="314">
      <c r="B314" s="62" t="s">
        <v>2086</v>
      </c>
      <c r="C314" s="57" t="s">
        <v>7</v>
      </c>
      <c r="D314" s="62" t="s">
        <v>592</v>
      </c>
      <c r="E314" s="11" t="s">
        <v>13</v>
      </c>
    </row>
    <row r="315">
      <c r="B315" s="62" t="s">
        <v>2088</v>
      </c>
      <c r="C315" s="57" t="s">
        <v>19</v>
      </c>
      <c r="D315" s="62" t="s">
        <v>2087</v>
      </c>
      <c r="E315" s="11" t="s">
        <v>9</v>
      </c>
    </row>
    <row r="316">
      <c r="B316" s="62" t="s">
        <v>2086</v>
      </c>
      <c r="C316" s="57" t="s">
        <v>237</v>
      </c>
      <c r="D316" s="62" t="s">
        <v>2085</v>
      </c>
      <c r="E316" s="11" t="s">
        <v>13</v>
      </c>
    </row>
    <row r="317">
      <c r="B317" s="62" t="s">
        <v>2088</v>
      </c>
      <c r="C317" s="57" t="s">
        <v>194</v>
      </c>
      <c r="D317" s="62" t="s">
        <v>592</v>
      </c>
      <c r="E317" s="11" t="s">
        <v>9</v>
      </c>
    </row>
    <row r="318">
      <c r="B318" s="62" t="s">
        <v>2087</v>
      </c>
      <c r="C318" s="57" t="s">
        <v>219</v>
      </c>
      <c r="D318" s="62" t="s">
        <v>2085</v>
      </c>
      <c r="E318" s="11" t="s">
        <v>13</v>
      </c>
    </row>
    <row r="319">
      <c r="B319" s="62" t="s">
        <v>2088</v>
      </c>
      <c r="C319" s="57" t="s">
        <v>293</v>
      </c>
      <c r="D319" s="62" t="s">
        <v>2086</v>
      </c>
      <c r="E319" s="11" t="s">
        <v>9</v>
      </c>
    </row>
    <row r="320">
      <c r="B320" s="62" t="s">
        <v>2087</v>
      </c>
      <c r="C320" s="57" t="s">
        <v>195</v>
      </c>
      <c r="D320" s="62" t="s">
        <v>592</v>
      </c>
      <c r="E320" s="11" t="s">
        <v>13</v>
      </c>
    </row>
    <row r="321">
      <c r="B321" s="62" t="s">
        <v>592</v>
      </c>
      <c r="C321" s="57" t="s">
        <v>17</v>
      </c>
      <c r="D321" s="62" t="s">
        <v>2085</v>
      </c>
      <c r="E321" s="11" t="s">
        <v>9</v>
      </c>
    </row>
    <row r="322">
      <c r="B322" s="62" t="s">
        <v>2087</v>
      </c>
      <c r="C322" s="57" t="s">
        <v>17</v>
      </c>
      <c r="D322" s="62" t="s">
        <v>2086</v>
      </c>
      <c r="E322" s="11" t="s">
        <v>13</v>
      </c>
    </row>
    <row r="323">
      <c r="B323" s="62" t="s">
        <v>2085</v>
      </c>
      <c r="C323" s="45" t="s">
        <v>195</v>
      </c>
      <c r="D323" s="62" t="s">
        <v>2088</v>
      </c>
      <c r="E323" s="11" t="s">
        <v>9</v>
      </c>
    </row>
    <row r="324">
      <c r="B324" s="62" t="s">
        <v>592</v>
      </c>
      <c r="C324" s="45" t="s">
        <v>281</v>
      </c>
      <c r="D324" s="62" t="s">
        <v>2086</v>
      </c>
      <c r="E324" s="11" t="s">
        <v>13</v>
      </c>
    </row>
    <row r="325">
      <c r="B325" s="62" t="s">
        <v>2087</v>
      </c>
      <c r="C325" s="45" t="s">
        <v>41</v>
      </c>
      <c r="D325" s="62" t="s">
        <v>2088</v>
      </c>
      <c r="E325" s="11" t="s">
        <v>9</v>
      </c>
    </row>
    <row r="326">
      <c r="B326" s="62" t="s">
        <v>2085</v>
      </c>
      <c r="C326" s="45" t="s">
        <v>610</v>
      </c>
      <c r="D326" s="62" t="s">
        <v>2086</v>
      </c>
      <c r="E326" s="11" t="s">
        <v>13</v>
      </c>
    </row>
    <row r="327">
      <c r="B327" s="62" t="s">
        <v>592</v>
      </c>
      <c r="C327" s="45" t="s">
        <v>161</v>
      </c>
      <c r="D327" s="62" t="s">
        <v>2088</v>
      </c>
      <c r="E327" s="11" t="s">
        <v>9</v>
      </c>
    </row>
    <row r="328">
      <c r="B328" s="62" t="s">
        <v>2085</v>
      </c>
      <c r="C328" s="45" t="s">
        <v>185</v>
      </c>
      <c r="D328" s="62" t="s">
        <v>2087</v>
      </c>
      <c r="E328" s="11" t="s">
        <v>13</v>
      </c>
    </row>
    <row r="329">
      <c r="B329" s="62" t="s">
        <v>2086</v>
      </c>
      <c r="C329" s="45" t="s">
        <v>155</v>
      </c>
      <c r="D329" s="62" t="s">
        <v>2088</v>
      </c>
      <c r="E329" s="11" t="s">
        <v>9</v>
      </c>
    </row>
    <row r="330">
      <c r="B330" s="62" t="s">
        <v>592</v>
      </c>
      <c r="C330" s="45" t="s">
        <v>181</v>
      </c>
      <c r="D330" s="62" t="s">
        <v>2087</v>
      </c>
      <c r="E330" s="11" t="s">
        <v>13</v>
      </c>
    </row>
    <row r="331">
      <c r="B331" s="52" t="s">
        <v>122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2051</v>
      </c>
      <c r="C333" s="45" t="s">
        <v>20</v>
      </c>
      <c r="D333" s="62" t="s">
        <v>468</v>
      </c>
      <c r="E333" s="11" t="s">
        <v>29</v>
      </c>
    </row>
    <row r="334">
      <c r="B334" s="62" t="s">
        <v>2089</v>
      </c>
      <c r="C334" s="45" t="s">
        <v>327</v>
      </c>
      <c r="D334" s="62" t="s">
        <v>2003</v>
      </c>
      <c r="E334" s="11" t="s">
        <v>33</v>
      </c>
    </row>
    <row r="335">
      <c r="B335" s="62" t="s">
        <v>2053</v>
      </c>
      <c r="C335" s="45" t="s">
        <v>248</v>
      </c>
      <c r="D335" s="62" t="s">
        <v>2051</v>
      </c>
      <c r="E335" s="11" t="s">
        <v>29</v>
      </c>
    </row>
    <row r="336">
      <c r="B336" s="62" t="s">
        <v>2089</v>
      </c>
      <c r="C336" s="45" t="s">
        <v>203</v>
      </c>
      <c r="D336" s="62" t="s">
        <v>468</v>
      </c>
      <c r="E336" s="11" t="s">
        <v>33</v>
      </c>
    </row>
    <row r="337">
      <c r="B337" s="62" t="s">
        <v>2053</v>
      </c>
      <c r="C337" s="45" t="s">
        <v>193</v>
      </c>
      <c r="D337" s="62" t="s">
        <v>2003</v>
      </c>
      <c r="E337" s="11" t="s">
        <v>29</v>
      </c>
    </row>
    <row r="338">
      <c r="B338" s="62" t="s">
        <v>2089</v>
      </c>
      <c r="C338" s="45" t="s">
        <v>158</v>
      </c>
      <c r="D338" s="62" t="s">
        <v>2051</v>
      </c>
      <c r="E338" s="11" t="s">
        <v>33</v>
      </c>
    </row>
    <row r="339">
      <c r="B339" s="62" t="s">
        <v>2053</v>
      </c>
      <c r="C339" s="45" t="s">
        <v>281</v>
      </c>
      <c r="D339" s="62" t="s">
        <v>468</v>
      </c>
      <c r="E339" s="11" t="s">
        <v>29</v>
      </c>
      <c r="J339" s="50"/>
      <c r="L339" s="50"/>
    </row>
    <row r="340">
      <c r="B340" s="62" t="s">
        <v>2003</v>
      </c>
      <c r="C340" s="45" t="s">
        <v>324</v>
      </c>
      <c r="D340" s="62" t="s">
        <v>2051</v>
      </c>
      <c r="E340" s="11" t="s">
        <v>33</v>
      </c>
    </row>
    <row r="341">
      <c r="B341" s="62" t="s">
        <v>2053</v>
      </c>
      <c r="C341" s="45" t="s">
        <v>193</v>
      </c>
      <c r="D341" s="62" t="s">
        <v>2089</v>
      </c>
      <c r="E341" s="11" t="s">
        <v>29</v>
      </c>
    </row>
    <row r="342">
      <c r="B342" s="62" t="s">
        <v>2003</v>
      </c>
      <c r="C342" s="45" t="s">
        <v>14</v>
      </c>
      <c r="D342" s="62" t="s">
        <v>468</v>
      </c>
      <c r="E342" s="11" t="s">
        <v>33</v>
      </c>
    </row>
    <row r="343">
      <c r="B343" s="62" t="s">
        <v>468</v>
      </c>
      <c r="C343" s="45" t="s">
        <v>251</v>
      </c>
      <c r="D343" s="62" t="s">
        <v>2051</v>
      </c>
      <c r="E343" s="11" t="s">
        <v>29</v>
      </c>
    </row>
    <row r="344">
      <c r="B344" s="62" t="s">
        <v>2003</v>
      </c>
      <c r="C344" s="45" t="s">
        <v>220</v>
      </c>
      <c r="D344" s="62" t="s">
        <v>2089</v>
      </c>
      <c r="E344" s="11" t="s">
        <v>33</v>
      </c>
    </row>
    <row r="345">
      <c r="B345" s="62" t="s">
        <v>2051</v>
      </c>
      <c r="C345" s="45" t="s">
        <v>158</v>
      </c>
      <c r="D345" s="62" t="s">
        <v>2053</v>
      </c>
      <c r="E345" s="11" t="s">
        <v>29</v>
      </c>
    </row>
    <row r="346">
      <c r="B346" s="62" t="s">
        <v>468</v>
      </c>
      <c r="C346" s="45" t="s">
        <v>161</v>
      </c>
      <c r="D346" s="62" t="s">
        <v>2089</v>
      </c>
      <c r="E346" s="11" t="s">
        <v>33</v>
      </c>
    </row>
    <row r="347">
      <c r="B347" s="62" t="s">
        <v>2003</v>
      </c>
      <c r="C347" s="45" t="s">
        <v>14</v>
      </c>
      <c r="D347" s="62" t="s">
        <v>2053</v>
      </c>
      <c r="E347" s="11" t="s">
        <v>29</v>
      </c>
    </row>
    <row r="348">
      <c r="B348" s="62" t="s">
        <v>2051</v>
      </c>
      <c r="C348" s="45" t="s">
        <v>24</v>
      </c>
      <c r="D348" s="62" t="s">
        <v>2089</v>
      </c>
      <c r="E348" s="11" t="s">
        <v>33</v>
      </c>
    </row>
    <row r="349">
      <c r="B349" s="62" t="s">
        <v>468</v>
      </c>
      <c r="C349" s="45" t="s">
        <v>301</v>
      </c>
      <c r="D349" s="62" t="s">
        <v>2053</v>
      </c>
      <c r="E349" s="11" t="s">
        <v>29</v>
      </c>
    </row>
    <row r="350">
      <c r="B350" s="62" t="s">
        <v>2051</v>
      </c>
      <c r="C350" s="45" t="s">
        <v>158</v>
      </c>
      <c r="D350" s="62" t="s">
        <v>2003</v>
      </c>
      <c r="E350" s="11" t="s">
        <v>33</v>
      </c>
    </row>
    <row r="351">
      <c r="B351" s="62" t="s">
        <v>2089</v>
      </c>
      <c r="C351" s="45" t="s">
        <v>549</v>
      </c>
      <c r="D351" s="62" t="s">
        <v>2053</v>
      </c>
      <c r="E351" s="11" t="s">
        <v>29</v>
      </c>
    </row>
    <row r="352">
      <c r="B352" s="62" t="s">
        <v>468</v>
      </c>
      <c r="C352" s="45" t="s">
        <v>16</v>
      </c>
      <c r="D352" s="62" t="s">
        <v>2003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2090</v>
      </c>
      <c r="C3" s="57" t="s">
        <v>291</v>
      </c>
      <c r="D3" s="62" t="s">
        <v>2091</v>
      </c>
      <c r="E3" s="11" t="s">
        <v>29</v>
      </c>
    </row>
    <row r="4">
      <c r="A4" s="90"/>
      <c r="B4" s="61" t="s">
        <v>2092</v>
      </c>
      <c r="C4" s="57" t="s">
        <v>182</v>
      </c>
      <c r="D4" s="61" t="s">
        <v>2093</v>
      </c>
      <c r="E4" s="11" t="s">
        <v>33</v>
      </c>
    </row>
    <row r="5">
      <c r="A5" s="90"/>
      <c r="B5" s="62" t="s">
        <v>2094</v>
      </c>
      <c r="C5" s="57" t="s">
        <v>218</v>
      </c>
      <c r="D5" s="61" t="s">
        <v>2090</v>
      </c>
      <c r="E5" s="11" t="s">
        <v>29</v>
      </c>
    </row>
    <row r="6">
      <c r="A6" s="90"/>
      <c r="B6" s="61" t="s">
        <v>2092</v>
      </c>
      <c r="C6" s="57" t="s">
        <v>302</v>
      </c>
      <c r="D6" s="62" t="s">
        <v>2091</v>
      </c>
      <c r="E6" s="11" t="s">
        <v>33</v>
      </c>
    </row>
    <row r="7">
      <c r="A7" s="90"/>
      <c r="B7" s="62" t="s">
        <v>2094</v>
      </c>
      <c r="C7" s="57" t="s">
        <v>222</v>
      </c>
      <c r="D7" s="61" t="s">
        <v>2093</v>
      </c>
      <c r="E7" s="11" t="s">
        <v>29</v>
      </c>
    </row>
    <row r="8">
      <c r="A8" s="90"/>
      <c r="B8" s="61" t="s">
        <v>2092</v>
      </c>
      <c r="C8" s="57" t="s">
        <v>164</v>
      </c>
      <c r="D8" s="61" t="s">
        <v>2090</v>
      </c>
      <c r="E8" s="11" t="s">
        <v>33</v>
      </c>
    </row>
    <row r="9">
      <c r="A9" s="90"/>
      <c r="B9" s="62" t="s">
        <v>2094</v>
      </c>
      <c r="C9" s="57" t="s">
        <v>573</v>
      </c>
      <c r="D9" s="62" t="s">
        <v>2091</v>
      </c>
      <c r="E9" s="11" t="s">
        <v>29</v>
      </c>
    </row>
    <row r="10">
      <c r="A10" s="90"/>
      <c r="B10" s="61" t="s">
        <v>2093</v>
      </c>
      <c r="C10" s="57" t="s">
        <v>196</v>
      </c>
      <c r="D10" s="61" t="s">
        <v>2090</v>
      </c>
      <c r="E10" s="11" t="s">
        <v>33</v>
      </c>
    </row>
    <row r="11">
      <c r="A11" s="90"/>
      <c r="B11" s="62" t="s">
        <v>2094</v>
      </c>
      <c r="C11" s="57" t="s">
        <v>315</v>
      </c>
      <c r="D11" s="61" t="s">
        <v>2092</v>
      </c>
      <c r="E11" s="11" t="s">
        <v>29</v>
      </c>
    </row>
    <row r="12">
      <c r="A12" s="90"/>
      <c r="B12" s="61" t="s">
        <v>2093</v>
      </c>
      <c r="C12" s="57" t="s">
        <v>209</v>
      </c>
      <c r="D12" s="62" t="s">
        <v>2091</v>
      </c>
      <c r="E12" s="11" t="s">
        <v>33</v>
      </c>
    </row>
    <row r="13">
      <c r="A13" s="90"/>
      <c r="B13" s="62" t="s">
        <v>2091</v>
      </c>
      <c r="C13" s="57" t="s">
        <v>185</v>
      </c>
      <c r="D13" s="61" t="s">
        <v>2090</v>
      </c>
      <c r="E13" s="11" t="s">
        <v>29</v>
      </c>
    </row>
    <row r="14">
      <c r="A14" s="90"/>
      <c r="B14" s="61" t="s">
        <v>2093</v>
      </c>
      <c r="C14" s="57" t="s">
        <v>155</v>
      </c>
      <c r="D14" s="61" t="s">
        <v>2092</v>
      </c>
      <c r="E14" s="11" t="s">
        <v>33</v>
      </c>
    </row>
    <row r="15">
      <c r="A15" s="90"/>
      <c r="B15" s="61" t="s">
        <v>2090</v>
      </c>
      <c r="C15" s="45" t="s">
        <v>334</v>
      </c>
      <c r="D15" s="62" t="s">
        <v>2094</v>
      </c>
      <c r="E15" s="11" t="s">
        <v>29</v>
      </c>
    </row>
    <row r="16">
      <c r="A16" s="90"/>
      <c r="B16" s="62" t="s">
        <v>2091</v>
      </c>
      <c r="C16" s="45" t="s">
        <v>14</v>
      </c>
      <c r="D16" s="61" t="s">
        <v>2092</v>
      </c>
      <c r="E16" s="11" t="s">
        <v>33</v>
      </c>
    </row>
    <row r="17">
      <c r="A17" s="90"/>
      <c r="B17" s="61" t="s">
        <v>2093</v>
      </c>
      <c r="C17" s="45" t="s">
        <v>534</v>
      </c>
      <c r="D17" s="62" t="s">
        <v>2094</v>
      </c>
      <c r="E17" s="11" t="s">
        <v>29</v>
      </c>
    </row>
    <row r="18">
      <c r="A18" s="90"/>
      <c r="B18" s="61" t="s">
        <v>2090</v>
      </c>
      <c r="C18" s="45" t="s">
        <v>357</v>
      </c>
      <c r="D18" s="61" t="s">
        <v>2092</v>
      </c>
      <c r="E18" s="11" t="s">
        <v>33</v>
      </c>
    </row>
    <row r="19">
      <c r="A19" s="90"/>
      <c r="B19" s="62" t="s">
        <v>2091</v>
      </c>
      <c r="C19" s="45" t="s">
        <v>43</v>
      </c>
      <c r="D19" s="62" t="s">
        <v>2094</v>
      </c>
      <c r="E19" s="11" t="s">
        <v>29</v>
      </c>
    </row>
    <row r="20">
      <c r="A20" s="90"/>
      <c r="B20" s="61" t="s">
        <v>2090</v>
      </c>
      <c r="C20" s="45" t="s">
        <v>16</v>
      </c>
      <c r="D20" s="61" t="s">
        <v>2093</v>
      </c>
      <c r="E20" s="11" t="s">
        <v>33</v>
      </c>
    </row>
    <row r="21">
      <c r="A21" s="90"/>
      <c r="B21" s="61" t="s">
        <v>2092</v>
      </c>
      <c r="C21" s="45" t="s">
        <v>43</v>
      </c>
      <c r="D21" s="62" t="s">
        <v>2094</v>
      </c>
      <c r="E21" s="11" t="s">
        <v>29</v>
      </c>
    </row>
    <row r="22">
      <c r="A22" s="90"/>
      <c r="B22" s="62" t="s">
        <v>2091</v>
      </c>
      <c r="C22" s="57" t="s">
        <v>251</v>
      </c>
      <c r="D22" s="61" t="s">
        <v>2093</v>
      </c>
      <c r="E22" s="11" t="s">
        <v>33</v>
      </c>
    </row>
    <row r="23">
      <c r="A23" s="90"/>
      <c r="B23" s="1" t="s">
        <v>1452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2095</v>
      </c>
      <c r="C25" s="57" t="s">
        <v>218</v>
      </c>
      <c r="D25" s="61" t="s">
        <v>138</v>
      </c>
      <c r="E25" s="11" t="s">
        <v>9</v>
      </c>
    </row>
    <row r="26">
      <c r="A26" s="90"/>
      <c r="B26" s="61" t="s">
        <v>1832</v>
      </c>
      <c r="C26" s="57" t="s">
        <v>344</v>
      </c>
      <c r="D26" s="61" t="s">
        <v>2096</v>
      </c>
      <c r="E26" s="11" t="s">
        <v>13</v>
      </c>
    </row>
    <row r="27">
      <c r="A27" s="90"/>
      <c r="B27" s="62" t="s">
        <v>2097</v>
      </c>
      <c r="C27" s="57" t="s">
        <v>44</v>
      </c>
      <c r="D27" s="62" t="s">
        <v>2095</v>
      </c>
      <c r="E27" s="11" t="s">
        <v>9</v>
      </c>
    </row>
    <row r="28">
      <c r="A28" s="90"/>
      <c r="B28" s="61" t="s">
        <v>1832</v>
      </c>
      <c r="C28" s="57" t="s">
        <v>219</v>
      </c>
      <c r="D28" s="61" t="s">
        <v>138</v>
      </c>
      <c r="E28" s="11" t="s">
        <v>13</v>
      </c>
    </row>
    <row r="29">
      <c r="A29" s="90"/>
      <c r="B29" s="62" t="s">
        <v>2097</v>
      </c>
      <c r="C29" s="57" t="s">
        <v>1689</v>
      </c>
      <c r="D29" s="61" t="s">
        <v>2096</v>
      </c>
      <c r="E29" s="11" t="s">
        <v>9</v>
      </c>
    </row>
    <row r="30">
      <c r="A30" s="90"/>
      <c r="B30" s="61" t="s">
        <v>1832</v>
      </c>
      <c r="C30" s="57" t="s">
        <v>303</v>
      </c>
      <c r="D30" s="62" t="s">
        <v>2095</v>
      </c>
      <c r="E30" s="11" t="s">
        <v>13</v>
      </c>
    </row>
    <row r="31">
      <c r="A31" s="90"/>
      <c r="B31" s="62" t="s">
        <v>2097</v>
      </c>
      <c r="C31" s="57" t="s">
        <v>23</v>
      </c>
      <c r="D31" s="61" t="s">
        <v>138</v>
      </c>
      <c r="E31" s="11" t="s">
        <v>9</v>
      </c>
    </row>
    <row r="32">
      <c r="A32" s="90"/>
      <c r="B32" s="61" t="s">
        <v>2096</v>
      </c>
      <c r="C32" s="57" t="s">
        <v>39</v>
      </c>
      <c r="D32" s="62" t="s">
        <v>2095</v>
      </c>
      <c r="E32" s="11" t="s">
        <v>13</v>
      </c>
    </row>
    <row r="33">
      <c r="A33" s="90"/>
      <c r="B33" s="62" t="s">
        <v>2097</v>
      </c>
      <c r="C33" s="57" t="s">
        <v>166</v>
      </c>
      <c r="D33" s="61" t="s">
        <v>1832</v>
      </c>
      <c r="E33" s="11" t="s">
        <v>9</v>
      </c>
    </row>
    <row r="34">
      <c r="A34" s="90"/>
      <c r="B34" s="61" t="s">
        <v>2096</v>
      </c>
      <c r="C34" s="57" t="s">
        <v>27</v>
      </c>
      <c r="D34" s="61" t="s">
        <v>138</v>
      </c>
      <c r="E34" s="11" t="s">
        <v>13</v>
      </c>
    </row>
    <row r="35">
      <c r="A35" s="90"/>
      <c r="B35" s="61" t="s">
        <v>138</v>
      </c>
      <c r="C35" s="57" t="s">
        <v>289</v>
      </c>
      <c r="D35" s="62" t="s">
        <v>2095</v>
      </c>
      <c r="E35" s="11" t="s">
        <v>9</v>
      </c>
    </row>
    <row r="36">
      <c r="A36" s="90"/>
      <c r="B36" s="61" t="s">
        <v>2096</v>
      </c>
      <c r="C36" s="57" t="s">
        <v>222</v>
      </c>
      <c r="D36" s="61" t="s">
        <v>1832</v>
      </c>
      <c r="E36" s="11" t="s">
        <v>13</v>
      </c>
    </row>
    <row r="37">
      <c r="A37" s="90"/>
      <c r="B37" s="62" t="s">
        <v>2095</v>
      </c>
      <c r="C37" s="45" t="s">
        <v>193</v>
      </c>
      <c r="D37" s="62" t="s">
        <v>2097</v>
      </c>
      <c r="E37" s="11" t="s">
        <v>9</v>
      </c>
    </row>
    <row r="38">
      <c r="A38" s="90"/>
      <c r="B38" s="61" t="s">
        <v>138</v>
      </c>
      <c r="C38" s="45" t="s">
        <v>208</v>
      </c>
      <c r="D38" s="61" t="s">
        <v>1832</v>
      </c>
      <c r="E38" s="11" t="s">
        <v>13</v>
      </c>
    </row>
    <row r="39">
      <c r="A39" s="90"/>
      <c r="B39" s="61" t="s">
        <v>2096</v>
      </c>
      <c r="C39" s="45" t="s">
        <v>352</v>
      </c>
      <c r="D39" s="62" t="s">
        <v>2097</v>
      </c>
      <c r="E39" s="11" t="s">
        <v>9</v>
      </c>
    </row>
    <row r="40">
      <c r="A40" s="90"/>
      <c r="B40" s="62" t="s">
        <v>2095</v>
      </c>
      <c r="C40" s="45" t="s">
        <v>2065</v>
      </c>
      <c r="D40" s="61" t="s">
        <v>1832</v>
      </c>
      <c r="E40" s="11" t="s">
        <v>13</v>
      </c>
    </row>
    <row r="41">
      <c r="A41" s="90"/>
      <c r="B41" s="61" t="s">
        <v>138</v>
      </c>
      <c r="C41" s="45" t="s">
        <v>177</v>
      </c>
      <c r="D41" s="62" t="s">
        <v>2097</v>
      </c>
      <c r="E41" s="11" t="s">
        <v>9</v>
      </c>
    </row>
    <row r="42">
      <c r="A42" s="90"/>
      <c r="B42" s="62" t="s">
        <v>2095</v>
      </c>
      <c r="C42" s="45" t="s">
        <v>268</v>
      </c>
      <c r="D42" s="61" t="s">
        <v>2096</v>
      </c>
      <c r="E42" s="11" t="s">
        <v>13</v>
      </c>
    </row>
    <row r="43">
      <c r="A43" s="90"/>
      <c r="B43" s="61" t="s">
        <v>1832</v>
      </c>
      <c r="C43" s="45" t="s">
        <v>302</v>
      </c>
      <c r="D43" s="62" t="s">
        <v>2097</v>
      </c>
      <c r="E43" s="11" t="s">
        <v>9</v>
      </c>
    </row>
    <row r="44">
      <c r="A44" s="91"/>
      <c r="B44" s="61" t="s">
        <v>138</v>
      </c>
      <c r="C44" s="45" t="s">
        <v>27</v>
      </c>
      <c r="D44" s="61" t="s">
        <v>2096</v>
      </c>
      <c r="E44" s="11" t="s">
        <v>13</v>
      </c>
    </row>
    <row r="45">
      <c r="B45" s="1" t="s">
        <v>2098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2099</v>
      </c>
      <c r="C47" s="57" t="s">
        <v>193</v>
      </c>
      <c r="D47" s="61" t="s">
        <v>676</v>
      </c>
      <c r="E47" s="11" t="s">
        <v>29</v>
      </c>
    </row>
    <row r="48">
      <c r="B48" s="61" t="s">
        <v>2100</v>
      </c>
      <c r="C48" s="57" t="s">
        <v>210</v>
      </c>
      <c r="D48" s="61" t="s">
        <v>2101</v>
      </c>
      <c r="E48" s="11" t="s">
        <v>33</v>
      </c>
    </row>
    <row r="49">
      <c r="B49" s="61" t="s">
        <v>2102</v>
      </c>
      <c r="C49" s="57" t="s">
        <v>155</v>
      </c>
      <c r="D49" s="61" t="s">
        <v>2099</v>
      </c>
      <c r="E49" s="11" t="s">
        <v>29</v>
      </c>
    </row>
    <row r="50">
      <c r="B50" s="61" t="s">
        <v>2100</v>
      </c>
      <c r="C50" s="57" t="s">
        <v>534</v>
      </c>
      <c r="D50" s="61" t="s">
        <v>676</v>
      </c>
      <c r="E50" s="11" t="s">
        <v>33</v>
      </c>
    </row>
    <row r="51">
      <c r="B51" s="61" t="s">
        <v>2102</v>
      </c>
      <c r="C51" s="57" t="s">
        <v>17</v>
      </c>
      <c r="D51" s="61" t="s">
        <v>2101</v>
      </c>
      <c r="E51" s="11" t="s">
        <v>29</v>
      </c>
    </row>
    <row r="52">
      <c r="B52" s="61" t="s">
        <v>2100</v>
      </c>
      <c r="C52" s="57" t="s">
        <v>7</v>
      </c>
      <c r="D52" s="61" t="s">
        <v>2099</v>
      </c>
      <c r="E52" s="11" t="s">
        <v>33</v>
      </c>
    </row>
    <row r="53">
      <c r="B53" s="61" t="s">
        <v>2102</v>
      </c>
      <c r="C53" s="57" t="s">
        <v>163</v>
      </c>
      <c r="D53" s="61" t="s">
        <v>676</v>
      </c>
      <c r="E53" s="11" t="s">
        <v>29</v>
      </c>
    </row>
    <row r="54">
      <c r="B54" s="61" t="s">
        <v>2101</v>
      </c>
      <c r="C54" s="57" t="s">
        <v>18</v>
      </c>
      <c r="D54" s="61" t="s">
        <v>2099</v>
      </c>
      <c r="E54" s="11" t="s">
        <v>33</v>
      </c>
    </row>
    <row r="55">
      <c r="B55" s="61" t="s">
        <v>2102</v>
      </c>
      <c r="C55" s="57" t="s">
        <v>16</v>
      </c>
      <c r="D55" s="61" t="s">
        <v>2100</v>
      </c>
      <c r="E55" s="11" t="s">
        <v>29</v>
      </c>
    </row>
    <row r="56">
      <c r="B56" s="61" t="s">
        <v>2101</v>
      </c>
      <c r="C56" s="57" t="s">
        <v>7</v>
      </c>
      <c r="D56" s="61" t="s">
        <v>676</v>
      </c>
      <c r="E56" s="11" t="s">
        <v>33</v>
      </c>
    </row>
    <row r="57">
      <c r="B57" s="61" t="s">
        <v>676</v>
      </c>
      <c r="C57" s="57" t="s">
        <v>404</v>
      </c>
      <c r="D57" s="61" t="s">
        <v>2099</v>
      </c>
      <c r="E57" s="11" t="s">
        <v>29</v>
      </c>
    </row>
    <row r="58">
      <c r="B58" s="61" t="s">
        <v>2101</v>
      </c>
      <c r="C58" s="57" t="s">
        <v>158</v>
      </c>
      <c r="D58" s="61" t="s">
        <v>2100</v>
      </c>
      <c r="E58" s="11" t="s">
        <v>33</v>
      </c>
    </row>
    <row r="59">
      <c r="B59" s="61" t="s">
        <v>2099</v>
      </c>
      <c r="C59" s="45" t="s">
        <v>248</v>
      </c>
      <c r="D59" s="61" t="s">
        <v>2102</v>
      </c>
      <c r="E59" s="11" t="s">
        <v>29</v>
      </c>
    </row>
    <row r="60">
      <c r="B60" s="61" t="s">
        <v>676</v>
      </c>
      <c r="C60" s="45" t="s">
        <v>41</v>
      </c>
      <c r="D60" s="61" t="s">
        <v>2100</v>
      </c>
      <c r="E60" s="11" t="s">
        <v>33</v>
      </c>
    </row>
    <row r="61">
      <c r="B61" s="61" t="s">
        <v>2101</v>
      </c>
      <c r="C61" s="45" t="s">
        <v>184</v>
      </c>
      <c r="D61" s="61" t="s">
        <v>2102</v>
      </c>
      <c r="E61" s="11" t="s">
        <v>29</v>
      </c>
    </row>
    <row r="62">
      <c r="B62" s="61" t="s">
        <v>2099</v>
      </c>
      <c r="C62" s="45" t="s">
        <v>280</v>
      </c>
      <c r="D62" s="61" t="s">
        <v>2100</v>
      </c>
      <c r="E62" s="11" t="s">
        <v>33</v>
      </c>
    </row>
    <row r="63">
      <c r="B63" s="61" t="s">
        <v>676</v>
      </c>
      <c r="C63" s="45" t="s">
        <v>327</v>
      </c>
      <c r="D63" s="61" t="s">
        <v>2102</v>
      </c>
      <c r="E63" s="11" t="s">
        <v>29</v>
      </c>
    </row>
    <row r="64">
      <c r="B64" s="61" t="s">
        <v>2099</v>
      </c>
      <c r="C64" s="45" t="s">
        <v>155</v>
      </c>
      <c r="D64" s="61" t="s">
        <v>2101</v>
      </c>
      <c r="E64" s="11" t="s">
        <v>33</v>
      </c>
    </row>
    <row r="65">
      <c r="B65" s="61" t="s">
        <v>2100</v>
      </c>
      <c r="C65" s="45" t="s">
        <v>1603</v>
      </c>
      <c r="D65" s="61" t="s">
        <v>2102</v>
      </c>
      <c r="E65" s="11" t="s">
        <v>29</v>
      </c>
    </row>
    <row r="66">
      <c r="B66" s="61" t="s">
        <v>676</v>
      </c>
      <c r="C66" s="57" t="s">
        <v>2103</v>
      </c>
      <c r="D66" s="61" t="s">
        <v>2101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74</v>
      </c>
      <c r="C69" s="57" t="s">
        <v>18</v>
      </c>
      <c r="D69" s="61" t="s">
        <v>1842</v>
      </c>
      <c r="E69" s="11" t="s">
        <v>9</v>
      </c>
    </row>
    <row r="70">
      <c r="B70" s="61" t="s">
        <v>1775</v>
      </c>
      <c r="C70" s="57" t="s">
        <v>38</v>
      </c>
      <c r="D70" s="61" t="s">
        <v>2104</v>
      </c>
      <c r="E70" s="11" t="s">
        <v>13</v>
      </c>
    </row>
    <row r="71">
      <c r="B71" s="61" t="s">
        <v>1954</v>
      </c>
      <c r="C71" s="57" t="s">
        <v>19</v>
      </c>
      <c r="D71" s="61" t="s">
        <v>74</v>
      </c>
      <c r="E71" s="11" t="s">
        <v>9</v>
      </c>
    </row>
    <row r="72">
      <c r="B72" s="61" t="s">
        <v>1775</v>
      </c>
      <c r="C72" s="57" t="s">
        <v>158</v>
      </c>
      <c r="D72" s="61" t="s">
        <v>1842</v>
      </c>
      <c r="E72" s="11" t="s">
        <v>13</v>
      </c>
    </row>
    <row r="73">
      <c r="B73" s="61" t="s">
        <v>1954</v>
      </c>
      <c r="C73" s="57" t="s">
        <v>23</v>
      </c>
      <c r="D73" s="61" t="s">
        <v>2104</v>
      </c>
      <c r="E73" s="11" t="s">
        <v>9</v>
      </c>
    </row>
    <row r="74">
      <c r="B74" s="61" t="s">
        <v>1775</v>
      </c>
      <c r="C74" s="57" t="s">
        <v>218</v>
      </c>
      <c r="D74" s="61" t="s">
        <v>74</v>
      </c>
      <c r="E74" s="11" t="s">
        <v>13</v>
      </c>
    </row>
    <row r="75">
      <c r="B75" s="61" t="s">
        <v>1954</v>
      </c>
      <c r="C75" s="57" t="s">
        <v>301</v>
      </c>
      <c r="D75" s="61" t="s">
        <v>1842</v>
      </c>
      <c r="E75" s="11" t="s">
        <v>9</v>
      </c>
    </row>
    <row r="76">
      <c r="B76" s="61" t="s">
        <v>2104</v>
      </c>
      <c r="C76" s="57" t="s">
        <v>17</v>
      </c>
      <c r="D76" s="61" t="s">
        <v>74</v>
      </c>
      <c r="E76" s="11" t="s">
        <v>13</v>
      </c>
    </row>
    <row r="77">
      <c r="B77" s="61" t="s">
        <v>1954</v>
      </c>
      <c r="C77" s="57" t="s">
        <v>19</v>
      </c>
      <c r="D77" s="61" t="s">
        <v>1775</v>
      </c>
      <c r="E77" s="11" t="s">
        <v>9</v>
      </c>
    </row>
    <row r="78">
      <c r="B78" s="61" t="s">
        <v>2104</v>
      </c>
      <c r="C78" s="57" t="s">
        <v>301</v>
      </c>
      <c r="D78" s="61" t="s">
        <v>1842</v>
      </c>
      <c r="E78" s="11" t="s">
        <v>13</v>
      </c>
    </row>
    <row r="79">
      <c r="B79" s="61" t="s">
        <v>1842</v>
      </c>
      <c r="C79" s="57" t="s">
        <v>24</v>
      </c>
      <c r="D79" s="61" t="s">
        <v>74</v>
      </c>
      <c r="E79" s="11" t="s">
        <v>9</v>
      </c>
    </row>
    <row r="80">
      <c r="B80" s="61" t="s">
        <v>2104</v>
      </c>
      <c r="C80" s="57" t="s">
        <v>39</v>
      </c>
      <c r="D80" s="61" t="s">
        <v>1775</v>
      </c>
      <c r="E80" s="11" t="s">
        <v>13</v>
      </c>
    </row>
    <row r="81">
      <c r="B81" s="61" t="s">
        <v>74</v>
      </c>
      <c r="C81" s="45" t="s">
        <v>1970</v>
      </c>
      <c r="D81" s="61" t="s">
        <v>1954</v>
      </c>
      <c r="E81" s="11" t="s">
        <v>9</v>
      </c>
    </row>
    <row r="82">
      <c r="B82" s="61" t="s">
        <v>1842</v>
      </c>
      <c r="C82" s="45" t="s">
        <v>248</v>
      </c>
      <c r="D82" s="61" t="s">
        <v>1775</v>
      </c>
      <c r="E82" s="11" t="s">
        <v>13</v>
      </c>
    </row>
    <row r="83">
      <c r="B83" s="61" t="s">
        <v>2104</v>
      </c>
      <c r="C83" s="45" t="s">
        <v>281</v>
      </c>
      <c r="D83" s="61" t="s">
        <v>1954</v>
      </c>
      <c r="E83" s="11" t="s">
        <v>9</v>
      </c>
    </row>
    <row r="84">
      <c r="B84" s="61" t="s">
        <v>74</v>
      </c>
      <c r="C84" s="45" t="s">
        <v>774</v>
      </c>
      <c r="D84" s="61" t="s">
        <v>1775</v>
      </c>
      <c r="E84" s="11" t="s">
        <v>13</v>
      </c>
    </row>
    <row r="85">
      <c r="B85" s="61" t="s">
        <v>1842</v>
      </c>
      <c r="C85" s="45" t="s">
        <v>158</v>
      </c>
      <c r="D85" s="61" t="s">
        <v>1954</v>
      </c>
      <c r="E85" s="11" t="s">
        <v>9</v>
      </c>
    </row>
    <row r="86">
      <c r="B86" s="61" t="s">
        <v>74</v>
      </c>
      <c r="C86" s="45" t="s">
        <v>155</v>
      </c>
      <c r="D86" s="61" t="s">
        <v>2104</v>
      </c>
      <c r="E86" s="11" t="s">
        <v>13</v>
      </c>
    </row>
    <row r="87">
      <c r="B87" s="61" t="s">
        <v>1775</v>
      </c>
      <c r="C87" s="45" t="s">
        <v>198</v>
      </c>
      <c r="D87" s="61" t="s">
        <v>1954</v>
      </c>
      <c r="E87" s="11" t="s">
        <v>9</v>
      </c>
    </row>
    <row r="88">
      <c r="B88" s="61" t="s">
        <v>1842</v>
      </c>
      <c r="C88" s="45" t="s">
        <v>248</v>
      </c>
      <c r="D88" s="61" t="s">
        <v>2104</v>
      </c>
      <c r="E88" s="11" t="s">
        <v>13</v>
      </c>
    </row>
    <row r="89">
      <c r="B89" s="1" t="s">
        <v>1777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2105</v>
      </c>
      <c r="C91" s="45" t="s">
        <v>271</v>
      </c>
      <c r="D91" s="61" t="s">
        <v>890</v>
      </c>
      <c r="E91" s="11" t="s">
        <v>9</v>
      </c>
    </row>
    <row r="92">
      <c r="B92" s="61" t="s">
        <v>1779</v>
      </c>
      <c r="C92" s="45" t="s">
        <v>36</v>
      </c>
      <c r="D92" s="61" t="s">
        <v>939</v>
      </c>
      <c r="E92" s="11" t="s">
        <v>13</v>
      </c>
    </row>
    <row r="93">
      <c r="B93" s="61" t="s">
        <v>1778</v>
      </c>
      <c r="C93" s="45" t="s">
        <v>208</v>
      </c>
      <c r="D93" s="61" t="s">
        <v>2105</v>
      </c>
      <c r="E93" s="11" t="s">
        <v>9</v>
      </c>
    </row>
    <row r="94">
      <c r="B94" s="61" t="s">
        <v>1779</v>
      </c>
      <c r="C94" s="45" t="s">
        <v>351</v>
      </c>
      <c r="D94" s="61" t="s">
        <v>890</v>
      </c>
      <c r="E94" s="11" t="s">
        <v>13</v>
      </c>
    </row>
    <row r="95">
      <c r="B95" s="61" t="s">
        <v>1778</v>
      </c>
      <c r="C95" s="45" t="s">
        <v>18</v>
      </c>
      <c r="D95" s="61" t="s">
        <v>939</v>
      </c>
      <c r="E95" s="11" t="s">
        <v>9</v>
      </c>
    </row>
    <row r="96">
      <c r="B96" s="61" t="s">
        <v>1779</v>
      </c>
      <c r="C96" s="45" t="s">
        <v>17</v>
      </c>
      <c r="D96" s="61" t="s">
        <v>2105</v>
      </c>
      <c r="E96" s="11" t="s">
        <v>13</v>
      </c>
    </row>
    <row r="97">
      <c r="B97" s="61" t="s">
        <v>1778</v>
      </c>
      <c r="C97" s="45" t="s">
        <v>18</v>
      </c>
      <c r="D97" s="61" t="s">
        <v>890</v>
      </c>
      <c r="E97" s="11" t="s">
        <v>9</v>
      </c>
    </row>
    <row r="98">
      <c r="B98" s="61" t="s">
        <v>939</v>
      </c>
      <c r="C98" s="45" t="s">
        <v>43</v>
      </c>
      <c r="D98" s="61" t="s">
        <v>2105</v>
      </c>
      <c r="E98" s="11" t="s">
        <v>13</v>
      </c>
    </row>
    <row r="99">
      <c r="B99" s="61" t="s">
        <v>1778</v>
      </c>
      <c r="C99" s="45" t="s">
        <v>38</v>
      </c>
      <c r="D99" s="61" t="s">
        <v>1779</v>
      </c>
      <c r="E99" s="11" t="s">
        <v>9</v>
      </c>
    </row>
    <row r="100">
      <c r="B100" s="61" t="s">
        <v>939</v>
      </c>
      <c r="C100" s="45" t="s">
        <v>219</v>
      </c>
      <c r="D100" s="61" t="s">
        <v>890</v>
      </c>
      <c r="E100" s="11" t="s">
        <v>13</v>
      </c>
    </row>
    <row r="101">
      <c r="B101" s="61" t="s">
        <v>890</v>
      </c>
      <c r="C101" s="45" t="s">
        <v>18</v>
      </c>
      <c r="D101" s="61" t="s">
        <v>2105</v>
      </c>
      <c r="E101" s="11" t="s">
        <v>9</v>
      </c>
    </row>
    <row r="102">
      <c r="B102" s="61" t="s">
        <v>939</v>
      </c>
      <c r="C102" s="45" t="s">
        <v>23</v>
      </c>
      <c r="D102" s="61" t="s">
        <v>1779</v>
      </c>
      <c r="E102" s="11" t="s">
        <v>13</v>
      </c>
    </row>
    <row r="103">
      <c r="B103" s="61" t="s">
        <v>2105</v>
      </c>
      <c r="C103" s="45" t="s">
        <v>281</v>
      </c>
      <c r="D103" s="61" t="s">
        <v>1778</v>
      </c>
      <c r="E103" s="11" t="s">
        <v>9</v>
      </c>
    </row>
    <row r="104">
      <c r="B104" s="61" t="s">
        <v>890</v>
      </c>
      <c r="C104" s="45" t="s">
        <v>2106</v>
      </c>
      <c r="D104" s="61" t="s">
        <v>1779</v>
      </c>
      <c r="E104" s="11" t="s">
        <v>13</v>
      </c>
    </row>
    <row r="105">
      <c r="B105" s="61" t="s">
        <v>939</v>
      </c>
      <c r="C105" s="45" t="s">
        <v>23</v>
      </c>
      <c r="D105" s="61" t="s">
        <v>1778</v>
      </c>
      <c r="E105" s="11" t="s">
        <v>9</v>
      </c>
    </row>
    <row r="106">
      <c r="B106" s="61" t="s">
        <v>2105</v>
      </c>
      <c r="C106" s="45" t="s">
        <v>157</v>
      </c>
      <c r="D106" s="61" t="s">
        <v>1779</v>
      </c>
      <c r="E106" s="11" t="s">
        <v>13</v>
      </c>
    </row>
    <row r="107">
      <c r="B107" s="61" t="s">
        <v>890</v>
      </c>
      <c r="C107" s="45" t="s">
        <v>31</v>
      </c>
      <c r="D107" s="61" t="s">
        <v>1778</v>
      </c>
      <c r="E107" s="11" t="s">
        <v>9</v>
      </c>
    </row>
    <row r="108">
      <c r="B108" s="61" t="s">
        <v>2105</v>
      </c>
      <c r="C108" s="45" t="s">
        <v>158</v>
      </c>
      <c r="D108" s="61" t="s">
        <v>939</v>
      </c>
      <c r="E108" s="11" t="s">
        <v>13</v>
      </c>
    </row>
    <row r="109">
      <c r="B109" s="61" t="s">
        <v>1779</v>
      </c>
      <c r="C109" s="45" t="s">
        <v>290</v>
      </c>
      <c r="D109" s="61" t="s">
        <v>1778</v>
      </c>
      <c r="E109" s="11" t="s">
        <v>9</v>
      </c>
    </row>
    <row r="110">
      <c r="B110" s="61" t="s">
        <v>890</v>
      </c>
      <c r="C110" s="45" t="s">
        <v>43</v>
      </c>
      <c r="D110" s="61" t="s">
        <v>939</v>
      </c>
      <c r="E110" s="11" t="s">
        <v>13</v>
      </c>
    </row>
    <row r="111">
      <c r="B111" s="1" t="s">
        <v>1782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2107</v>
      </c>
      <c r="C113" s="45" t="s">
        <v>338</v>
      </c>
      <c r="D113" s="61" t="s">
        <v>1852</v>
      </c>
      <c r="E113" s="11" t="s">
        <v>9</v>
      </c>
    </row>
    <row r="114">
      <c r="B114" s="61" t="s">
        <v>1851</v>
      </c>
      <c r="C114" s="45" t="s">
        <v>23</v>
      </c>
      <c r="D114" s="61" t="s">
        <v>2108</v>
      </c>
      <c r="E114" s="11" t="s">
        <v>13</v>
      </c>
    </row>
    <row r="115">
      <c r="B115" s="61" t="s">
        <v>1906</v>
      </c>
      <c r="C115" s="45" t="s">
        <v>464</v>
      </c>
      <c r="D115" s="61" t="s">
        <v>2107</v>
      </c>
      <c r="E115" s="11" t="s">
        <v>9</v>
      </c>
    </row>
    <row r="116">
      <c r="B116" s="61" t="s">
        <v>1851</v>
      </c>
      <c r="C116" s="45" t="s">
        <v>239</v>
      </c>
      <c r="D116" s="61" t="s">
        <v>1852</v>
      </c>
      <c r="E116" s="11" t="s">
        <v>13</v>
      </c>
    </row>
    <row r="117">
      <c r="B117" s="61" t="s">
        <v>1906</v>
      </c>
      <c r="C117" s="45" t="s">
        <v>203</v>
      </c>
      <c r="D117" s="61" t="s">
        <v>2108</v>
      </c>
      <c r="E117" s="11" t="s">
        <v>9</v>
      </c>
    </row>
    <row r="118">
      <c r="B118" s="61" t="s">
        <v>1851</v>
      </c>
      <c r="C118" s="45" t="s">
        <v>291</v>
      </c>
      <c r="D118" s="61" t="s">
        <v>2107</v>
      </c>
      <c r="E118" s="11" t="s">
        <v>13</v>
      </c>
    </row>
    <row r="119">
      <c r="B119" s="61" t="s">
        <v>1906</v>
      </c>
      <c r="C119" s="45" t="s">
        <v>19</v>
      </c>
      <c r="D119" s="61" t="s">
        <v>1852</v>
      </c>
      <c r="E119" s="11" t="s">
        <v>9</v>
      </c>
    </row>
    <row r="120">
      <c r="B120" s="61" t="s">
        <v>2108</v>
      </c>
      <c r="C120" s="45" t="s">
        <v>41</v>
      </c>
      <c r="D120" s="61" t="s">
        <v>2107</v>
      </c>
      <c r="E120" s="11" t="s">
        <v>13</v>
      </c>
    </row>
    <row r="121">
      <c r="B121" s="61" t="s">
        <v>1906</v>
      </c>
      <c r="C121" s="45" t="s">
        <v>574</v>
      </c>
      <c r="D121" s="61" t="s">
        <v>1851</v>
      </c>
      <c r="E121" s="11" t="s">
        <v>9</v>
      </c>
    </row>
    <row r="122">
      <c r="B122" s="61" t="s">
        <v>2108</v>
      </c>
      <c r="C122" s="45" t="s">
        <v>298</v>
      </c>
      <c r="D122" s="61" t="s">
        <v>1852</v>
      </c>
      <c r="E122" s="11" t="s">
        <v>13</v>
      </c>
    </row>
    <row r="123">
      <c r="B123" s="61" t="s">
        <v>1852</v>
      </c>
      <c r="C123" s="45" t="s">
        <v>177</v>
      </c>
      <c r="D123" s="61" t="s">
        <v>2107</v>
      </c>
      <c r="E123" s="11" t="s">
        <v>9</v>
      </c>
    </row>
    <row r="124">
      <c r="B124" s="61" t="s">
        <v>2108</v>
      </c>
      <c r="C124" s="45" t="s">
        <v>440</v>
      </c>
      <c r="D124" s="61" t="s">
        <v>1851</v>
      </c>
      <c r="E124" s="11" t="s">
        <v>13</v>
      </c>
    </row>
    <row r="125">
      <c r="B125" s="61" t="s">
        <v>2107</v>
      </c>
      <c r="C125" s="45" t="s">
        <v>43</v>
      </c>
      <c r="D125" s="61" t="s">
        <v>1906</v>
      </c>
      <c r="E125" s="11" t="s">
        <v>9</v>
      </c>
    </row>
    <row r="126">
      <c r="B126" s="61" t="s">
        <v>1852</v>
      </c>
      <c r="C126" s="45" t="s">
        <v>281</v>
      </c>
      <c r="D126" s="61" t="s">
        <v>1851</v>
      </c>
      <c r="E126" s="11" t="s">
        <v>13</v>
      </c>
    </row>
    <row r="127">
      <c r="B127" s="61" t="s">
        <v>2108</v>
      </c>
      <c r="C127" s="45" t="s">
        <v>344</v>
      </c>
      <c r="D127" s="61" t="s">
        <v>1906</v>
      </c>
      <c r="E127" s="11" t="s">
        <v>9</v>
      </c>
    </row>
    <row r="128">
      <c r="B128" s="61" t="s">
        <v>2107</v>
      </c>
      <c r="C128" s="45" t="s">
        <v>196</v>
      </c>
      <c r="D128" s="61" t="s">
        <v>1851</v>
      </c>
      <c r="E128" s="11" t="s">
        <v>13</v>
      </c>
    </row>
    <row r="129">
      <c r="B129" s="61" t="s">
        <v>1852</v>
      </c>
      <c r="C129" s="45" t="s">
        <v>225</v>
      </c>
      <c r="D129" s="61" t="s">
        <v>1906</v>
      </c>
      <c r="E129" s="11" t="s">
        <v>9</v>
      </c>
    </row>
    <row r="130">
      <c r="B130" s="61" t="s">
        <v>2107</v>
      </c>
      <c r="C130" s="45" t="s">
        <v>196</v>
      </c>
      <c r="D130" s="61" t="s">
        <v>2108</v>
      </c>
      <c r="E130" s="11" t="s">
        <v>13</v>
      </c>
    </row>
    <row r="131">
      <c r="B131" s="61" t="s">
        <v>1851</v>
      </c>
      <c r="C131" s="45" t="s">
        <v>344</v>
      </c>
      <c r="D131" s="61" t="s">
        <v>1906</v>
      </c>
      <c r="E131" s="11" t="s">
        <v>9</v>
      </c>
    </row>
    <row r="132">
      <c r="B132" s="61" t="s">
        <v>1852</v>
      </c>
      <c r="C132" s="45" t="s">
        <v>177</v>
      </c>
      <c r="D132" s="61" t="s">
        <v>2108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950</v>
      </c>
      <c r="C135" s="45" t="s">
        <v>185</v>
      </c>
      <c r="D135" s="61" t="s">
        <v>1095</v>
      </c>
      <c r="E135" s="11" t="s">
        <v>29</v>
      </c>
    </row>
    <row r="136">
      <c r="B136" s="61" t="s">
        <v>1857</v>
      </c>
      <c r="C136" s="45" t="s">
        <v>362</v>
      </c>
      <c r="D136" s="61" t="s">
        <v>1032</v>
      </c>
      <c r="E136" s="11" t="s">
        <v>33</v>
      </c>
    </row>
    <row r="137">
      <c r="B137" s="61" t="s">
        <v>539</v>
      </c>
      <c r="C137" s="45" t="s">
        <v>462</v>
      </c>
      <c r="D137" s="61" t="s">
        <v>950</v>
      </c>
      <c r="E137" s="11" t="s">
        <v>29</v>
      </c>
    </row>
    <row r="138">
      <c r="B138" s="61" t="s">
        <v>1857</v>
      </c>
      <c r="C138" s="45" t="s">
        <v>19</v>
      </c>
      <c r="D138" s="61" t="s">
        <v>1095</v>
      </c>
      <c r="E138" s="11" t="s">
        <v>33</v>
      </c>
    </row>
    <row r="139">
      <c r="B139" s="61" t="s">
        <v>539</v>
      </c>
      <c r="C139" s="45" t="s">
        <v>19</v>
      </c>
      <c r="D139" s="61" t="s">
        <v>1032</v>
      </c>
      <c r="E139" s="11" t="s">
        <v>29</v>
      </c>
    </row>
    <row r="140">
      <c r="B140" s="61" t="s">
        <v>1857</v>
      </c>
      <c r="C140" s="45" t="s">
        <v>225</v>
      </c>
      <c r="D140" s="61" t="s">
        <v>950</v>
      </c>
      <c r="E140" s="11" t="s">
        <v>33</v>
      </c>
    </row>
    <row r="141">
      <c r="B141" s="61" t="s">
        <v>539</v>
      </c>
      <c r="C141" s="45" t="s">
        <v>155</v>
      </c>
      <c r="D141" s="61" t="s">
        <v>1095</v>
      </c>
      <c r="E141" s="11" t="s">
        <v>29</v>
      </c>
    </row>
    <row r="142">
      <c r="B142" s="61" t="s">
        <v>1032</v>
      </c>
      <c r="C142" s="45" t="s">
        <v>366</v>
      </c>
      <c r="D142" s="61" t="s">
        <v>950</v>
      </c>
      <c r="E142" s="11" t="s">
        <v>33</v>
      </c>
    </row>
    <row r="143">
      <c r="B143" s="61" t="s">
        <v>539</v>
      </c>
      <c r="C143" s="45" t="s">
        <v>24</v>
      </c>
      <c r="D143" s="61" t="s">
        <v>1857</v>
      </c>
      <c r="E143" s="11" t="s">
        <v>29</v>
      </c>
    </row>
    <row r="144">
      <c r="B144" s="61" t="s">
        <v>1032</v>
      </c>
      <c r="C144" s="45" t="s">
        <v>158</v>
      </c>
      <c r="D144" s="61" t="s">
        <v>1095</v>
      </c>
      <c r="E144" s="11" t="s">
        <v>33</v>
      </c>
    </row>
    <row r="145">
      <c r="B145" s="61" t="s">
        <v>1095</v>
      </c>
      <c r="C145" s="45" t="s">
        <v>291</v>
      </c>
      <c r="D145" s="61" t="s">
        <v>950</v>
      </c>
      <c r="E145" s="11" t="s">
        <v>29</v>
      </c>
    </row>
    <row r="146">
      <c r="B146" s="61" t="s">
        <v>1032</v>
      </c>
      <c r="C146" s="45" t="s">
        <v>20</v>
      </c>
      <c r="D146" s="61" t="s">
        <v>1857</v>
      </c>
      <c r="E146" s="11" t="s">
        <v>33</v>
      </c>
    </row>
    <row r="147">
      <c r="B147" s="61" t="s">
        <v>950</v>
      </c>
      <c r="C147" s="45" t="s">
        <v>426</v>
      </c>
      <c r="D147" s="61" t="s">
        <v>539</v>
      </c>
      <c r="E147" s="11" t="s">
        <v>29</v>
      </c>
    </row>
    <row r="148">
      <c r="B148" s="61" t="s">
        <v>1095</v>
      </c>
      <c r="C148" s="45" t="s">
        <v>464</v>
      </c>
      <c r="D148" s="61" t="s">
        <v>1857</v>
      </c>
      <c r="E148" s="11" t="s">
        <v>33</v>
      </c>
    </row>
    <row r="149">
      <c r="B149" s="61" t="s">
        <v>1032</v>
      </c>
      <c r="C149" s="45" t="s">
        <v>279</v>
      </c>
      <c r="D149" s="61" t="s">
        <v>539</v>
      </c>
      <c r="E149" s="11" t="s">
        <v>29</v>
      </c>
    </row>
    <row r="150">
      <c r="B150" s="61" t="s">
        <v>950</v>
      </c>
      <c r="C150" s="45" t="s">
        <v>21</v>
      </c>
      <c r="D150" s="61" t="s">
        <v>1857</v>
      </c>
      <c r="E150" s="11" t="s">
        <v>33</v>
      </c>
    </row>
    <row r="151">
      <c r="B151" s="61" t="s">
        <v>1095</v>
      </c>
      <c r="C151" s="45" t="s">
        <v>433</v>
      </c>
      <c r="D151" s="61" t="s">
        <v>539</v>
      </c>
      <c r="E151" s="11" t="s">
        <v>29</v>
      </c>
    </row>
    <row r="152">
      <c r="B152" s="61" t="s">
        <v>950</v>
      </c>
      <c r="C152" s="45" t="s">
        <v>194</v>
      </c>
      <c r="D152" s="61" t="s">
        <v>1032</v>
      </c>
      <c r="E152" s="11" t="s">
        <v>33</v>
      </c>
    </row>
    <row r="153">
      <c r="B153" s="61" t="s">
        <v>1857</v>
      </c>
      <c r="C153" s="45" t="s">
        <v>7</v>
      </c>
      <c r="D153" s="61" t="s">
        <v>539</v>
      </c>
      <c r="E153" s="11" t="s">
        <v>29</v>
      </c>
    </row>
    <row r="154">
      <c r="B154" s="61" t="s">
        <v>1095</v>
      </c>
      <c r="C154" s="45" t="s">
        <v>2109</v>
      </c>
      <c r="D154" s="61" t="s">
        <v>1032</v>
      </c>
      <c r="E154" s="11" t="s">
        <v>33</v>
      </c>
    </row>
    <row r="155">
      <c r="B155" s="1" t="s">
        <v>1544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1791</v>
      </c>
      <c r="C157" s="57" t="s">
        <v>219</v>
      </c>
      <c r="D157" s="61" t="s">
        <v>780</v>
      </c>
      <c r="E157" s="11" t="s">
        <v>9</v>
      </c>
    </row>
    <row r="158">
      <c r="B158" s="61" t="s">
        <v>1860</v>
      </c>
      <c r="C158" s="57" t="s">
        <v>162</v>
      </c>
      <c r="D158" s="61" t="s">
        <v>2110</v>
      </c>
      <c r="E158" s="11" t="s">
        <v>13</v>
      </c>
    </row>
    <row r="159">
      <c r="B159" s="61" t="s">
        <v>2111</v>
      </c>
      <c r="C159" s="57" t="s">
        <v>433</v>
      </c>
      <c r="D159" s="61" t="s">
        <v>1791</v>
      </c>
      <c r="E159" s="11" t="s">
        <v>9</v>
      </c>
    </row>
    <row r="160">
      <c r="B160" s="61" t="s">
        <v>1860</v>
      </c>
      <c r="C160" s="57" t="s">
        <v>162</v>
      </c>
      <c r="D160" s="61" t="s">
        <v>780</v>
      </c>
      <c r="E160" s="11" t="s">
        <v>13</v>
      </c>
    </row>
    <row r="161">
      <c r="B161" s="61" t="s">
        <v>2111</v>
      </c>
      <c r="C161" s="57" t="s">
        <v>23</v>
      </c>
      <c r="D161" s="61" t="s">
        <v>2110</v>
      </c>
      <c r="E161" s="11" t="s">
        <v>9</v>
      </c>
    </row>
    <row r="162">
      <c r="B162" s="61" t="s">
        <v>1860</v>
      </c>
      <c r="C162" s="57" t="s">
        <v>38</v>
      </c>
      <c r="D162" s="61" t="s">
        <v>1791</v>
      </c>
      <c r="E162" s="11" t="s">
        <v>13</v>
      </c>
    </row>
    <row r="163">
      <c r="B163" s="61" t="s">
        <v>2111</v>
      </c>
      <c r="C163" s="57" t="s">
        <v>209</v>
      </c>
      <c r="D163" s="61" t="s">
        <v>780</v>
      </c>
      <c r="E163" s="11" t="s">
        <v>9</v>
      </c>
    </row>
    <row r="164">
      <c r="B164" s="61" t="s">
        <v>2110</v>
      </c>
      <c r="C164" s="57" t="s">
        <v>173</v>
      </c>
      <c r="D164" s="61" t="s">
        <v>1791</v>
      </c>
      <c r="E164" s="11" t="s">
        <v>13</v>
      </c>
    </row>
    <row r="165">
      <c r="B165" s="61" t="s">
        <v>2111</v>
      </c>
      <c r="C165" s="57" t="s">
        <v>193</v>
      </c>
      <c r="D165" s="61" t="s">
        <v>1860</v>
      </c>
      <c r="E165" s="11" t="s">
        <v>9</v>
      </c>
    </row>
    <row r="166">
      <c r="B166" s="61" t="s">
        <v>2110</v>
      </c>
      <c r="C166" s="57" t="s">
        <v>158</v>
      </c>
      <c r="D166" s="61" t="s">
        <v>780</v>
      </c>
      <c r="E166" s="11" t="s">
        <v>13</v>
      </c>
    </row>
    <row r="167">
      <c r="B167" s="61" t="s">
        <v>780</v>
      </c>
      <c r="C167" s="57" t="s">
        <v>158</v>
      </c>
      <c r="D167" s="61" t="s">
        <v>1791</v>
      </c>
      <c r="E167" s="11" t="s">
        <v>9</v>
      </c>
    </row>
    <row r="168">
      <c r="B168" s="61" t="s">
        <v>2110</v>
      </c>
      <c r="C168" s="57" t="s">
        <v>426</v>
      </c>
      <c r="D168" s="61" t="s">
        <v>1860</v>
      </c>
      <c r="E168" s="11" t="s">
        <v>13</v>
      </c>
    </row>
    <row r="169">
      <c r="B169" s="61" t="s">
        <v>1791</v>
      </c>
      <c r="C169" s="45" t="s">
        <v>292</v>
      </c>
      <c r="D169" s="61" t="s">
        <v>2111</v>
      </c>
      <c r="E169" s="11" t="s">
        <v>9</v>
      </c>
    </row>
    <row r="170">
      <c r="B170" s="61" t="s">
        <v>780</v>
      </c>
      <c r="C170" s="45" t="s">
        <v>176</v>
      </c>
      <c r="D170" s="61" t="s">
        <v>1860</v>
      </c>
      <c r="E170" s="11" t="s">
        <v>13</v>
      </c>
    </row>
    <row r="171">
      <c r="B171" s="61" t="s">
        <v>2110</v>
      </c>
      <c r="C171" s="45" t="s">
        <v>302</v>
      </c>
      <c r="D171" s="61" t="s">
        <v>2111</v>
      </c>
      <c r="E171" s="11" t="s">
        <v>9</v>
      </c>
    </row>
    <row r="172">
      <c r="B172" s="61" t="s">
        <v>1791</v>
      </c>
      <c r="C172" s="45" t="s">
        <v>173</v>
      </c>
      <c r="D172" s="61" t="s">
        <v>1860</v>
      </c>
      <c r="E172" s="11" t="s">
        <v>13</v>
      </c>
    </row>
    <row r="173">
      <c r="B173" s="61" t="s">
        <v>780</v>
      </c>
      <c r="C173" s="45" t="s">
        <v>245</v>
      </c>
      <c r="D173" s="61" t="s">
        <v>2111</v>
      </c>
      <c r="E173" s="11" t="s">
        <v>9</v>
      </c>
    </row>
    <row r="174">
      <c r="B174" s="61" t="s">
        <v>1791</v>
      </c>
      <c r="C174" s="45" t="s">
        <v>292</v>
      </c>
      <c r="D174" s="61" t="s">
        <v>2110</v>
      </c>
      <c r="E174" s="11" t="s">
        <v>13</v>
      </c>
    </row>
    <row r="175">
      <c r="B175" s="61" t="s">
        <v>1860</v>
      </c>
      <c r="C175" s="45" t="s">
        <v>545</v>
      </c>
      <c r="D175" s="61" t="s">
        <v>2111</v>
      </c>
      <c r="E175" s="11" t="s">
        <v>9</v>
      </c>
    </row>
    <row r="176">
      <c r="B176" s="61" t="s">
        <v>780</v>
      </c>
      <c r="C176" s="45" t="s">
        <v>38</v>
      </c>
      <c r="D176" s="61" t="s">
        <v>2110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1088</v>
      </c>
      <c r="C179" s="45" t="s">
        <v>825</v>
      </c>
      <c r="D179" s="61" t="s">
        <v>2112</v>
      </c>
      <c r="E179" s="11" t="s">
        <v>29</v>
      </c>
    </row>
    <row r="180">
      <c r="B180" s="61" t="s">
        <v>1799</v>
      </c>
      <c r="C180" s="45" t="s">
        <v>271</v>
      </c>
      <c r="D180" s="61" t="s">
        <v>2113</v>
      </c>
      <c r="E180" s="11" t="s">
        <v>33</v>
      </c>
    </row>
    <row r="181">
      <c r="B181" s="61" t="s">
        <v>1297</v>
      </c>
      <c r="C181" s="45" t="s">
        <v>233</v>
      </c>
      <c r="D181" s="61" t="s">
        <v>1088</v>
      </c>
      <c r="E181" s="11" t="s">
        <v>29</v>
      </c>
    </row>
    <row r="182">
      <c r="B182" s="61" t="s">
        <v>1799</v>
      </c>
      <c r="C182" s="45" t="s">
        <v>248</v>
      </c>
      <c r="D182" s="61" t="s">
        <v>2112</v>
      </c>
      <c r="E182" s="11" t="s">
        <v>33</v>
      </c>
    </row>
    <row r="183">
      <c r="B183" s="61" t="s">
        <v>1297</v>
      </c>
      <c r="C183" s="45" t="s">
        <v>23</v>
      </c>
      <c r="D183" s="61" t="s">
        <v>2113</v>
      </c>
      <c r="E183" s="11" t="s">
        <v>29</v>
      </c>
    </row>
    <row r="184">
      <c r="B184" s="61" t="s">
        <v>1799</v>
      </c>
      <c r="C184" s="45" t="s">
        <v>2114</v>
      </c>
      <c r="D184" s="61" t="s">
        <v>1088</v>
      </c>
      <c r="E184" s="11" t="s">
        <v>33</v>
      </c>
    </row>
    <row r="185">
      <c r="B185" s="61" t="s">
        <v>1297</v>
      </c>
      <c r="C185" s="45" t="s">
        <v>744</v>
      </c>
      <c r="D185" s="61" t="s">
        <v>2112</v>
      </c>
      <c r="E185" s="11" t="s">
        <v>29</v>
      </c>
    </row>
    <row r="186">
      <c r="B186" s="61" t="s">
        <v>2113</v>
      </c>
      <c r="C186" s="45" t="s">
        <v>16</v>
      </c>
      <c r="D186" s="61" t="s">
        <v>1088</v>
      </c>
      <c r="E186" s="11" t="s">
        <v>33</v>
      </c>
    </row>
    <row r="187">
      <c r="B187" s="61" t="s">
        <v>1297</v>
      </c>
      <c r="C187" s="45" t="s">
        <v>517</v>
      </c>
      <c r="D187" s="61" t="s">
        <v>1799</v>
      </c>
      <c r="E187" s="11" t="s">
        <v>29</v>
      </c>
    </row>
    <row r="188">
      <c r="B188" s="61" t="s">
        <v>2113</v>
      </c>
      <c r="C188" s="45" t="s">
        <v>507</v>
      </c>
      <c r="D188" s="61" t="s">
        <v>2112</v>
      </c>
      <c r="E188" s="11" t="s">
        <v>33</v>
      </c>
    </row>
    <row r="189">
      <c r="B189" s="61" t="s">
        <v>2112</v>
      </c>
      <c r="C189" s="45" t="s">
        <v>251</v>
      </c>
      <c r="D189" s="61" t="s">
        <v>1088</v>
      </c>
      <c r="E189" s="11" t="s">
        <v>29</v>
      </c>
    </row>
    <row r="190">
      <c r="B190" s="61" t="s">
        <v>2113</v>
      </c>
      <c r="C190" s="45" t="s">
        <v>14</v>
      </c>
      <c r="D190" s="61" t="s">
        <v>1799</v>
      </c>
      <c r="E190" s="11" t="s">
        <v>33</v>
      </c>
    </row>
    <row r="191">
      <c r="B191" s="61" t="s">
        <v>1088</v>
      </c>
      <c r="C191" s="45" t="s">
        <v>573</v>
      </c>
      <c r="D191" s="61" t="s">
        <v>1297</v>
      </c>
      <c r="E191" s="11" t="s">
        <v>29</v>
      </c>
    </row>
    <row r="192">
      <c r="B192" s="61" t="s">
        <v>2112</v>
      </c>
      <c r="C192" s="45" t="s">
        <v>208</v>
      </c>
      <c r="D192" s="61" t="s">
        <v>1799</v>
      </c>
      <c r="E192" s="11" t="s">
        <v>33</v>
      </c>
    </row>
    <row r="193">
      <c r="B193" s="61" t="s">
        <v>2113</v>
      </c>
      <c r="C193" s="45" t="s">
        <v>165</v>
      </c>
      <c r="D193" s="61" t="s">
        <v>1297</v>
      </c>
      <c r="E193" s="11" t="s">
        <v>29</v>
      </c>
    </row>
    <row r="194">
      <c r="B194" s="61" t="s">
        <v>1088</v>
      </c>
      <c r="C194" s="45" t="s">
        <v>342</v>
      </c>
      <c r="D194" s="61" t="s">
        <v>1799</v>
      </c>
      <c r="E194" s="11" t="s">
        <v>33</v>
      </c>
    </row>
    <row r="195">
      <c r="B195" s="61" t="s">
        <v>2112</v>
      </c>
      <c r="C195" s="45" t="s">
        <v>185</v>
      </c>
      <c r="D195" s="61" t="s">
        <v>1297</v>
      </c>
      <c r="E195" s="11" t="s">
        <v>29</v>
      </c>
    </row>
    <row r="196">
      <c r="B196" s="61" t="s">
        <v>1088</v>
      </c>
      <c r="C196" s="45" t="s">
        <v>220</v>
      </c>
      <c r="D196" s="61" t="s">
        <v>2113</v>
      </c>
      <c r="E196" s="11" t="s">
        <v>33</v>
      </c>
    </row>
    <row r="197">
      <c r="B197" s="61" t="s">
        <v>1799</v>
      </c>
      <c r="C197" s="45" t="s">
        <v>442</v>
      </c>
      <c r="D197" s="61" t="s">
        <v>1297</v>
      </c>
      <c r="E197" s="11" t="s">
        <v>29</v>
      </c>
    </row>
    <row r="198">
      <c r="B198" s="61" t="s">
        <v>2112</v>
      </c>
      <c r="C198" s="45" t="s">
        <v>155</v>
      </c>
      <c r="D198" s="61" t="s">
        <v>2113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2115</v>
      </c>
      <c r="C201" s="45" t="s">
        <v>20</v>
      </c>
      <c r="D201" s="61" t="s">
        <v>1802</v>
      </c>
      <c r="E201" s="11" t="s">
        <v>29</v>
      </c>
    </row>
    <row r="202">
      <c r="B202" s="61" t="s">
        <v>619</v>
      </c>
      <c r="C202" s="45" t="s">
        <v>163</v>
      </c>
      <c r="D202" s="61" t="s">
        <v>1273</v>
      </c>
      <c r="E202" s="11" t="s">
        <v>33</v>
      </c>
    </row>
    <row r="203">
      <c r="B203" s="61" t="s">
        <v>920</v>
      </c>
      <c r="C203" s="45" t="s">
        <v>23</v>
      </c>
      <c r="D203" s="61" t="s">
        <v>2115</v>
      </c>
      <c r="E203" s="11" t="s">
        <v>29</v>
      </c>
    </row>
    <row r="204">
      <c r="B204" s="61" t="s">
        <v>619</v>
      </c>
      <c r="C204" s="45" t="s">
        <v>22</v>
      </c>
      <c r="D204" s="61" t="s">
        <v>1802</v>
      </c>
      <c r="E204" s="11" t="s">
        <v>33</v>
      </c>
    </row>
    <row r="205">
      <c r="B205" s="61" t="s">
        <v>920</v>
      </c>
      <c r="C205" s="45" t="s">
        <v>357</v>
      </c>
      <c r="D205" s="61" t="s">
        <v>1273</v>
      </c>
      <c r="E205" s="11" t="s">
        <v>29</v>
      </c>
    </row>
    <row r="206">
      <c r="B206" s="61" t="s">
        <v>619</v>
      </c>
      <c r="C206" s="45" t="s">
        <v>257</v>
      </c>
      <c r="D206" s="61" t="s">
        <v>2115</v>
      </c>
      <c r="E206" s="11" t="s">
        <v>33</v>
      </c>
    </row>
    <row r="207">
      <c r="B207" s="61" t="s">
        <v>920</v>
      </c>
      <c r="C207" s="45" t="s">
        <v>164</v>
      </c>
      <c r="D207" s="61" t="s">
        <v>1802</v>
      </c>
      <c r="E207" s="11" t="s">
        <v>29</v>
      </c>
    </row>
    <row r="208">
      <c r="B208" s="61" t="s">
        <v>1273</v>
      </c>
      <c r="C208" s="45" t="s">
        <v>17</v>
      </c>
      <c r="D208" s="61" t="s">
        <v>2115</v>
      </c>
      <c r="E208" s="11" t="s">
        <v>33</v>
      </c>
    </row>
    <row r="209">
      <c r="B209" s="61" t="s">
        <v>920</v>
      </c>
      <c r="C209" s="45" t="s">
        <v>324</v>
      </c>
      <c r="D209" s="61" t="s">
        <v>619</v>
      </c>
      <c r="E209" s="11" t="s">
        <v>29</v>
      </c>
    </row>
    <row r="210">
      <c r="B210" s="61" t="s">
        <v>1273</v>
      </c>
      <c r="C210" s="45" t="s">
        <v>163</v>
      </c>
      <c r="D210" s="61" t="s">
        <v>1802</v>
      </c>
      <c r="E210" s="11" t="s">
        <v>33</v>
      </c>
    </row>
    <row r="211">
      <c r="B211" s="61" t="s">
        <v>1802</v>
      </c>
      <c r="C211" s="45" t="s">
        <v>354</v>
      </c>
      <c r="D211" s="61" t="s">
        <v>2115</v>
      </c>
      <c r="E211" s="11" t="s">
        <v>29</v>
      </c>
    </row>
    <row r="212">
      <c r="B212" s="61" t="s">
        <v>1273</v>
      </c>
      <c r="C212" s="45" t="s">
        <v>193</v>
      </c>
      <c r="D212" s="61" t="s">
        <v>619</v>
      </c>
      <c r="E212" s="11" t="s">
        <v>33</v>
      </c>
    </row>
    <row r="213">
      <c r="B213" s="61" t="s">
        <v>2115</v>
      </c>
      <c r="C213" s="45" t="s">
        <v>218</v>
      </c>
      <c r="D213" s="61" t="s">
        <v>920</v>
      </c>
      <c r="E213" s="11" t="s">
        <v>29</v>
      </c>
    </row>
    <row r="214">
      <c r="B214" s="61" t="s">
        <v>1802</v>
      </c>
      <c r="C214" s="45" t="s">
        <v>177</v>
      </c>
      <c r="D214" s="61" t="s">
        <v>619</v>
      </c>
      <c r="E214" s="11" t="s">
        <v>33</v>
      </c>
    </row>
    <row r="215">
      <c r="B215" s="61" t="s">
        <v>1273</v>
      </c>
      <c r="C215" s="45" t="s">
        <v>220</v>
      </c>
      <c r="D215" s="61" t="s">
        <v>920</v>
      </c>
      <c r="E215" s="11" t="s">
        <v>29</v>
      </c>
    </row>
    <row r="216">
      <c r="B216" s="61" t="s">
        <v>2115</v>
      </c>
      <c r="C216" s="45" t="s">
        <v>185</v>
      </c>
      <c r="D216" s="61" t="s">
        <v>619</v>
      </c>
      <c r="E216" s="11" t="s">
        <v>33</v>
      </c>
    </row>
    <row r="217">
      <c r="B217" s="61" t="s">
        <v>1802</v>
      </c>
      <c r="C217" s="45" t="s">
        <v>250</v>
      </c>
      <c r="D217" s="61" t="s">
        <v>920</v>
      </c>
      <c r="E217" s="11" t="s">
        <v>29</v>
      </c>
    </row>
    <row r="218">
      <c r="B218" s="61" t="s">
        <v>2115</v>
      </c>
      <c r="C218" s="45" t="s">
        <v>289</v>
      </c>
      <c r="D218" s="61" t="s">
        <v>1273</v>
      </c>
      <c r="E218" s="11" t="s">
        <v>33</v>
      </c>
    </row>
    <row r="219">
      <c r="B219" s="61" t="s">
        <v>619</v>
      </c>
      <c r="C219" s="45" t="s">
        <v>219</v>
      </c>
      <c r="D219" s="61" t="s">
        <v>920</v>
      </c>
      <c r="E219" s="11" t="s">
        <v>29</v>
      </c>
    </row>
    <row r="220">
      <c r="B220" s="61" t="s">
        <v>1802</v>
      </c>
      <c r="C220" s="45" t="s">
        <v>291</v>
      </c>
      <c r="D220" s="61" t="s">
        <v>1273</v>
      </c>
      <c r="E220" s="11" t="s">
        <v>33</v>
      </c>
    </row>
    <row r="221">
      <c r="B221" s="52" t="s">
        <v>1803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236</v>
      </c>
      <c r="C223" s="57" t="s">
        <v>158</v>
      </c>
      <c r="D223" s="62" t="s">
        <v>1351</v>
      </c>
      <c r="E223" s="11" t="s">
        <v>9</v>
      </c>
    </row>
    <row r="224">
      <c r="B224" s="62" t="s">
        <v>1869</v>
      </c>
      <c r="C224" s="57" t="s">
        <v>225</v>
      </c>
      <c r="D224" s="62" t="s">
        <v>1984</v>
      </c>
      <c r="E224" s="11" t="s">
        <v>13</v>
      </c>
    </row>
    <row r="225">
      <c r="B225" s="62" t="s">
        <v>772</v>
      </c>
      <c r="C225" s="57" t="s">
        <v>162</v>
      </c>
      <c r="D225" s="62" t="s">
        <v>236</v>
      </c>
      <c r="E225" s="11" t="s">
        <v>9</v>
      </c>
    </row>
    <row r="226">
      <c r="B226" s="62" t="s">
        <v>1869</v>
      </c>
      <c r="C226" s="57" t="s">
        <v>16</v>
      </c>
      <c r="D226" s="62" t="s">
        <v>1351</v>
      </c>
      <c r="E226" s="11" t="s">
        <v>13</v>
      </c>
    </row>
    <row r="227">
      <c r="B227" s="62" t="s">
        <v>772</v>
      </c>
      <c r="C227" s="57" t="s">
        <v>425</v>
      </c>
      <c r="D227" s="62" t="s">
        <v>1984</v>
      </c>
      <c r="E227" s="11" t="s">
        <v>9</v>
      </c>
    </row>
    <row r="228">
      <c r="B228" s="62" t="s">
        <v>1869</v>
      </c>
      <c r="C228" s="57" t="s">
        <v>41</v>
      </c>
      <c r="D228" s="62" t="s">
        <v>236</v>
      </c>
      <c r="E228" s="11" t="s">
        <v>13</v>
      </c>
    </row>
    <row r="229">
      <c r="B229" s="62" t="s">
        <v>772</v>
      </c>
      <c r="C229" s="57" t="s">
        <v>357</v>
      </c>
      <c r="D229" s="62" t="s">
        <v>1351</v>
      </c>
      <c r="E229" s="11" t="s">
        <v>9</v>
      </c>
    </row>
    <row r="230">
      <c r="B230" s="62" t="s">
        <v>1984</v>
      </c>
      <c r="C230" s="57" t="s">
        <v>162</v>
      </c>
      <c r="D230" s="62" t="s">
        <v>236</v>
      </c>
      <c r="E230" s="11" t="s">
        <v>13</v>
      </c>
    </row>
    <row r="231">
      <c r="B231" s="62" t="s">
        <v>772</v>
      </c>
      <c r="C231" s="57" t="s">
        <v>24</v>
      </c>
      <c r="D231" s="62" t="s">
        <v>1869</v>
      </c>
      <c r="E231" s="11" t="s">
        <v>9</v>
      </c>
    </row>
    <row r="232">
      <c r="B232" s="62" t="s">
        <v>1984</v>
      </c>
      <c r="C232" s="57" t="s">
        <v>219</v>
      </c>
      <c r="D232" s="62" t="s">
        <v>1351</v>
      </c>
      <c r="E232" s="11" t="s">
        <v>13</v>
      </c>
    </row>
    <row r="233">
      <c r="B233" s="62" t="s">
        <v>1351</v>
      </c>
      <c r="C233" s="57" t="s">
        <v>195</v>
      </c>
      <c r="D233" s="62" t="s">
        <v>236</v>
      </c>
      <c r="E233" s="11" t="s">
        <v>9</v>
      </c>
    </row>
    <row r="234">
      <c r="B234" s="62" t="s">
        <v>1984</v>
      </c>
      <c r="C234" s="57" t="s">
        <v>41</v>
      </c>
      <c r="D234" s="62" t="s">
        <v>1869</v>
      </c>
      <c r="E234" s="11" t="s">
        <v>13</v>
      </c>
    </row>
    <row r="235">
      <c r="B235" s="62" t="s">
        <v>236</v>
      </c>
      <c r="C235" s="45" t="s">
        <v>17</v>
      </c>
      <c r="D235" s="62" t="s">
        <v>772</v>
      </c>
      <c r="E235" s="11" t="s">
        <v>9</v>
      </c>
    </row>
    <row r="236">
      <c r="B236" s="62" t="s">
        <v>1351</v>
      </c>
      <c r="C236" s="45" t="s">
        <v>43</v>
      </c>
      <c r="D236" s="62" t="s">
        <v>1869</v>
      </c>
      <c r="E236" s="11" t="s">
        <v>13</v>
      </c>
    </row>
    <row r="237">
      <c r="B237" s="62" t="s">
        <v>1984</v>
      </c>
      <c r="C237" s="45" t="s">
        <v>248</v>
      </c>
      <c r="D237" s="62" t="s">
        <v>772</v>
      </c>
      <c r="E237" s="11" t="s">
        <v>9</v>
      </c>
    </row>
    <row r="238">
      <c r="B238" s="62" t="s">
        <v>236</v>
      </c>
      <c r="C238" s="45" t="s">
        <v>1419</v>
      </c>
      <c r="D238" s="62" t="s">
        <v>1869</v>
      </c>
      <c r="E238" s="11" t="s">
        <v>13</v>
      </c>
    </row>
    <row r="239">
      <c r="B239" s="62" t="s">
        <v>1351</v>
      </c>
      <c r="C239" s="45" t="s">
        <v>185</v>
      </c>
      <c r="D239" s="62" t="s">
        <v>772</v>
      </c>
      <c r="E239" s="11" t="s">
        <v>9</v>
      </c>
    </row>
    <row r="240">
      <c r="B240" s="62" t="s">
        <v>236</v>
      </c>
      <c r="C240" s="45" t="s">
        <v>158</v>
      </c>
      <c r="D240" s="62" t="s">
        <v>1984</v>
      </c>
      <c r="E240" s="11" t="s">
        <v>13</v>
      </c>
    </row>
    <row r="241">
      <c r="B241" s="62" t="s">
        <v>1869</v>
      </c>
      <c r="C241" s="45" t="s">
        <v>380</v>
      </c>
      <c r="D241" s="62" t="s">
        <v>772</v>
      </c>
      <c r="E241" s="11" t="s">
        <v>9</v>
      </c>
    </row>
    <row r="242">
      <c r="B242" s="62" t="s">
        <v>1351</v>
      </c>
      <c r="C242" s="45" t="s">
        <v>14</v>
      </c>
      <c r="D242" s="62" t="s">
        <v>1984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1201</v>
      </c>
      <c r="C245" s="45" t="s">
        <v>463</v>
      </c>
      <c r="D245" s="62" t="s">
        <v>2116</v>
      </c>
      <c r="E245" s="11" t="s">
        <v>9</v>
      </c>
    </row>
    <row r="246">
      <c r="B246" s="62" t="s">
        <v>1304</v>
      </c>
      <c r="C246" s="45" t="s">
        <v>352</v>
      </c>
      <c r="D246" s="62" t="s">
        <v>2117</v>
      </c>
      <c r="E246" s="11" t="s">
        <v>13</v>
      </c>
    </row>
    <row r="247">
      <c r="B247" s="62" t="s">
        <v>1239</v>
      </c>
      <c r="C247" s="45" t="s">
        <v>1015</v>
      </c>
      <c r="D247" s="62" t="s">
        <v>1201</v>
      </c>
      <c r="E247" s="11" t="s">
        <v>9</v>
      </c>
    </row>
    <row r="248">
      <c r="B248" s="62" t="s">
        <v>1304</v>
      </c>
      <c r="C248" s="45" t="s">
        <v>718</v>
      </c>
      <c r="D248" s="62" t="s">
        <v>2116</v>
      </c>
      <c r="E248" s="11" t="s">
        <v>13</v>
      </c>
    </row>
    <row r="249">
      <c r="B249" s="62" t="s">
        <v>1239</v>
      </c>
      <c r="C249" s="45" t="s">
        <v>41</v>
      </c>
      <c r="D249" s="62" t="s">
        <v>2117</v>
      </c>
      <c r="E249" s="11" t="s">
        <v>9</v>
      </c>
    </row>
    <row r="250">
      <c r="B250" s="62" t="s">
        <v>1304</v>
      </c>
      <c r="C250" s="45" t="s">
        <v>2118</v>
      </c>
      <c r="D250" s="62" t="s">
        <v>1201</v>
      </c>
      <c r="E250" s="11" t="s">
        <v>13</v>
      </c>
    </row>
    <row r="251">
      <c r="B251" s="62" t="s">
        <v>1239</v>
      </c>
      <c r="C251" s="45" t="s">
        <v>487</v>
      </c>
      <c r="D251" s="62" t="s">
        <v>2116</v>
      </c>
      <c r="E251" s="11" t="s">
        <v>9</v>
      </c>
    </row>
    <row r="252">
      <c r="B252" s="62" t="s">
        <v>2117</v>
      </c>
      <c r="C252" s="45" t="s">
        <v>31</v>
      </c>
      <c r="D252" s="62" t="s">
        <v>1201</v>
      </c>
      <c r="E252" s="11" t="s">
        <v>13</v>
      </c>
    </row>
    <row r="253">
      <c r="B253" s="62" t="s">
        <v>1239</v>
      </c>
      <c r="C253" s="45" t="s">
        <v>775</v>
      </c>
      <c r="D253" s="62" t="s">
        <v>1304</v>
      </c>
      <c r="E253" s="11" t="s">
        <v>9</v>
      </c>
    </row>
    <row r="254">
      <c r="B254" s="62" t="s">
        <v>2117</v>
      </c>
      <c r="C254" s="45" t="s">
        <v>311</v>
      </c>
      <c r="D254" s="62" t="s">
        <v>2116</v>
      </c>
      <c r="E254" s="11" t="s">
        <v>13</v>
      </c>
    </row>
    <row r="255">
      <c r="B255" s="62" t="s">
        <v>2116</v>
      </c>
      <c r="C255" s="45" t="s">
        <v>209</v>
      </c>
      <c r="D255" s="62" t="s">
        <v>1201</v>
      </c>
      <c r="E255" s="11" t="s">
        <v>9</v>
      </c>
    </row>
    <row r="256">
      <c r="B256" s="62" t="s">
        <v>2117</v>
      </c>
      <c r="C256" s="45" t="s">
        <v>326</v>
      </c>
      <c r="D256" s="62" t="s">
        <v>1304</v>
      </c>
      <c r="E256" s="11" t="s">
        <v>13</v>
      </c>
    </row>
    <row r="257">
      <c r="B257" s="62" t="s">
        <v>1201</v>
      </c>
      <c r="C257" s="45" t="s">
        <v>193</v>
      </c>
      <c r="D257" s="62" t="s">
        <v>1239</v>
      </c>
      <c r="E257" s="11" t="s">
        <v>9</v>
      </c>
    </row>
    <row r="258">
      <c r="B258" s="62" t="s">
        <v>2116</v>
      </c>
      <c r="C258" s="45" t="s">
        <v>737</v>
      </c>
      <c r="D258" s="62" t="s">
        <v>1304</v>
      </c>
      <c r="E258" s="11" t="s">
        <v>13</v>
      </c>
    </row>
    <row r="259">
      <c r="B259" s="62" t="s">
        <v>2117</v>
      </c>
      <c r="C259" s="45" t="s">
        <v>19</v>
      </c>
      <c r="D259" s="62" t="s">
        <v>1239</v>
      </c>
      <c r="E259" s="11" t="s">
        <v>9</v>
      </c>
    </row>
    <row r="260">
      <c r="B260" s="62" t="s">
        <v>1201</v>
      </c>
      <c r="C260" s="45" t="s">
        <v>744</v>
      </c>
      <c r="D260" s="62" t="s">
        <v>1304</v>
      </c>
      <c r="E260" s="11" t="s">
        <v>13</v>
      </c>
    </row>
    <row r="261">
      <c r="B261" s="62" t="s">
        <v>2116</v>
      </c>
      <c r="C261" s="45" t="s">
        <v>181</v>
      </c>
      <c r="D261" s="62" t="s">
        <v>1239</v>
      </c>
      <c r="E261" s="11" t="s">
        <v>9</v>
      </c>
    </row>
    <row r="262">
      <c r="B262" s="62" t="s">
        <v>1201</v>
      </c>
      <c r="C262" s="45" t="s">
        <v>173</v>
      </c>
      <c r="D262" s="62" t="s">
        <v>2117</v>
      </c>
      <c r="E262" s="11" t="s">
        <v>13</v>
      </c>
    </row>
    <row r="263">
      <c r="B263" s="62" t="s">
        <v>1304</v>
      </c>
      <c r="C263" s="45" t="s">
        <v>293</v>
      </c>
      <c r="D263" s="62" t="s">
        <v>1239</v>
      </c>
      <c r="E263" s="11" t="s">
        <v>9</v>
      </c>
    </row>
    <row r="264">
      <c r="B264" s="62" t="s">
        <v>2116</v>
      </c>
      <c r="C264" s="45" t="s">
        <v>517</v>
      </c>
      <c r="D264" s="62" t="s">
        <v>2117</v>
      </c>
      <c r="E264" s="11" t="s">
        <v>13</v>
      </c>
    </row>
    <row r="265">
      <c r="B265" s="52" t="s">
        <v>100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2119</v>
      </c>
      <c r="C267" s="45" t="s">
        <v>20</v>
      </c>
      <c r="D267" s="62" t="s">
        <v>2120</v>
      </c>
      <c r="E267" s="11" t="s">
        <v>29</v>
      </c>
    </row>
    <row r="268">
      <c r="B268" s="62" t="s">
        <v>1496</v>
      </c>
      <c r="C268" s="45" t="s">
        <v>16</v>
      </c>
      <c r="D268" s="62" t="s">
        <v>434</v>
      </c>
      <c r="E268" s="11" t="s">
        <v>33</v>
      </c>
    </row>
    <row r="269">
      <c r="B269" s="62" t="s">
        <v>785</v>
      </c>
      <c r="C269" s="45" t="s">
        <v>183</v>
      </c>
      <c r="D269" s="62" t="s">
        <v>2119</v>
      </c>
      <c r="E269" s="11" t="s">
        <v>29</v>
      </c>
    </row>
    <row r="270">
      <c r="B270" s="62" t="s">
        <v>1496</v>
      </c>
      <c r="C270" s="45" t="s">
        <v>158</v>
      </c>
      <c r="D270" s="62" t="s">
        <v>2120</v>
      </c>
      <c r="E270" s="11" t="s">
        <v>33</v>
      </c>
    </row>
    <row r="271">
      <c r="B271" s="62" t="s">
        <v>785</v>
      </c>
      <c r="C271" s="45" t="s">
        <v>19</v>
      </c>
      <c r="D271" s="62" t="s">
        <v>434</v>
      </c>
      <c r="E271" s="11" t="s">
        <v>29</v>
      </c>
    </row>
    <row r="272">
      <c r="B272" s="62" t="s">
        <v>1496</v>
      </c>
      <c r="C272" s="45" t="s">
        <v>248</v>
      </c>
      <c r="D272" s="62" t="s">
        <v>2119</v>
      </c>
      <c r="E272" s="11" t="s">
        <v>33</v>
      </c>
    </row>
    <row r="273">
      <c r="B273" s="62" t="s">
        <v>785</v>
      </c>
      <c r="C273" s="45" t="s">
        <v>196</v>
      </c>
      <c r="D273" s="62" t="s">
        <v>2120</v>
      </c>
      <c r="E273" s="11" t="s">
        <v>29</v>
      </c>
    </row>
    <row r="274">
      <c r="B274" s="62" t="s">
        <v>434</v>
      </c>
      <c r="C274" s="45" t="s">
        <v>336</v>
      </c>
      <c r="D274" s="62" t="s">
        <v>2119</v>
      </c>
      <c r="E274" s="11" t="s">
        <v>33</v>
      </c>
    </row>
    <row r="275">
      <c r="B275" s="62" t="s">
        <v>785</v>
      </c>
      <c r="C275" s="45" t="s">
        <v>264</v>
      </c>
      <c r="D275" s="62" t="s">
        <v>1496</v>
      </c>
      <c r="E275" s="11" t="s">
        <v>29</v>
      </c>
    </row>
    <row r="276">
      <c r="B276" s="62" t="s">
        <v>434</v>
      </c>
      <c r="C276" s="45" t="s">
        <v>195</v>
      </c>
      <c r="D276" s="62" t="s">
        <v>2120</v>
      </c>
      <c r="E276" s="11" t="s">
        <v>33</v>
      </c>
    </row>
    <row r="277">
      <c r="B277" s="62" t="s">
        <v>2120</v>
      </c>
      <c r="C277" s="45" t="s">
        <v>998</v>
      </c>
      <c r="D277" s="62" t="s">
        <v>2119</v>
      </c>
      <c r="E277" s="11" t="s">
        <v>29</v>
      </c>
    </row>
    <row r="278">
      <c r="B278" s="62" t="s">
        <v>434</v>
      </c>
      <c r="C278" s="45" t="s">
        <v>38</v>
      </c>
      <c r="D278" s="62" t="s">
        <v>1496</v>
      </c>
      <c r="E278" s="11" t="s">
        <v>33</v>
      </c>
    </row>
    <row r="279">
      <c r="B279" s="62" t="s">
        <v>2119</v>
      </c>
      <c r="C279" s="45" t="s">
        <v>250</v>
      </c>
      <c r="D279" s="62" t="s">
        <v>785</v>
      </c>
      <c r="E279" s="11" t="s">
        <v>29</v>
      </c>
    </row>
    <row r="280">
      <c r="B280" s="62" t="s">
        <v>2120</v>
      </c>
      <c r="C280" s="45" t="s">
        <v>209</v>
      </c>
      <c r="D280" s="62" t="s">
        <v>1496</v>
      </c>
      <c r="E280" s="11" t="s">
        <v>33</v>
      </c>
    </row>
    <row r="281">
      <c r="B281" s="62" t="s">
        <v>434</v>
      </c>
      <c r="C281" s="45" t="s">
        <v>293</v>
      </c>
      <c r="D281" s="62" t="s">
        <v>785</v>
      </c>
      <c r="E281" s="11" t="s">
        <v>29</v>
      </c>
    </row>
    <row r="282">
      <c r="B282" s="62" t="s">
        <v>2119</v>
      </c>
      <c r="C282" s="45" t="s">
        <v>291</v>
      </c>
      <c r="D282" s="62" t="s">
        <v>1496</v>
      </c>
      <c r="E282" s="11" t="s">
        <v>33</v>
      </c>
    </row>
    <row r="283">
      <c r="B283" s="62" t="s">
        <v>2120</v>
      </c>
      <c r="C283" s="45" t="s">
        <v>23</v>
      </c>
      <c r="D283" s="62" t="s">
        <v>785</v>
      </c>
      <c r="E283" s="11" t="s">
        <v>29</v>
      </c>
    </row>
    <row r="284">
      <c r="B284" s="62" t="s">
        <v>2119</v>
      </c>
      <c r="C284" s="45" t="s">
        <v>302</v>
      </c>
      <c r="D284" s="62" t="s">
        <v>434</v>
      </c>
      <c r="E284" s="11" t="s">
        <v>33</v>
      </c>
    </row>
    <row r="285">
      <c r="B285" s="62" t="s">
        <v>1496</v>
      </c>
      <c r="C285" s="45" t="s">
        <v>225</v>
      </c>
      <c r="D285" s="62" t="s">
        <v>785</v>
      </c>
      <c r="E285" s="11" t="s">
        <v>29</v>
      </c>
    </row>
    <row r="286">
      <c r="B286" s="62" t="s">
        <v>2120</v>
      </c>
      <c r="C286" s="45" t="s">
        <v>218</v>
      </c>
      <c r="D286" s="62" t="s">
        <v>434</v>
      </c>
      <c r="E286" s="11" t="s">
        <v>33</v>
      </c>
    </row>
    <row r="287">
      <c r="B287" s="52" t="s">
        <v>111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2121</v>
      </c>
      <c r="C289" s="45" t="s">
        <v>16</v>
      </c>
      <c r="D289" s="62" t="s">
        <v>2122</v>
      </c>
      <c r="E289" s="11" t="s">
        <v>29</v>
      </c>
    </row>
    <row r="290">
      <c r="B290" s="62" t="s">
        <v>1937</v>
      </c>
      <c r="C290" s="45" t="s">
        <v>302</v>
      </c>
      <c r="D290" s="62" t="s">
        <v>2123</v>
      </c>
      <c r="E290" s="11" t="s">
        <v>33</v>
      </c>
    </row>
    <row r="291">
      <c r="B291" s="62" t="s">
        <v>2124</v>
      </c>
      <c r="C291" s="45" t="s">
        <v>198</v>
      </c>
      <c r="D291" s="62" t="s">
        <v>2121</v>
      </c>
      <c r="E291" s="11" t="s">
        <v>29</v>
      </c>
    </row>
    <row r="292">
      <c r="B292" s="62" t="s">
        <v>1937</v>
      </c>
      <c r="C292" s="45" t="s">
        <v>219</v>
      </c>
      <c r="D292" s="62" t="s">
        <v>2122</v>
      </c>
      <c r="E292" s="11" t="s">
        <v>33</v>
      </c>
    </row>
    <row r="293">
      <c r="B293" s="62" t="s">
        <v>2124</v>
      </c>
      <c r="C293" s="45" t="s">
        <v>218</v>
      </c>
      <c r="D293" s="62" t="s">
        <v>2123</v>
      </c>
      <c r="E293" s="11" t="s">
        <v>29</v>
      </c>
    </row>
    <row r="294">
      <c r="B294" s="62" t="s">
        <v>1937</v>
      </c>
      <c r="C294" s="45" t="s">
        <v>239</v>
      </c>
      <c r="D294" s="62" t="s">
        <v>2121</v>
      </c>
      <c r="E294" s="11" t="s">
        <v>33</v>
      </c>
    </row>
    <row r="295">
      <c r="B295" s="62" t="s">
        <v>2124</v>
      </c>
      <c r="C295" s="45" t="s">
        <v>244</v>
      </c>
      <c r="D295" s="62" t="s">
        <v>2122</v>
      </c>
      <c r="E295" s="11" t="s">
        <v>29</v>
      </c>
    </row>
    <row r="296">
      <c r="B296" s="62" t="s">
        <v>2123</v>
      </c>
      <c r="C296" s="45" t="s">
        <v>155</v>
      </c>
      <c r="D296" s="62" t="s">
        <v>2121</v>
      </c>
      <c r="E296" s="11" t="s">
        <v>33</v>
      </c>
    </row>
    <row r="297">
      <c r="B297" s="62" t="s">
        <v>2124</v>
      </c>
      <c r="C297" s="45" t="s">
        <v>610</v>
      </c>
      <c r="D297" s="62" t="s">
        <v>1937</v>
      </c>
      <c r="E297" s="11" t="s">
        <v>29</v>
      </c>
    </row>
    <row r="298">
      <c r="B298" s="62" t="s">
        <v>2123</v>
      </c>
      <c r="C298" s="45" t="s">
        <v>189</v>
      </c>
      <c r="D298" s="62" t="s">
        <v>2122</v>
      </c>
      <c r="E298" s="11" t="s">
        <v>33</v>
      </c>
    </row>
    <row r="299">
      <c r="B299" s="62" t="s">
        <v>2122</v>
      </c>
      <c r="C299" s="45" t="s">
        <v>177</v>
      </c>
      <c r="D299" s="62" t="s">
        <v>2121</v>
      </c>
      <c r="E299" s="11" t="s">
        <v>29</v>
      </c>
    </row>
    <row r="300">
      <c r="B300" s="62" t="s">
        <v>2123</v>
      </c>
      <c r="C300" s="45" t="s">
        <v>14</v>
      </c>
      <c r="D300" s="62" t="s">
        <v>1937</v>
      </c>
      <c r="E300" s="11" t="s">
        <v>33</v>
      </c>
    </row>
    <row r="301">
      <c r="B301" s="62" t="s">
        <v>2121</v>
      </c>
      <c r="C301" s="45" t="s">
        <v>856</v>
      </c>
      <c r="D301" s="62" t="s">
        <v>2124</v>
      </c>
      <c r="E301" s="11" t="s">
        <v>29</v>
      </c>
    </row>
    <row r="302">
      <c r="B302" s="62" t="s">
        <v>2122</v>
      </c>
      <c r="C302" s="45" t="s">
        <v>19</v>
      </c>
      <c r="D302" s="62" t="s">
        <v>1937</v>
      </c>
      <c r="E302" s="11" t="s">
        <v>33</v>
      </c>
    </row>
    <row r="303">
      <c r="B303" s="62" t="s">
        <v>2123</v>
      </c>
      <c r="C303" s="45" t="s">
        <v>2125</v>
      </c>
      <c r="D303" s="62" t="s">
        <v>2124</v>
      </c>
      <c r="E303" s="11" t="s">
        <v>29</v>
      </c>
    </row>
    <row r="304">
      <c r="B304" s="62" t="s">
        <v>2121</v>
      </c>
      <c r="C304" s="45" t="s">
        <v>193</v>
      </c>
      <c r="D304" s="62" t="s">
        <v>1937</v>
      </c>
      <c r="E304" s="11" t="s">
        <v>33</v>
      </c>
    </row>
    <row r="305">
      <c r="B305" s="62" t="s">
        <v>2122</v>
      </c>
      <c r="C305" s="45" t="s">
        <v>27</v>
      </c>
      <c r="D305" s="62" t="s">
        <v>2124</v>
      </c>
      <c r="E305" s="11" t="s">
        <v>29</v>
      </c>
    </row>
    <row r="306">
      <c r="B306" s="62" t="s">
        <v>2121</v>
      </c>
      <c r="C306" s="45" t="s">
        <v>302</v>
      </c>
      <c r="D306" s="62" t="s">
        <v>2123</v>
      </c>
      <c r="E306" s="11" t="s">
        <v>33</v>
      </c>
    </row>
    <row r="307">
      <c r="B307" s="62" t="s">
        <v>1937</v>
      </c>
      <c r="C307" s="45" t="s">
        <v>477</v>
      </c>
      <c r="D307" s="62" t="s">
        <v>2124</v>
      </c>
      <c r="E307" s="11" t="s">
        <v>29</v>
      </c>
    </row>
    <row r="308">
      <c r="B308" s="62" t="s">
        <v>2122</v>
      </c>
      <c r="C308" s="45" t="s">
        <v>351</v>
      </c>
      <c r="D308" s="62" t="s">
        <v>2123</v>
      </c>
      <c r="E308" s="11" t="s">
        <v>33</v>
      </c>
    </row>
    <row r="309">
      <c r="B309" s="52" t="s">
        <v>1581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2085</v>
      </c>
      <c r="C311" s="57" t="s">
        <v>196</v>
      </c>
      <c r="D311" s="62" t="s">
        <v>592</v>
      </c>
      <c r="E311" s="11" t="s">
        <v>9</v>
      </c>
    </row>
    <row r="312">
      <c r="B312" s="62" t="s">
        <v>2086</v>
      </c>
      <c r="C312" s="57" t="s">
        <v>351</v>
      </c>
      <c r="D312" s="62" t="s">
        <v>2087</v>
      </c>
      <c r="E312" s="11" t="s">
        <v>13</v>
      </c>
    </row>
    <row r="313">
      <c r="B313" s="62" t="s">
        <v>2088</v>
      </c>
      <c r="C313" s="57" t="s">
        <v>155</v>
      </c>
      <c r="D313" s="62" t="s">
        <v>2085</v>
      </c>
      <c r="E313" s="11" t="s">
        <v>9</v>
      </c>
    </row>
    <row r="314">
      <c r="B314" s="62" t="s">
        <v>2086</v>
      </c>
      <c r="C314" s="57" t="s">
        <v>426</v>
      </c>
      <c r="D314" s="62" t="s">
        <v>592</v>
      </c>
      <c r="E314" s="11" t="s">
        <v>13</v>
      </c>
    </row>
    <row r="315">
      <c r="B315" s="62" t="s">
        <v>2088</v>
      </c>
      <c r="C315" s="57" t="s">
        <v>248</v>
      </c>
      <c r="D315" s="62" t="s">
        <v>2087</v>
      </c>
      <c r="E315" s="11" t="s">
        <v>9</v>
      </c>
    </row>
    <row r="316">
      <c r="B316" s="62" t="s">
        <v>2086</v>
      </c>
      <c r="C316" s="57" t="s">
        <v>570</v>
      </c>
      <c r="D316" s="62" t="s">
        <v>2085</v>
      </c>
      <c r="E316" s="11" t="s">
        <v>13</v>
      </c>
    </row>
    <row r="317">
      <c r="B317" s="62" t="s">
        <v>2088</v>
      </c>
      <c r="C317" s="57" t="s">
        <v>417</v>
      </c>
      <c r="D317" s="62" t="s">
        <v>592</v>
      </c>
      <c r="E317" s="11" t="s">
        <v>9</v>
      </c>
    </row>
    <row r="318">
      <c r="B318" s="62" t="s">
        <v>2087</v>
      </c>
      <c r="C318" s="57" t="s">
        <v>712</v>
      </c>
      <c r="D318" s="62" t="s">
        <v>2085</v>
      </c>
      <c r="E318" s="11" t="s">
        <v>13</v>
      </c>
    </row>
    <row r="319">
      <c r="B319" s="62" t="s">
        <v>2088</v>
      </c>
      <c r="C319" s="57" t="s">
        <v>256</v>
      </c>
      <c r="D319" s="62" t="s">
        <v>2086</v>
      </c>
      <c r="E319" s="11" t="s">
        <v>9</v>
      </c>
    </row>
    <row r="320">
      <c r="B320" s="62" t="s">
        <v>2087</v>
      </c>
      <c r="C320" s="57" t="s">
        <v>256</v>
      </c>
      <c r="D320" s="62" t="s">
        <v>592</v>
      </c>
      <c r="E320" s="11" t="s">
        <v>13</v>
      </c>
    </row>
    <row r="321">
      <c r="B321" s="62" t="s">
        <v>592</v>
      </c>
      <c r="C321" s="57" t="s">
        <v>17</v>
      </c>
      <c r="D321" s="62" t="s">
        <v>2085</v>
      </c>
      <c r="E321" s="11" t="s">
        <v>9</v>
      </c>
    </row>
    <row r="322">
      <c r="B322" s="62" t="s">
        <v>2087</v>
      </c>
      <c r="C322" s="57" t="s">
        <v>278</v>
      </c>
      <c r="D322" s="62" t="s">
        <v>2086</v>
      </c>
      <c r="E322" s="11" t="s">
        <v>13</v>
      </c>
    </row>
    <row r="323">
      <c r="B323" s="62" t="s">
        <v>2085</v>
      </c>
      <c r="C323" s="45" t="s">
        <v>547</v>
      </c>
      <c r="D323" s="62" t="s">
        <v>2088</v>
      </c>
      <c r="E323" s="11" t="s">
        <v>9</v>
      </c>
    </row>
    <row r="324">
      <c r="B324" s="62" t="s">
        <v>592</v>
      </c>
      <c r="C324" s="45" t="s">
        <v>393</v>
      </c>
      <c r="D324" s="62" t="s">
        <v>2086</v>
      </c>
      <c r="E324" s="11" t="s">
        <v>13</v>
      </c>
    </row>
    <row r="325">
      <c r="B325" s="62" t="s">
        <v>2087</v>
      </c>
      <c r="C325" s="45" t="s">
        <v>16</v>
      </c>
      <c r="D325" s="62" t="s">
        <v>2088</v>
      </c>
      <c r="E325" s="11" t="s">
        <v>9</v>
      </c>
    </row>
    <row r="326">
      <c r="B326" s="62" t="s">
        <v>2085</v>
      </c>
      <c r="C326" s="45" t="s">
        <v>195</v>
      </c>
      <c r="D326" s="62" t="s">
        <v>2086</v>
      </c>
      <c r="E326" s="11" t="s">
        <v>13</v>
      </c>
    </row>
    <row r="327">
      <c r="B327" s="62" t="s">
        <v>592</v>
      </c>
      <c r="C327" s="45" t="s">
        <v>229</v>
      </c>
      <c r="D327" s="62" t="s">
        <v>2088</v>
      </c>
      <c r="E327" s="11" t="s">
        <v>9</v>
      </c>
    </row>
    <row r="328">
      <c r="B328" s="62" t="s">
        <v>2085</v>
      </c>
      <c r="C328" s="45" t="s">
        <v>18</v>
      </c>
      <c r="D328" s="62" t="s">
        <v>2087</v>
      </c>
      <c r="E328" s="11" t="s">
        <v>13</v>
      </c>
    </row>
    <row r="329">
      <c r="B329" s="62" t="s">
        <v>2086</v>
      </c>
      <c r="C329" s="45" t="s">
        <v>352</v>
      </c>
      <c r="D329" s="62" t="s">
        <v>2088</v>
      </c>
      <c r="E329" s="11" t="s">
        <v>9</v>
      </c>
    </row>
    <row r="330">
      <c r="B330" s="62" t="s">
        <v>592</v>
      </c>
      <c r="C330" s="45" t="s">
        <v>237</v>
      </c>
      <c r="D330" s="62" t="s">
        <v>2087</v>
      </c>
      <c r="E330" s="11" t="s">
        <v>13</v>
      </c>
    </row>
    <row r="331">
      <c r="B331" s="96" t="s">
        <v>122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2126</v>
      </c>
      <c r="C333" s="45" t="s">
        <v>301</v>
      </c>
      <c r="D333" s="62" t="s">
        <v>2127</v>
      </c>
      <c r="E333" s="11" t="s">
        <v>29</v>
      </c>
    </row>
    <row r="334">
      <c r="B334" s="62" t="s">
        <v>2005</v>
      </c>
      <c r="C334" s="45" t="s">
        <v>301</v>
      </c>
      <c r="D334" s="62" t="s">
        <v>2128</v>
      </c>
      <c r="E334" s="11" t="s">
        <v>33</v>
      </c>
    </row>
    <row r="335">
      <c r="B335" s="62" t="s">
        <v>2129</v>
      </c>
      <c r="C335" s="45" t="s">
        <v>24</v>
      </c>
      <c r="D335" s="62" t="s">
        <v>2126</v>
      </c>
      <c r="E335" s="11" t="s">
        <v>29</v>
      </c>
    </row>
    <row r="336">
      <c r="B336" s="62" t="s">
        <v>2005</v>
      </c>
      <c r="C336" s="45" t="s">
        <v>20</v>
      </c>
      <c r="D336" s="62" t="s">
        <v>2127</v>
      </c>
      <c r="E336" s="11" t="s">
        <v>33</v>
      </c>
    </row>
    <row r="337">
      <c r="B337" s="62" t="s">
        <v>2129</v>
      </c>
      <c r="C337" s="45" t="s">
        <v>336</v>
      </c>
      <c r="D337" s="62" t="s">
        <v>2128</v>
      </c>
      <c r="E337" s="11" t="s">
        <v>29</v>
      </c>
    </row>
    <row r="338">
      <c r="B338" s="62" t="s">
        <v>2005</v>
      </c>
      <c r="C338" s="45" t="s">
        <v>244</v>
      </c>
      <c r="D338" s="62" t="s">
        <v>2126</v>
      </c>
      <c r="E338" s="11" t="s">
        <v>33</v>
      </c>
    </row>
    <row r="339">
      <c r="B339" s="62" t="s">
        <v>2129</v>
      </c>
      <c r="C339" s="45" t="s">
        <v>292</v>
      </c>
      <c r="D339" s="62" t="s">
        <v>2127</v>
      </c>
      <c r="E339" s="11" t="s">
        <v>29</v>
      </c>
    </row>
    <row r="340">
      <c r="B340" s="62" t="s">
        <v>2128</v>
      </c>
      <c r="C340" s="45" t="s">
        <v>43</v>
      </c>
      <c r="D340" s="62" t="s">
        <v>2126</v>
      </c>
      <c r="E340" s="11" t="s">
        <v>33</v>
      </c>
    </row>
    <row r="341">
      <c r="B341" s="62" t="s">
        <v>2129</v>
      </c>
      <c r="C341" s="45" t="s">
        <v>301</v>
      </c>
      <c r="D341" s="62" t="s">
        <v>2005</v>
      </c>
      <c r="E341" s="11" t="s">
        <v>29</v>
      </c>
    </row>
    <row r="342">
      <c r="B342" s="62" t="s">
        <v>2128</v>
      </c>
      <c r="C342" s="45" t="s">
        <v>220</v>
      </c>
      <c r="D342" s="62" t="s">
        <v>2127</v>
      </c>
      <c r="E342" s="11" t="s">
        <v>33</v>
      </c>
    </row>
    <row r="343">
      <c r="B343" s="62" t="s">
        <v>2127</v>
      </c>
      <c r="C343" s="45" t="s">
        <v>251</v>
      </c>
      <c r="D343" s="62" t="s">
        <v>2126</v>
      </c>
      <c r="E343" s="11" t="s">
        <v>29</v>
      </c>
    </row>
    <row r="344">
      <c r="B344" s="62" t="s">
        <v>2128</v>
      </c>
      <c r="C344" s="45" t="s">
        <v>173</v>
      </c>
      <c r="D344" s="62" t="s">
        <v>2005</v>
      </c>
      <c r="E344" s="11" t="s">
        <v>33</v>
      </c>
    </row>
    <row r="345">
      <c r="B345" s="62" t="s">
        <v>2126</v>
      </c>
      <c r="C345" s="45" t="s">
        <v>181</v>
      </c>
      <c r="D345" s="62" t="s">
        <v>2129</v>
      </c>
      <c r="E345" s="11" t="s">
        <v>29</v>
      </c>
    </row>
    <row r="346">
      <c r="B346" s="62" t="s">
        <v>2127</v>
      </c>
      <c r="C346" s="45" t="s">
        <v>193</v>
      </c>
      <c r="D346" s="62" t="s">
        <v>2005</v>
      </c>
      <c r="E346" s="11" t="s">
        <v>33</v>
      </c>
    </row>
    <row r="347">
      <c r="B347" s="62" t="s">
        <v>2128</v>
      </c>
      <c r="C347" s="45" t="s">
        <v>162</v>
      </c>
      <c r="D347" s="62" t="s">
        <v>2129</v>
      </c>
      <c r="E347" s="11" t="s">
        <v>29</v>
      </c>
    </row>
    <row r="348">
      <c r="B348" s="62" t="s">
        <v>2126</v>
      </c>
      <c r="C348" s="45" t="s">
        <v>166</v>
      </c>
      <c r="D348" s="62" t="s">
        <v>2005</v>
      </c>
      <c r="E348" s="11" t="s">
        <v>33</v>
      </c>
    </row>
    <row r="349">
      <c r="B349" s="62" t="s">
        <v>2127</v>
      </c>
      <c r="C349" s="45" t="s">
        <v>196</v>
      </c>
      <c r="D349" s="62" t="s">
        <v>2129</v>
      </c>
      <c r="E349" s="11" t="s">
        <v>29</v>
      </c>
    </row>
    <row r="350">
      <c r="B350" s="62" t="s">
        <v>2126</v>
      </c>
      <c r="C350" s="45" t="s">
        <v>248</v>
      </c>
      <c r="D350" s="62" t="s">
        <v>2128</v>
      </c>
      <c r="E350" s="11" t="s">
        <v>33</v>
      </c>
    </row>
    <row r="351">
      <c r="B351" s="62" t="s">
        <v>2005</v>
      </c>
      <c r="C351" s="45" t="s">
        <v>7</v>
      </c>
      <c r="D351" s="62" t="s">
        <v>2129</v>
      </c>
      <c r="E351" s="11" t="s">
        <v>29</v>
      </c>
    </row>
    <row r="352">
      <c r="B352" s="62" t="s">
        <v>2127</v>
      </c>
      <c r="C352" s="45" t="s">
        <v>220</v>
      </c>
      <c r="D352" s="62" t="s">
        <v>2128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2130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2131</v>
      </c>
      <c r="C3" s="45" t="s">
        <v>181</v>
      </c>
      <c r="D3" s="62" t="s">
        <v>1326</v>
      </c>
      <c r="E3" s="11" t="s">
        <v>29</v>
      </c>
    </row>
    <row r="4">
      <c r="A4" s="90"/>
      <c r="B4" s="61" t="s">
        <v>2132</v>
      </c>
      <c r="C4" s="45" t="s">
        <v>198</v>
      </c>
      <c r="D4" s="61" t="s">
        <v>891</v>
      </c>
      <c r="E4" s="11" t="s">
        <v>33</v>
      </c>
    </row>
    <row r="5">
      <c r="A5" s="90"/>
      <c r="B5" s="62" t="s">
        <v>1263</v>
      </c>
      <c r="C5" s="45" t="s">
        <v>41</v>
      </c>
      <c r="D5" s="61" t="s">
        <v>2131</v>
      </c>
      <c r="E5" s="11" t="s">
        <v>29</v>
      </c>
    </row>
    <row r="6">
      <c r="A6" s="90"/>
      <c r="B6" s="61" t="s">
        <v>2132</v>
      </c>
      <c r="C6" s="45" t="s">
        <v>158</v>
      </c>
      <c r="D6" s="62" t="s">
        <v>1326</v>
      </c>
      <c r="E6" s="11" t="s">
        <v>33</v>
      </c>
    </row>
    <row r="7">
      <c r="A7" s="90"/>
      <c r="B7" s="62" t="s">
        <v>1263</v>
      </c>
      <c r="C7" s="45" t="s">
        <v>164</v>
      </c>
      <c r="D7" s="61" t="s">
        <v>891</v>
      </c>
      <c r="E7" s="11" t="s">
        <v>29</v>
      </c>
    </row>
    <row r="8">
      <c r="A8" s="90"/>
      <c r="B8" s="61" t="s">
        <v>2132</v>
      </c>
      <c r="C8" s="45" t="s">
        <v>209</v>
      </c>
      <c r="D8" s="61" t="s">
        <v>2131</v>
      </c>
      <c r="E8" s="11" t="s">
        <v>33</v>
      </c>
    </row>
    <row r="9">
      <c r="A9" s="90"/>
      <c r="B9" s="62" t="s">
        <v>1263</v>
      </c>
      <c r="C9" s="45" t="s">
        <v>278</v>
      </c>
      <c r="D9" s="62" t="s">
        <v>1326</v>
      </c>
      <c r="E9" s="11" t="s">
        <v>29</v>
      </c>
    </row>
    <row r="10">
      <c r="A10" s="90"/>
      <c r="B10" s="61" t="s">
        <v>891</v>
      </c>
      <c r="C10" s="45" t="s">
        <v>209</v>
      </c>
      <c r="D10" s="61" t="s">
        <v>2131</v>
      </c>
      <c r="E10" s="11" t="s">
        <v>33</v>
      </c>
    </row>
    <row r="11">
      <c r="A11" s="90"/>
      <c r="B11" s="62" t="s">
        <v>1263</v>
      </c>
      <c r="C11" s="45" t="s">
        <v>20</v>
      </c>
      <c r="D11" s="61" t="s">
        <v>2132</v>
      </c>
      <c r="E11" s="11" t="s">
        <v>29</v>
      </c>
    </row>
    <row r="12">
      <c r="A12" s="90"/>
      <c r="B12" s="61" t="s">
        <v>891</v>
      </c>
      <c r="C12" s="45" t="s">
        <v>291</v>
      </c>
      <c r="D12" s="62" t="s">
        <v>1326</v>
      </c>
      <c r="E12" s="11" t="s">
        <v>33</v>
      </c>
      <c r="H12" s="50" t="s">
        <v>505</v>
      </c>
    </row>
    <row r="13">
      <c r="A13" s="90"/>
      <c r="B13" s="62" t="s">
        <v>1326</v>
      </c>
      <c r="C13" s="45" t="s">
        <v>184</v>
      </c>
      <c r="D13" s="61" t="s">
        <v>2131</v>
      </c>
      <c r="E13" s="11" t="s">
        <v>29</v>
      </c>
    </row>
    <row r="14">
      <c r="A14" s="90"/>
      <c r="B14" s="61" t="s">
        <v>891</v>
      </c>
      <c r="C14" s="45" t="s">
        <v>43</v>
      </c>
      <c r="D14" s="61" t="s">
        <v>2132</v>
      </c>
      <c r="E14" s="11" t="s">
        <v>33</v>
      </c>
    </row>
    <row r="15">
      <c r="A15" s="90"/>
      <c r="B15" s="61" t="s">
        <v>2131</v>
      </c>
      <c r="C15" s="45" t="s">
        <v>17</v>
      </c>
      <c r="D15" s="62" t="s">
        <v>1263</v>
      </c>
      <c r="E15" s="11" t="s">
        <v>29</v>
      </c>
    </row>
    <row r="16">
      <c r="A16" s="90"/>
      <c r="B16" s="62" t="s">
        <v>1326</v>
      </c>
      <c r="C16" s="45" t="s">
        <v>43</v>
      </c>
      <c r="D16" s="61" t="s">
        <v>2132</v>
      </c>
      <c r="E16" s="11" t="s">
        <v>33</v>
      </c>
    </row>
    <row r="17">
      <c r="A17" s="90"/>
      <c r="B17" s="61" t="s">
        <v>891</v>
      </c>
      <c r="C17" s="45" t="s">
        <v>225</v>
      </c>
      <c r="D17" s="62" t="s">
        <v>1263</v>
      </c>
      <c r="E17" s="11" t="s">
        <v>29</v>
      </c>
    </row>
    <row r="18">
      <c r="A18" s="90"/>
      <c r="B18" s="61" t="s">
        <v>2131</v>
      </c>
      <c r="C18" s="45" t="s">
        <v>185</v>
      </c>
      <c r="D18" s="61" t="s">
        <v>2132</v>
      </c>
      <c r="E18" s="11" t="s">
        <v>33</v>
      </c>
    </row>
    <row r="19">
      <c r="A19" s="90"/>
      <c r="B19" s="62" t="s">
        <v>1326</v>
      </c>
      <c r="C19" s="45" t="s">
        <v>16</v>
      </c>
      <c r="D19" s="62" t="s">
        <v>1263</v>
      </c>
      <c r="E19" s="11" t="s">
        <v>29</v>
      </c>
    </row>
    <row r="20">
      <c r="A20" s="90"/>
      <c r="B20" s="61" t="s">
        <v>2131</v>
      </c>
      <c r="C20" s="45" t="s">
        <v>20</v>
      </c>
      <c r="D20" s="61" t="s">
        <v>891</v>
      </c>
      <c r="E20" s="11" t="s">
        <v>33</v>
      </c>
    </row>
    <row r="21">
      <c r="A21" s="90"/>
      <c r="B21" s="61" t="s">
        <v>2132</v>
      </c>
      <c r="C21" s="45" t="s">
        <v>209</v>
      </c>
      <c r="D21" s="62" t="s">
        <v>1263</v>
      </c>
      <c r="E21" s="11" t="s">
        <v>29</v>
      </c>
    </row>
    <row r="22">
      <c r="A22" s="90"/>
      <c r="B22" s="62" t="s">
        <v>1326</v>
      </c>
      <c r="C22" s="45" t="s">
        <v>41</v>
      </c>
      <c r="D22" s="61" t="s">
        <v>891</v>
      </c>
      <c r="E22" s="11" t="s">
        <v>33</v>
      </c>
    </row>
    <row r="23">
      <c r="A23" s="90"/>
      <c r="B23" s="1" t="s">
        <v>2133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1843</v>
      </c>
      <c r="C25" s="57" t="s">
        <v>14</v>
      </c>
      <c r="D25" s="56" t="s">
        <v>1941</v>
      </c>
      <c r="E25" s="11" t="s">
        <v>9</v>
      </c>
    </row>
    <row r="26">
      <c r="A26" s="90"/>
      <c r="B26" s="61" t="s">
        <v>2134</v>
      </c>
      <c r="C26" s="57" t="s">
        <v>219</v>
      </c>
      <c r="D26" s="61" t="s">
        <v>1954</v>
      </c>
      <c r="E26" s="11" t="s">
        <v>13</v>
      </c>
    </row>
    <row r="27">
      <c r="A27" s="90"/>
      <c r="B27" s="62" t="s">
        <v>1902</v>
      </c>
      <c r="C27" s="57" t="s">
        <v>185</v>
      </c>
      <c r="D27" s="62" t="s">
        <v>1843</v>
      </c>
      <c r="E27" s="11" t="s">
        <v>9</v>
      </c>
    </row>
    <row r="28">
      <c r="A28" s="90"/>
      <c r="B28" s="61" t="s">
        <v>2134</v>
      </c>
      <c r="C28" s="57" t="s">
        <v>7</v>
      </c>
      <c r="D28" s="56" t="s">
        <v>1941</v>
      </c>
      <c r="E28" s="11" t="s">
        <v>13</v>
      </c>
    </row>
    <row r="29">
      <c r="A29" s="90"/>
      <c r="B29" s="62" t="s">
        <v>1902</v>
      </c>
      <c r="C29" s="57" t="s">
        <v>27</v>
      </c>
      <c r="D29" s="61" t="s">
        <v>1954</v>
      </c>
      <c r="E29" s="11" t="s">
        <v>9</v>
      </c>
    </row>
    <row r="30">
      <c r="A30" s="90"/>
      <c r="B30" s="61" t="s">
        <v>2134</v>
      </c>
      <c r="C30" s="57" t="s">
        <v>162</v>
      </c>
      <c r="D30" s="62" t="s">
        <v>1843</v>
      </c>
      <c r="E30" s="11" t="s">
        <v>13</v>
      </c>
    </row>
    <row r="31">
      <c r="A31" s="90"/>
      <c r="B31" s="62" t="s">
        <v>1902</v>
      </c>
      <c r="C31" s="57" t="s">
        <v>43</v>
      </c>
      <c r="D31" s="56" t="s">
        <v>1941</v>
      </c>
      <c r="E31" s="11" t="s">
        <v>9</v>
      </c>
    </row>
    <row r="32">
      <c r="A32" s="90"/>
      <c r="B32" s="61" t="s">
        <v>1954</v>
      </c>
      <c r="C32" s="57" t="s">
        <v>181</v>
      </c>
      <c r="D32" s="62" t="s">
        <v>1843</v>
      </c>
      <c r="E32" s="11" t="s">
        <v>13</v>
      </c>
    </row>
    <row r="33">
      <c r="A33" s="90"/>
      <c r="B33" s="62" t="s">
        <v>1902</v>
      </c>
      <c r="C33" s="57" t="s">
        <v>162</v>
      </c>
      <c r="D33" s="61" t="s">
        <v>2134</v>
      </c>
      <c r="E33" s="11" t="s">
        <v>9</v>
      </c>
    </row>
    <row r="34">
      <c r="A34" s="90"/>
      <c r="B34" s="61" t="s">
        <v>1954</v>
      </c>
      <c r="C34" s="57" t="s">
        <v>184</v>
      </c>
      <c r="D34" s="56" t="s">
        <v>1941</v>
      </c>
      <c r="E34" s="11" t="s">
        <v>13</v>
      </c>
    </row>
    <row r="35">
      <c r="A35" s="90"/>
      <c r="B35" s="56" t="s">
        <v>1941</v>
      </c>
      <c r="C35" s="57" t="s">
        <v>309</v>
      </c>
      <c r="D35" s="62" t="s">
        <v>1843</v>
      </c>
      <c r="E35" s="11" t="s">
        <v>9</v>
      </c>
    </row>
    <row r="36">
      <c r="A36" s="90"/>
      <c r="B36" s="61" t="s">
        <v>1954</v>
      </c>
      <c r="C36" s="57" t="s">
        <v>7</v>
      </c>
      <c r="D36" s="61" t="s">
        <v>2134</v>
      </c>
      <c r="E36" s="11" t="s">
        <v>13</v>
      </c>
    </row>
    <row r="37">
      <c r="A37" s="90"/>
      <c r="B37" s="62" t="s">
        <v>1843</v>
      </c>
      <c r="C37" s="45" t="s">
        <v>849</v>
      </c>
      <c r="D37" s="62" t="s">
        <v>1902</v>
      </c>
      <c r="E37" s="11" t="s">
        <v>9</v>
      </c>
    </row>
    <row r="38">
      <c r="A38" s="90"/>
      <c r="B38" s="56" t="s">
        <v>1941</v>
      </c>
      <c r="C38" s="45" t="s">
        <v>278</v>
      </c>
      <c r="D38" s="61" t="s">
        <v>2134</v>
      </c>
      <c r="E38" s="11" t="s">
        <v>13</v>
      </c>
    </row>
    <row r="39">
      <c r="A39" s="90"/>
      <c r="B39" s="61" t="s">
        <v>1954</v>
      </c>
      <c r="C39" s="45" t="s">
        <v>207</v>
      </c>
      <c r="D39" s="62" t="s">
        <v>1902</v>
      </c>
      <c r="E39" s="11" t="s">
        <v>9</v>
      </c>
    </row>
    <row r="40">
      <c r="A40" s="90"/>
      <c r="B40" s="62" t="s">
        <v>1843</v>
      </c>
      <c r="C40" s="45" t="s">
        <v>271</v>
      </c>
      <c r="D40" s="61" t="s">
        <v>2134</v>
      </c>
      <c r="E40" s="11" t="s">
        <v>13</v>
      </c>
    </row>
    <row r="41">
      <c r="A41" s="90"/>
      <c r="B41" s="56" t="s">
        <v>1941</v>
      </c>
      <c r="C41" s="45" t="s">
        <v>724</v>
      </c>
      <c r="D41" s="62" t="s">
        <v>1902</v>
      </c>
      <c r="E41" s="11" t="s">
        <v>9</v>
      </c>
    </row>
    <row r="42">
      <c r="A42" s="90"/>
      <c r="B42" s="62" t="s">
        <v>1843</v>
      </c>
      <c r="C42" s="45" t="s">
        <v>225</v>
      </c>
      <c r="D42" s="61" t="s">
        <v>1954</v>
      </c>
      <c r="E42" s="11" t="s">
        <v>13</v>
      </c>
    </row>
    <row r="43">
      <c r="A43" s="90"/>
      <c r="B43" s="61" t="s">
        <v>2134</v>
      </c>
      <c r="C43" s="45" t="s">
        <v>209</v>
      </c>
      <c r="D43" s="62" t="s">
        <v>1902</v>
      </c>
      <c r="E43" s="11" t="s">
        <v>9</v>
      </c>
    </row>
    <row r="44">
      <c r="A44" s="91"/>
      <c r="B44" s="56" t="s">
        <v>1941</v>
      </c>
      <c r="C44" s="45" t="s">
        <v>1242</v>
      </c>
      <c r="D44" s="61" t="s">
        <v>1954</v>
      </c>
      <c r="E44" s="11" t="s">
        <v>13</v>
      </c>
    </row>
    <row r="45">
      <c r="B45" s="1" t="s">
        <v>2135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2136</v>
      </c>
      <c r="C47" s="57" t="s">
        <v>210</v>
      </c>
      <c r="D47" s="61" t="s">
        <v>2051</v>
      </c>
      <c r="E47" s="11" t="s">
        <v>29</v>
      </c>
      <c r="H47" s="50"/>
    </row>
    <row r="48">
      <c r="B48" s="61" t="s">
        <v>124</v>
      </c>
      <c r="C48" s="57" t="s">
        <v>302</v>
      </c>
      <c r="D48" s="61" t="s">
        <v>125</v>
      </c>
      <c r="E48" s="11" t="s">
        <v>33</v>
      </c>
    </row>
    <row r="49">
      <c r="B49" s="61" t="s">
        <v>2137</v>
      </c>
      <c r="C49" s="57" t="s">
        <v>41</v>
      </c>
      <c r="D49" s="61" t="s">
        <v>2136</v>
      </c>
      <c r="E49" s="11" t="s">
        <v>29</v>
      </c>
    </row>
    <row r="50">
      <c r="B50" s="61" t="s">
        <v>124</v>
      </c>
      <c r="C50" s="57" t="s">
        <v>545</v>
      </c>
      <c r="D50" s="61" t="s">
        <v>2051</v>
      </c>
      <c r="E50" s="11" t="s">
        <v>33</v>
      </c>
    </row>
    <row r="51">
      <c r="B51" s="61" t="s">
        <v>2137</v>
      </c>
      <c r="C51" s="57" t="s">
        <v>166</v>
      </c>
      <c r="D51" s="61" t="s">
        <v>125</v>
      </c>
      <c r="E51" s="11" t="s">
        <v>29</v>
      </c>
    </row>
    <row r="52">
      <c r="B52" s="61" t="s">
        <v>124</v>
      </c>
      <c r="C52" s="57" t="s">
        <v>545</v>
      </c>
      <c r="D52" s="61" t="s">
        <v>2136</v>
      </c>
      <c r="E52" s="11" t="s">
        <v>33</v>
      </c>
    </row>
    <row r="53">
      <c r="B53" s="61" t="s">
        <v>2137</v>
      </c>
      <c r="C53" s="57" t="s">
        <v>41</v>
      </c>
      <c r="D53" s="61" t="s">
        <v>2051</v>
      </c>
      <c r="E53" s="11" t="s">
        <v>29</v>
      </c>
    </row>
    <row r="54">
      <c r="B54" s="61" t="s">
        <v>125</v>
      </c>
      <c r="C54" s="57" t="s">
        <v>37</v>
      </c>
      <c r="D54" s="61" t="s">
        <v>2136</v>
      </c>
      <c r="E54" s="11" t="s">
        <v>33</v>
      </c>
    </row>
    <row r="55">
      <c r="B55" s="61" t="s">
        <v>2137</v>
      </c>
      <c r="C55" s="57" t="s">
        <v>342</v>
      </c>
      <c r="D55" s="61" t="s">
        <v>124</v>
      </c>
      <c r="E55" s="11" t="s">
        <v>29</v>
      </c>
    </row>
    <row r="56">
      <c r="B56" s="61" t="s">
        <v>125</v>
      </c>
      <c r="C56" s="57" t="s">
        <v>515</v>
      </c>
      <c r="D56" s="61" t="s">
        <v>2051</v>
      </c>
      <c r="E56" s="11" t="s">
        <v>33</v>
      </c>
    </row>
    <row r="57">
      <c r="B57" s="61" t="s">
        <v>2051</v>
      </c>
      <c r="C57" s="57" t="s">
        <v>193</v>
      </c>
      <c r="D57" s="61" t="s">
        <v>2136</v>
      </c>
      <c r="E57" s="11" t="s">
        <v>29</v>
      </c>
    </row>
    <row r="58">
      <c r="B58" s="61" t="s">
        <v>125</v>
      </c>
      <c r="C58" s="57" t="s">
        <v>18</v>
      </c>
      <c r="D58" s="61" t="s">
        <v>124</v>
      </c>
      <c r="E58" s="11" t="s">
        <v>33</v>
      </c>
    </row>
    <row r="59">
      <c r="B59" s="61" t="s">
        <v>2136</v>
      </c>
      <c r="C59" s="45" t="s">
        <v>7</v>
      </c>
      <c r="D59" s="61" t="s">
        <v>2137</v>
      </c>
      <c r="E59" s="11" t="s">
        <v>29</v>
      </c>
    </row>
    <row r="60">
      <c r="B60" s="61" t="s">
        <v>2051</v>
      </c>
      <c r="C60" s="45" t="s">
        <v>21</v>
      </c>
      <c r="D60" s="61" t="s">
        <v>124</v>
      </c>
      <c r="E60" s="11" t="s">
        <v>33</v>
      </c>
    </row>
    <row r="61">
      <c r="B61" s="61" t="s">
        <v>125</v>
      </c>
      <c r="C61" s="45" t="s">
        <v>344</v>
      </c>
      <c r="D61" s="61" t="s">
        <v>2137</v>
      </c>
      <c r="E61" s="11" t="s">
        <v>29</v>
      </c>
    </row>
    <row r="62">
      <c r="B62" s="61" t="s">
        <v>2136</v>
      </c>
      <c r="C62" s="45" t="s">
        <v>158</v>
      </c>
      <c r="D62" s="61" t="s">
        <v>124</v>
      </c>
      <c r="E62" s="11" t="s">
        <v>33</v>
      </c>
    </row>
    <row r="63">
      <c r="B63" s="61" t="s">
        <v>2051</v>
      </c>
      <c r="C63" s="45" t="s">
        <v>193</v>
      </c>
      <c r="D63" s="61" t="s">
        <v>2137</v>
      </c>
      <c r="E63" s="11" t="s">
        <v>29</v>
      </c>
    </row>
    <row r="64">
      <c r="B64" s="61" t="s">
        <v>2136</v>
      </c>
      <c r="C64" s="45" t="s">
        <v>17</v>
      </c>
      <c r="D64" s="61" t="s">
        <v>125</v>
      </c>
      <c r="E64" s="11" t="s">
        <v>33</v>
      </c>
    </row>
    <row r="65">
      <c r="B65" s="61" t="s">
        <v>124</v>
      </c>
      <c r="C65" s="45" t="s">
        <v>248</v>
      </c>
      <c r="D65" s="61" t="s">
        <v>2137</v>
      </c>
      <c r="E65" s="11" t="s">
        <v>29</v>
      </c>
    </row>
    <row r="66">
      <c r="B66" s="61" t="s">
        <v>2051</v>
      </c>
      <c r="C66" s="45" t="s">
        <v>279</v>
      </c>
      <c r="D66" s="61" t="s">
        <v>125</v>
      </c>
      <c r="E66" s="11" t="s">
        <v>33</v>
      </c>
    </row>
    <row r="67">
      <c r="B67" s="1" t="s">
        <v>2138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2139</v>
      </c>
      <c r="C69" s="57" t="s">
        <v>184</v>
      </c>
      <c r="D69" s="56" t="s">
        <v>2140</v>
      </c>
      <c r="E69" s="11" t="s">
        <v>9</v>
      </c>
    </row>
    <row r="70">
      <c r="B70" s="61" t="s">
        <v>2141</v>
      </c>
      <c r="C70" s="57" t="s">
        <v>219</v>
      </c>
      <c r="D70" s="61" t="s">
        <v>2142</v>
      </c>
      <c r="E70" s="11" t="s">
        <v>13</v>
      </c>
    </row>
    <row r="71">
      <c r="B71" s="61" t="s">
        <v>2143</v>
      </c>
      <c r="C71" s="57" t="s">
        <v>194</v>
      </c>
      <c r="D71" s="61" t="s">
        <v>2139</v>
      </c>
      <c r="E71" s="11" t="s">
        <v>9</v>
      </c>
    </row>
    <row r="72">
      <c r="B72" s="61" t="s">
        <v>2141</v>
      </c>
      <c r="C72" s="57" t="s">
        <v>19</v>
      </c>
      <c r="D72" s="56" t="s">
        <v>2140</v>
      </c>
      <c r="E72" s="11" t="s">
        <v>13</v>
      </c>
    </row>
    <row r="73">
      <c r="B73" s="61" t="s">
        <v>2143</v>
      </c>
      <c r="C73" s="57" t="s">
        <v>165</v>
      </c>
      <c r="D73" s="61" t="s">
        <v>2142</v>
      </c>
      <c r="E73" s="11" t="s">
        <v>9</v>
      </c>
    </row>
    <row r="74">
      <c r="B74" s="61" t="s">
        <v>2141</v>
      </c>
      <c r="C74" s="57" t="s">
        <v>158</v>
      </c>
      <c r="D74" s="61" t="s">
        <v>2139</v>
      </c>
      <c r="E74" s="11" t="s">
        <v>13</v>
      </c>
    </row>
    <row r="75">
      <c r="B75" s="61" t="s">
        <v>2143</v>
      </c>
      <c r="C75" s="57" t="s">
        <v>665</v>
      </c>
      <c r="D75" s="56" t="s">
        <v>2140</v>
      </c>
      <c r="E75" s="11" t="s">
        <v>9</v>
      </c>
    </row>
    <row r="76">
      <c r="B76" s="61" t="s">
        <v>2142</v>
      </c>
      <c r="C76" s="57" t="s">
        <v>351</v>
      </c>
      <c r="D76" s="61" t="s">
        <v>2139</v>
      </c>
      <c r="E76" s="11" t="s">
        <v>13</v>
      </c>
    </row>
    <row r="77">
      <c r="B77" s="61" t="s">
        <v>2143</v>
      </c>
      <c r="C77" s="57" t="s">
        <v>185</v>
      </c>
      <c r="D77" s="61" t="s">
        <v>2141</v>
      </c>
      <c r="E77" s="11" t="s">
        <v>9</v>
      </c>
    </row>
    <row r="78">
      <c r="B78" s="61" t="s">
        <v>2142</v>
      </c>
      <c r="C78" s="57" t="s">
        <v>14</v>
      </c>
      <c r="D78" s="56" t="s">
        <v>2140</v>
      </c>
      <c r="E78" s="11" t="s">
        <v>13</v>
      </c>
    </row>
    <row r="79">
      <c r="B79" s="56" t="s">
        <v>2140</v>
      </c>
      <c r="C79" s="57" t="s">
        <v>301</v>
      </c>
      <c r="D79" s="61" t="s">
        <v>2139</v>
      </c>
      <c r="E79" s="11" t="s">
        <v>9</v>
      </c>
    </row>
    <row r="80">
      <c r="B80" s="61" t="s">
        <v>2142</v>
      </c>
      <c r="C80" s="57" t="s">
        <v>23</v>
      </c>
      <c r="D80" s="61" t="s">
        <v>2141</v>
      </c>
      <c r="E80" s="11" t="s">
        <v>13</v>
      </c>
    </row>
    <row r="81">
      <c r="B81" s="61" t="s">
        <v>2139</v>
      </c>
      <c r="C81" s="45" t="s">
        <v>163</v>
      </c>
      <c r="D81" s="61" t="s">
        <v>2143</v>
      </c>
      <c r="E81" s="11" t="s">
        <v>9</v>
      </c>
    </row>
    <row r="82">
      <c r="B82" s="56" t="s">
        <v>2140</v>
      </c>
      <c r="C82" s="45" t="s">
        <v>219</v>
      </c>
      <c r="D82" s="61" t="s">
        <v>2141</v>
      </c>
      <c r="E82" s="11" t="s">
        <v>13</v>
      </c>
    </row>
    <row r="83">
      <c r="B83" s="61" t="s">
        <v>2142</v>
      </c>
      <c r="C83" s="45" t="s">
        <v>888</v>
      </c>
      <c r="D83" s="61" t="s">
        <v>2143</v>
      </c>
      <c r="E83" s="11" t="s">
        <v>9</v>
      </c>
    </row>
    <row r="84">
      <c r="B84" s="61" t="s">
        <v>2139</v>
      </c>
      <c r="C84" s="45" t="s">
        <v>1590</v>
      </c>
      <c r="D84" s="61" t="s">
        <v>2141</v>
      </c>
      <c r="E84" s="11" t="s">
        <v>13</v>
      </c>
    </row>
    <row r="85">
      <c r="B85" s="56" t="s">
        <v>2140</v>
      </c>
      <c r="C85" s="45" t="s">
        <v>538</v>
      </c>
      <c r="D85" s="61" t="s">
        <v>2143</v>
      </c>
      <c r="E85" s="11" t="s">
        <v>9</v>
      </c>
    </row>
    <row r="86">
      <c r="B86" s="61" t="s">
        <v>2139</v>
      </c>
      <c r="C86" s="45" t="s">
        <v>163</v>
      </c>
      <c r="D86" s="61" t="s">
        <v>2142</v>
      </c>
      <c r="E86" s="11" t="s">
        <v>13</v>
      </c>
    </row>
    <row r="87">
      <c r="B87" s="61" t="s">
        <v>2141</v>
      </c>
      <c r="C87" s="45" t="s">
        <v>210</v>
      </c>
      <c r="D87" s="61" t="s">
        <v>2143</v>
      </c>
      <c r="E87" s="11" t="s">
        <v>9</v>
      </c>
    </row>
    <row r="88">
      <c r="B88" s="56" t="s">
        <v>2140</v>
      </c>
      <c r="C88" s="45" t="s">
        <v>248</v>
      </c>
      <c r="D88" s="61" t="s">
        <v>2142</v>
      </c>
      <c r="E88" s="11" t="s">
        <v>13</v>
      </c>
    </row>
    <row r="89">
      <c r="B89" s="1" t="s">
        <v>1777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2144</v>
      </c>
      <c r="C91" s="45" t="s">
        <v>43</v>
      </c>
      <c r="D91" s="61" t="s">
        <v>2145</v>
      </c>
      <c r="E91" s="11" t="s">
        <v>9</v>
      </c>
    </row>
    <row r="92">
      <c r="B92" s="61" t="s">
        <v>2146</v>
      </c>
      <c r="C92" s="45" t="s">
        <v>218</v>
      </c>
      <c r="D92" s="61" t="s">
        <v>1992</v>
      </c>
      <c r="E92" s="11" t="s">
        <v>13</v>
      </c>
    </row>
    <row r="93">
      <c r="B93" s="61" t="s">
        <v>2147</v>
      </c>
      <c r="C93" s="45" t="s">
        <v>20</v>
      </c>
      <c r="D93" s="61" t="s">
        <v>2144</v>
      </c>
      <c r="E93" s="11" t="s">
        <v>9</v>
      </c>
    </row>
    <row r="94">
      <c r="B94" s="61" t="s">
        <v>2146</v>
      </c>
      <c r="C94" s="45" t="s">
        <v>193</v>
      </c>
      <c r="D94" s="61" t="s">
        <v>2145</v>
      </c>
      <c r="E94" s="11" t="s">
        <v>13</v>
      </c>
    </row>
    <row r="95">
      <c r="B95" s="61" t="s">
        <v>2147</v>
      </c>
      <c r="C95" s="45" t="s">
        <v>2148</v>
      </c>
      <c r="D95" s="61" t="s">
        <v>1992</v>
      </c>
      <c r="E95" s="11" t="s">
        <v>9</v>
      </c>
    </row>
    <row r="96">
      <c r="B96" s="61" t="s">
        <v>2146</v>
      </c>
      <c r="C96" s="45" t="s">
        <v>158</v>
      </c>
      <c r="D96" s="61" t="s">
        <v>2144</v>
      </c>
      <c r="E96" s="11" t="s">
        <v>13</v>
      </c>
    </row>
    <row r="97">
      <c r="B97" s="61" t="s">
        <v>2147</v>
      </c>
      <c r="C97" s="45" t="s">
        <v>19</v>
      </c>
      <c r="D97" s="61" t="s">
        <v>2145</v>
      </c>
      <c r="E97" s="11" t="s">
        <v>9</v>
      </c>
    </row>
    <row r="98">
      <c r="B98" s="61" t="s">
        <v>1992</v>
      </c>
      <c r="C98" s="45" t="s">
        <v>220</v>
      </c>
      <c r="D98" s="61" t="s">
        <v>2144</v>
      </c>
      <c r="E98" s="11" t="s">
        <v>13</v>
      </c>
    </row>
    <row r="99">
      <c r="B99" s="61" t="s">
        <v>2147</v>
      </c>
      <c r="C99" s="45" t="s">
        <v>158</v>
      </c>
      <c r="D99" s="61" t="s">
        <v>2146</v>
      </c>
      <c r="E99" s="11" t="s">
        <v>9</v>
      </c>
    </row>
    <row r="100">
      <c r="B100" s="61" t="s">
        <v>1992</v>
      </c>
      <c r="C100" s="45" t="s">
        <v>248</v>
      </c>
      <c r="D100" s="61" t="s">
        <v>2145</v>
      </c>
      <c r="E100" s="11" t="s">
        <v>13</v>
      </c>
      <c r="I100" s="97"/>
    </row>
    <row r="101">
      <c r="B101" s="61" t="s">
        <v>2145</v>
      </c>
      <c r="C101" s="45" t="s">
        <v>41</v>
      </c>
      <c r="D101" s="61" t="s">
        <v>2144</v>
      </c>
      <c r="E101" s="11" t="s">
        <v>9</v>
      </c>
    </row>
    <row r="102">
      <c r="B102" s="61" t="s">
        <v>1992</v>
      </c>
      <c r="C102" s="45" t="s">
        <v>193</v>
      </c>
      <c r="D102" s="61" t="s">
        <v>2146</v>
      </c>
      <c r="E102" s="11" t="s">
        <v>13</v>
      </c>
    </row>
    <row r="103">
      <c r="B103" s="61" t="s">
        <v>2144</v>
      </c>
      <c r="C103" s="45" t="s">
        <v>19</v>
      </c>
      <c r="D103" s="61" t="s">
        <v>2147</v>
      </c>
      <c r="E103" s="11" t="s">
        <v>9</v>
      </c>
    </row>
    <row r="104">
      <c r="B104" s="61" t="s">
        <v>2145</v>
      </c>
      <c r="C104" s="45" t="s">
        <v>289</v>
      </c>
      <c r="D104" s="61" t="s">
        <v>2146</v>
      </c>
      <c r="E104" s="11" t="s">
        <v>13</v>
      </c>
    </row>
    <row r="105">
      <c r="B105" s="61" t="s">
        <v>1992</v>
      </c>
      <c r="C105" s="45" t="s">
        <v>14</v>
      </c>
      <c r="D105" s="61" t="s">
        <v>2147</v>
      </c>
      <c r="E105" s="11" t="s">
        <v>9</v>
      </c>
    </row>
    <row r="106">
      <c r="B106" s="61" t="s">
        <v>2144</v>
      </c>
      <c r="C106" s="45" t="s">
        <v>164</v>
      </c>
      <c r="D106" s="61" t="s">
        <v>2146</v>
      </c>
      <c r="E106" s="11" t="s">
        <v>13</v>
      </c>
    </row>
    <row r="107">
      <c r="B107" s="61" t="s">
        <v>2145</v>
      </c>
      <c r="C107" s="45" t="s">
        <v>161</v>
      </c>
      <c r="D107" s="61" t="s">
        <v>2147</v>
      </c>
      <c r="E107" s="11" t="s">
        <v>9</v>
      </c>
    </row>
    <row r="108">
      <c r="B108" s="61" t="s">
        <v>2144</v>
      </c>
      <c r="C108" s="45" t="s">
        <v>290</v>
      </c>
      <c r="D108" s="61" t="s">
        <v>1992</v>
      </c>
      <c r="E108" s="11" t="s">
        <v>13</v>
      </c>
    </row>
    <row r="109">
      <c r="B109" s="61" t="s">
        <v>2146</v>
      </c>
      <c r="C109" s="45" t="s">
        <v>18</v>
      </c>
      <c r="D109" s="61" t="s">
        <v>2147</v>
      </c>
      <c r="E109" s="11" t="s">
        <v>9</v>
      </c>
    </row>
    <row r="110">
      <c r="B110" s="61" t="s">
        <v>2145</v>
      </c>
      <c r="C110" s="45" t="s">
        <v>256</v>
      </c>
      <c r="D110" s="61" t="s">
        <v>1992</v>
      </c>
      <c r="E110" s="11" t="s">
        <v>13</v>
      </c>
    </row>
    <row r="111">
      <c r="B111" s="1" t="s">
        <v>1782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2107</v>
      </c>
      <c r="C113" s="57" t="s">
        <v>27</v>
      </c>
      <c r="D113" s="61" t="s">
        <v>1852</v>
      </c>
      <c r="E113" s="11" t="s">
        <v>9</v>
      </c>
    </row>
    <row r="114">
      <c r="B114" s="61" t="s">
        <v>2149</v>
      </c>
      <c r="C114" s="57" t="s">
        <v>743</v>
      </c>
      <c r="D114" s="61" t="s">
        <v>937</v>
      </c>
      <c r="E114" s="11" t="s">
        <v>13</v>
      </c>
    </row>
    <row r="115">
      <c r="B115" s="61" t="s">
        <v>1969</v>
      </c>
      <c r="C115" s="57" t="s">
        <v>23</v>
      </c>
      <c r="D115" s="61" t="s">
        <v>2107</v>
      </c>
      <c r="E115" s="11" t="s">
        <v>9</v>
      </c>
    </row>
    <row r="116">
      <c r="B116" s="61" t="s">
        <v>2149</v>
      </c>
      <c r="C116" s="57" t="s">
        <v>41</v>
      </c>
      <c r="D116" s="61" t="s">
        <v>1852</v>
      </c>
      <c r="E116" s="11" t="s">
        <v>13</v>
      </c>
    </row>
    <row r="117">
      <c r="B117" s="61" t="s">
        <v>1969</v>
      </c>
      <c r="C117" s="57" t="s">
        <v>23</v>
      </c>
      <c r="D117" s="61" t="s">
        <v>937</v>
      </c>
      <c r="E117" s="11" t="s">
        <v>9</v>
      </c>
    </row>
    <row r="118">
      <c r="B118" s="61" t="s">
        <v>2149</v>
      </c>
      <c r="C118" s="57" t="s">
        <v>162</v>
      </c>
      <c r="D118" s="61" t="s">
        <v>2107</v>
      </c>
      <c r="E118" s="11" t="s">
        <v>13</v>
      </c>
    </row>
    <row r="119">
      <c r="B119" s="61" t="s">
        <v>1969</v>
      </c>
      <c r="C119" s="57" t="s">
        <v>193</v>
      </c>
      <c r="D119" s="61" t="s">
        <v>1852</v>
      </c>
      <c r="E119" s="11" t="s">
        <v>9</v>
      </c>
    </row>
    <row r="120">
      <c r="B120" s="61" t="s">
        <v>937</v>
      </c>
      <c r="C120" s="57" t="s">
        <v>18</v>
      </c>
      <c r="D120" s="61" t="s">
        <v>2107</v>
      </c>
      <c r="E120" s="11" t="s">
        <v>13</v>
      </c>
    </row>
    <row r="121">
      <c r="B121" s="61" t="s">
        <v>1969</v>
      </c>
      <c r="C121" s="57" t="s">
        <v>209</v>
      </c>
      <c r="D121" s="61" t="s">
        <v>2149</v>
      </c>
      <c r="E121" s="11" t="s">
        <v>9</v>
      </c>
    </row>
    <row r="122">
      <c r="B122" s="61" t="s">
        <v>937</v>
      </c>
      <c r="C122" s="57" t="s">
        <v>173</v>
      </c>
      <c r="D122" s="61" t="s">
        <v>1852</v>
      </c>
      <c r="E122" s="11" t="s">
        <v>13</v>
      </c>
    </row>
    <row r="123">
      <c r="B123" s="61" t="s">
        <v>1852</v>
      </c>
      <c r="C123" s="57" t="s">
        <v>7</v>
      </c>
      <c r="D123" s="61" t="s">
        <v>2107</v>
      </c>
      <c r="E123" s="11" t="s">
        <v>9</v>
      </c>
    </row>
    <row r="124">
      <c r="B124" s="61" t="s">
        <v>937</v>
      </c>
      <c r="C124" s="57" t="s">
        <v>225</v>
      </c>
      <c r="D124" s="61" t="s">
        <v>2149</v>
      </c>
      <c r="E124" s="11" t="s">
        <v>13</v>
      </c>
    </row>
    <row r="125">
      <c r="B125" s="61" t="s">
        <v>2107</v>
      </c>
      <c r="C125" s="45" t="s">
        <v>18</v>
      </c>
      <c r="D125" s="61" t="s">
        <v>1969</v>
      </c>
      <c r="E125" s="11" t="s">
        <v>9</v>
      </c>
    </row>
    <row r="126">
      <c r="B126" s="61" t="s">
        <v>1852</v>
      </c>
      <c r="C126" s="45" t="s">
        <v>573</v>
      </c>
      <c r="D126" s="61" t="s">
        <v>2149</v>
      </c>
      <c r="E126" s="11" t="s">
        <v>13</v>
      </c>
    </row>
    <row r="127">
      <c r="B127" s="61" t="s">
        <v>937</v>
      </c>
      <c r="C127" s="45" t="s">
        <v>19</v>
      </c>
      <c r="D127" s="61" t="s">
        <v>1969</v>
      </c>
      <c r="E127" s="11" t="s">
        <v>9</v>
      </c>
    </row>
    <row r="128">
      <c r="B128" s="61" t="s">
        <v>2107</v>
      </c>
      <c r="C128" s="45" t="s">
        <v>163</v>
      </c>
      <c r="D128" s="61" t="s">
        <v>2149</v>
      </c>
      <c r="E128" s="11" t="s">
        <v>13</v>
      </c>
    </row>
    <row r="129">
      <c r="B129" s="61" t="s">
        <v>1852</v>
      </c>
      <c r="C129" s="45" t="s">
        <v>18</v>
      </c>
      <c r="D129" s="61" t="s">
        <v>1969</v>
      </c>
      <c r="E129" s="11" t="s">
        <v>9</v>
      </c>
    </row>
    <row r="130">
      <c r="B130" s="61" t="s">
        <v>2107</v>
      </c>
      <c r="C130" s="45" t="s">
        <v>176</v>
      </c>
      <c r="D130" s="61" t="s">
        <v>937</v>
      </c>
      <c r="E130" s="11" t="s">
        <v>13</v>
      </c>
    </row>
    <row r="131">
      <c r="B131" s="61" t="s">
        <v>2149</v>
      </c>
      <c r="C131" s="45" t="s">
        <v>18</v>
      </c>
      <c r="D131" s="61" t="s">
        <v>1969</v>
      </c>
      <c r="E131" s="11" t="s">
        <v>9</v>
      </c>
    </row>
    <row r="132">
      <c r="B132" s="61" t="s">
        <v>1852</v>
      </c>
      <c r="C132" s="45" t="s">
        <v>688</v>
      </c>
      <c r="D132" s="61" t="s">
        <v>937</v>
      </c>
      <c r="E132" s="11" t="s">
        <v>13</v>
      </c>
    </row>
    <row r="133">
      <c r="B133" s="1" t="s">
        <v>1538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2150</v>
      </c>
      <c r="C135" s="45" t="s">
        <v>239</v>
      </c>
      <c r="D135" s="61" t="s">
        <v>1364</v>
      </c>
      <c r="E135" s="11" t="s">
        <v>29</v>
      </c>
    </row>
    <row r="136">
      <c r="B136" s="61" t="s">
        <v>956</v>
      </c>
      <c r="C136" s="45" t="s">
        <v>194</v>
      </c>
      <c r="D136" s="61" t="s">
        <v>660</v>
      </c>
      <c r="E136" s="11" t="s">
        <v>33</v>
      </c>
    </row>
    <row r="137">
      <c r="B137" s="61" t="s">
        <v>1171</v>
      </c>
      <c r="C137" s="45" t="s">
        <v>166</v>
      </c>
      <c r="D137" s="61" t="s">
        <v>2150</v>
      </c>
      <c r="E137" s="11" t="s">
        <v>29</v>
      </c>
    </row>
    <row r="138">
      <c r="B138" s="61" t="s">
        <v>956</v>
      </c>
      <c r="C138" s="45" t="s">
        <v>232</v>
      </c>
      <c r="D138" s="61" t="s">
        <v>1364</v>
      </c>
      <c r="E138" s="11" t="s">
        <v>33</v>
      </c>
    </row>
    <row r="139">
      <c r="B139" s="61" t="s">
        <v>1171</v>
      </c>
      <c r="C139" s="45" t="s">
        <v>203</v>
      </c>
      <c r="D139" s="61" t="s">
        <v>660</v>
      </c>
      <c r="E139" s="11" t="s">
        <v>29</v>
      </c>
    </row>
    <row r="140">
      <c r="B140" s="61" t="s">
        <v>956</v>
      </c>
      <c r="C140" s="45" t="s">
        <v>14</v>
      </c>
      <c r="D140" s="61" t="s">
        <v>2150</v>
      </c>
      <c r="E140" s="11" t="s">
        <v>33</v>
      </c>
    </row>
    <row r="141">
      <c r="B141" s="61" t="s">
        <v>1171</v>
      </c>
      <c r="C141" s="45" t="s">
        <v>193</v>
      </c>
      <c r="D141" s="61" t="s">
        <v>1364</v>
      </c>
      <c r="E141" s="11" t="s">
        <v>29</v>
      </c>
    </row>
    <row r="142">
      <c r="B142" s="61" t="s">
        <v>660</v>
      </c>
      <c r="C142" s="45" t="s">
        <v>209</v>
      </c>
      <c r="D142" s="61" t="s">
        <v>2150</v>
      </c>
      <c r="E142" s="11" t="s">
        <v>33</v>
      </c>
    </row>
    <row r="143">
      <c r="B143" s="61" t="s">
        <v>1171</v>
      </c>
      <c r="C143" s="45" t="s">
        <v>163</v>
      </c>
      <c r="D143" s="61" t="s">
        <v>956</v>
      </c>
      <c r="E143" s="11" t="s">
        <v>29</v>
      </c>
    </row>
    <row r="144">
      <c r="B144" s="61" t="s">
        <v>660</v>
      </c>
      <c r="C144" s="45" t="s">
        <v>2151</v>
      </c>
      <c r="D144" s="61" t="s">
        <v>1364</v>
      </c>
      <c r="E144" s="11" t="s">
        <v>33</v>
      </c>
    </row>
    <row r="145">
      <c r="B145" s="61" t="s">
        <v>1364</v>
      </c>
      <c r="C145" s="45" t="s">
        <v>419</v>
      </c>
      <c r="D145" s="61" t="s">
        <v>2150</v>
      </c>
      <c r="E145" s="11" t="s">
        <v>29</v>
      </c>
    </row>
    <row r="146">
      <c r="B146" s="61" t="s">
        <v>660</v>
      </c>
      <c r="C146" s="45" t="s">
        <v>524</v>
      </c>
      <c r="D146" s="61" t="s">
        <v>956</v>
      </c>
      <c r="E146" s="11" t="s">
        <v>33</v>
      </c>
    </row>
    <row r="147">
      <c r="B147" s="61" t="s">
        <v>2150</v>
      </c>
      <c r="C147" s="45" t="s">
        <v>19</v>
      </c>
      <c r="D147" s="61" t="s">
        <v>1171</v>
      </c>
      <c r="E147" s="11" t="s">
        <v>29</v>
      </c>
    </row>
    <row r="148">
      <c r="B148" s="61" t="s">
        <v>1364</v>
      </c>
      <c r="C148" s="45" t="s">
        <v>271</v>
      </c>
      <c r="D148" s="61" t="s">
        <v>956</v>
      </c>
      <c r="E148" s="11" t="s">
        <v>33</v>
      </c>
    </row>
    <row r="149">
      <c r="B149" s="61" t="s">
        <v>660</v>
      </c>
      <c r="C149" s="45" t="s">
        <v>979</v>
      </c>
      <c r="D149" s="61" t="s">
        <v>1171</v>
      </c>
      <c r="E149" s="11" t="s">
        <v>29</v>
      </c>
    </row>
    <row r="150">
      <c r="B150" s="61" t="s">
        <v>2150</v>
      </c>
      <c r="C150" s="45" t="s">
        <v>289</v>
      </c>
      <c r="D150" s="61" t="s">
        <v>956</v>
      </c>
      <c r="E150" s="11" t="s">
        <v>33</v>
      </c>
    </row>
    <row r="151">
      <c r="B151" s="61" t="s">
        <v>1364</v>
      </c>
      <c r="C151" s="45" t="s">
        <v>366</v>
      </c>
      <c r="D151" s="61" t="s">
        <v>1171</v>
      </c>
      <c r="E151" s="11" t="s">
        <v>29</v>
      </c>
    </row>
    <row r="152">
      <c r="B152" s="61" t="s">
        <v>2150</v>
      </c>
      <c r="C152" s="45" t="s">
        <v>292</v>
      </c>
      <c r="D152" s="61" t="s">
        <v>660</v>
      </c>
      <c r="E152" s="11" t="s">
        <v>33</v>
      </c>
    </row>
    <row r="153">
      <c r="B153" s="61" t="s">
        <v>956</v>
      </c>
      <c r="C153" s="45" t="s">
        <v>220</v>
      </c>
      <c r="D153" s="61" t="s">
        <v>1171</v>
      </c>
      <c r="E153" s="11" t="s">
        <v>29</v>
      </c>
    </row>
    <row r="154">
      <c r="B154" s="61" t="s">
        <v>1364</v>
      </c>
      <c r="C154" s="45" t="s">
        <v>383</v>
      </c>
      <c r="D154" s="61" t="s">
        <v>660</v>
      </c>
      <c r="E154" s="11" t="s">
        <v>33</v>
      </c>
    </row>
    <row r="155">
      <c r="B155" s="1" t="s">
        <v>2152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835</v>
      </c>
      <c r="C157" s="57" t="s">
        <v>1181</v>
      </c>
      <c r="D157" s="61" t="s">
        <v>728</v>
      </c>
      <c r="E157" s="11" t="s">
        <v>9</v>
      </c>
    </row>
    <row r="158">
      <c r="B158" s="61" t="s">
        <v>2153</v>
      </c>
      <c r="C158" s="57" t="s">
        <v>194</v>
      </c>
      <c r="D158" s="61" t="s">
        <v>919</v>
      </c>
      <c r="E158" s="11" t="s">
        <v>13</v>
      </c>
    </row>
    <row r="159">
      <c r="B159" s="61" t="s">
        <v>2154</v>
      </c>
      <c r="C159" s="57" t="s">
        <v>155</v>
      </c>
      <c r="D159" s="61" t="s">
        <v>835</v>
      </c>
      <c r="E159" s="11" t="s">
        <v>9</v>
      </c>
    </row>
    <row r="160">
      <c r="B160" s="61" t="s">
        <v>2153</v>
      </c>
      <c r="C160" s="57" t="s">
        <v>173</v>
      </c>
      <c r="D160" s="61" t="s">
        <v>728</v>
      </c>
      <c r="E160" s="11" t="s">
        <v>13</v>
      </c>
    </row>
    <row r="161">
      <c r="B161" s="61" t="s">
        <v>2154</v>
      </c>
      <c r="C161" s="57" t="s">
        <v>41</v>
      </c>
      <c r="D161" s="61" t="s">
        <v>919</v>
      </c>
      <c r="E161" s="11" t="s">
        <v>9</v>
      </c>
    </row>
    <row r="162">
      <c r="B162" s="61" t="s">
        <v>2153</v>
      </c>
      <c r="C162" s="57" t="s">
        <v>177</v>
      </c>
      <c r="D162" s="61" t="s">
        <v>835</v>
      </c>
      <c r="E162" s="11" t="s">
        <v>13</v>
      </c>
    </row>
    <row r="163">
      <c r="B163" s="61" t="s">
        <v>2154</v>
      </c>
      <c r="C163" s="57" t="s">
        <v>155</v>
      </c>
      <c r="D163" s="61" t="s">
        <v>728</v>
      </c>
      <c r="E163" s="11" t="s">
        <v>9</v>
      </c>
    </row>
    <row r="164">
      <c r="B164" s="61" t="s">
        <v>919</v>
      </c>
      <c r="C164" s="57" t="s">
        <v>280</v>
      </c>
      <c r="D164" s="61" t="s">
        <v>835</v>
      </c>
      <c r="E164" s="11" t="s">
        <v>13</v>
      </c>
    </row>
    <row r="165">
      <c r="B165" s="61" t="s">
        <v>2154</v>
      </c>
      <c r="C165" s="57" t="s">
        <v>219</v>
      </c>
      <c r="D165" s="61" t="s">
        <v>2153</v>
      </c>
      <c r="E165" s="11" t="s">
        <v>9</v>
      </c>
    </row>
    <row r="166">
      <c r="B166" s="61" t="s">
        <v>919</v>
      </c>
      <c r="C166" s="57" t="s">
        <v>289</v>
      </c>
      <c r="D166" s="61" t="s">
        <v>728</v>
      </c>
      <c r="E166" s="11" t="s">
        <v>13</v>
      </c>
    </row>
    <row r="167">
      <c r="B167" s="61" t="s">
        <v>728</v>
      </c>
      <c r="C167" s="57" t="s">
        <v>219</v>
      </c>
      <c r="D167" s="61" t="s">
        <v>835</v>
      </c>
      <c r="E167" s="11" t="s">
        <v>9</v>
      </c>
    </row>
    <row r="168">
      <c r="B168" s="61" t="s">
        <v>919</v>
      </c>
      <c r="C168" s="57" t="s">
        <v>181</v>
      </c>
      <c r="D168" s="61" t="s">
        <v>2153</v>
      </c>
      <c r="E168" s="11" t="s">
        <v>13</v>
      </c>
    </row>
    <row r="169">
      <c r="B169" s="61" t="s">
        <v>835</v>
      </c>
      <c r="C169" s="45" t="s">
        <v>227</v>
      </c>
      <c r="D169" s="61" t="s">
        <v>2154</v>
      </c>
      <c r="E169" s="11" t="s">
        <v>9</v>
      </c>
    </row>
    <row r="170">
      <c r="B170" s="61" t="s">
        <v>728</v>
      </c>
      <c r="C170" s="45" t="s">
        <v>219</v>
      </c>
      <c r="D170" s="61" t="s">
        <v>2153</v>
      </c>
      <c r="E170" s="11" t="s">
        <v>13</v>
      </c>
    </row>
    <row r="171">
      <c r="B171" s="61" t="s">
        <v>919</v>
      </c>
      <c r="C171" s="45" t="s">
        <v>218</v>
      </c>
      <c r="D171" s="61" t="s">
        <v>2154</v>
      </c>
      <c r="E171" s="11" t="s">
        <v>9</v>
      </c>
    </row>
    <row r="172">
      <c r="B172" s="61" t="s">
        <v>835</v>
      </c>
      <c r="C172" s="45" t="s">
        <v>163</v>
      </c>
      <c r="D172" s="61" t="s">
        <v>2153</v>
      </c>
      <c r="E172" s="11" t="s">
        <v>13</v>
      </c>
    </row>
    <row r="173">
      <c r="B173" s="61" t="s">
        <v>728</v>
      </c>
      <c r="C173" s="45" t="s">
        <v>327</v>
      </c>
      <c r="D173" s="61" t="s">
        <v>2154</v>
      </c>
      <c r="E173" s="11" t="s">
        <v>9</v>
      </c>
    </row>
    <row r="174">
      <c r="B174" s="61" t="s">
        <v>835</v>
      </c>
      <c r="C174" s="45" t="s">
        <v>161</v>
      </c>
      <c r="D174" s="61" t="s">
        <v>919</v>
      </c>
      <c r="E174" s="11" t="s">
        <v>13</v>
      </c>
    </row>
    <row r="175">
      <c r="B175" s="61" t="s">
        <v>2153</v>
      </c>
      <c r="C175" s="45" t="s">
        <v>290</v>
      </c>
      <c r="D175" s="61" t="s">
        <v>2154</v>
      </c>
      <c r="E175" s="11" t="s">
        <v>9</v>
      </c>
    </row>
    <row r="176">
      <c r="B176" s="61" t="s">
        <v>728</v>
      </c>
      <c r="C176" s="45" t="s">
        <v>158</v>
      </c>
      <c r="D176" s="61" t="s">
        <v>919</v>
      </c>
      <c r="E176" s="11" t="s">
        <v>13</v>
      </c>
    </row>
    <row r="177">
      <c r="B177" s="1" t="s">
        <v>78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2155</v>
      </c>
      <c r="C179" s="45" t="s">
        <v>19</v>
      </c>
      <c r="D179" s="61" t="s">
        <v>1480</v>
      </c>
      <c r="E179" s="11" t="s">
        <v>29</v>
      </c>
    </row>
    <row r="180">
      <c r="B180" s="61" t="s">
        <v>2156</v>
      </c>
      <c r="C180" s="45" t="s">
        <v>185</v>
      </c>
      <c r="D180" s="61" t="s">
        <v>2157</v>
      </c>
      <c r="E180" s="11" t="s">
        <v>33</v>
      </c>
    </row>
    <row r="181">
      <c r="B181" s="61" t="s">
        <v>1090</v>
      </c>
      <c r="C181" s="45" t="s">
        <v>1181</v>
      </c>
      <c r="D181" s="61" t="s">
        <v>2155</v>
      </c>
      <c r="E181" s="11" t="s">
        <v>29</v>
      </c>
    </row>
    <row r="182">
      <c r="B182" s="61" t="s">
        <v>2156</v>
      </c>
      <c r="C182" s="45" t="s">
        <v>209</v>
      </c>
      <c r="D182" s="61" t="s">
        <v>1480</v>
      </c>
      <c r="E182" s="11" t="s">
        <v>33</v>
      </c>
    </row>
    <row r="183">
      <c r="B183" s="61" t="s">
        <v>1090</v>
      </c>
      <c r="C183" s="45" t="s">
        <v>549</v>
      </c>
      <c r="D183" s="61" t="s">
        <v>2157</v>
      </c>
      <c r="E183" s="11" t="s">
        <v>29</v>
      </c>
    </row>
    <row r="184">
      <c r="B184" s="61" t="s">
        <v>2156</v>
      </c>
      <c r="C184" s="45" t="s">
        <v>16</v>
      </c>
      <c r="D184" s="61" t="s">
        <v>2155</v>
      </c>
      <c r="E184" s="11" t="s">
        <v>33</v>
      </c>
    </row>
    <row r="185">
      <c r="B185" s="61" t="s">
        <v>1090</v>
      </c>
      <c r="C185" s="45" t="s">
        <v>166</v>
      </c>
      <c r="D185" s="61" t="s">
        <v>1480</v>
      </c>
      <c r="E185" s="11" t="s">
        <v>29</v>
      </c>
    </row>
    <row r="186">
      <c r="B186" s="61" t="s">
        <v>2157</v>
      </c>
      <c r="C186" s="45" t="s">
        <v>290</v>
      </c>
      <c r="D186" s="61" t="s">
        <v>2155</v>
      </c>
      <c r="E186" s="11" t="s">
        <v>33</v>
      </c>
    </row>
    <row r="187">
      <c r="B187" s="61" t="s">
        <v>1090</v>
      </c>
      <c r="C187" s="45" t="s">
        <v>362</v>
      </c>
      <c r="D187" s="61" t="s">
        <v>2156</v>
      </c>
      <c r="E187" s="11" t="s">
        <v>29</v>
      </c>
    </row>
    <row r="188">
      <c r="B188" s="61" t="s">
        <v>2157</v>
      </c>
      <c r="C188" s="45" t="s">
        <v>166</v>
      </c>
      <c r="D188" s="61" t="s">
        <v>1480</v>
      </c>
      <c r="E188" s="11" t="s">
        <v>33</v>
      </c>
    </row>
    <row r="189">
      <c r="B189" s="61" t="s">
        <v>1480</v>
      </c>
      <c r="C189" s="45" t="s">
        <v>22</v>
      </c>
      <c r="D189" s="61" t="s">
        <v>2155</v>
      </c>
      <c r="E189" s="11" t="s">
        <v>29</v>
      </c>
    </row>
    <row r="190">
      <c r="B190" s="61" t="s">
        <v>2157</v>
      </c>
      <c r="C190" s="45" t="s">
        <v>209</v>
      </c>
      <c r="D190" s="61" t="s">
        <v>2156</v>
      </c>
      <c r="E190" s="11" t="s">
        <v>33</v>
      </c>
    </row>
    <row r="191">
      <c r="B191" s="61" t="s">
        <v>2155</v>
      </c>
      <c r="C191" s="45" t="s">
        <v>7</v>
      </c>
      <c r="D191" s="61" t="s">
        <v>1090</v>
      </c>
      <c r="E191" s="11" t="s">
        <v>29</v>
      </c>
    </row>
    <row r="192">
      <c r="B192" s="61" t="s">
        <v>1480</v>
      </c>
      <c r="C192" s="45" t="s">
        <v>219</v>
      </c>
      <c r="D192" s="61" t="s">
        <v>2156</v>
      </c>
      <c r="E192" s="11" t="s">
        <v>33</v>
      </c>
    </row>
    <row r="193">
      <c r="B193" s="61" t="s">
        <v>2157</v>
      </c>
      <c r="C193" s="45" t="s">
        <v>155</v>
      </c>
      <c r="D193" s="61" t="s">
        <v>1090</v>
      </c>
      <c r="E193" s="11" t="s">
        <v>29</v>
      </c>
    </row>
    <row r="194">
      <c r="B194" s="61" t="s">
        <v>2155</v>
      </c>
      <c r="C194" s="45" t="s">
        <v>218</v>
      </c>
      <c r="D194" s="61" t="s">
        <v>2156</v>
      </c>
      <c r="E194" s="11" t="s">
        <v>33</v>
      </c>
    </row>
    <row r="195">
      <c r="B195" s="61" t="s">
        <v>1480</v>
      </c>
      <c r="C195" s="45" t="s">
        <v>39</v>
      </c>
      <c r="D195" s="61" t="s">
        <v>1090</v>
      </c>
      <c r="E195" s="11" t="s">
        <v>29</v>
      </c>
    </row>
    <row r="196">
      <c r="B196" s="61" t="s">
        <v>2155</v>
      </c>
      <c r="C196" s="45" t="s">
        <v>536</v>
      </c>
      <c r="D196" s="61" t="s">
        <v>2157</v>
      </c>
      <c r="E196" s="11" t="s">
        <v>33</v>
      </c>
    </row>
    <row r="197">
      <c r="B197" s="61" t="s">
        <v>2156</v>
      </c>
      <c r="C197" s="45" t="s">
        <v>18</v>
      </c>
      <c r="D197" s="61" t="s">
        <v>1090</v>
      </c>
      <c r="E197" s="11" t="s">
        <v>29</v>
      </c>
    </row>
    <row r="198">
      <c r="B198" s="61" t="s">
        <v>1480</v>
      </c>
      <c r="C198" s="45" t="s">
        <v>2158</v>
      </c>
      <c r="D198" s="61" t="s">
        <v>2157</v>
      </c>
      <c r="E198" s="11" t="s">
        <v>33</v>
      </c>
    </row>
    <row r="199">
      <c r="B199" s="1" t="s">
        <v>1554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2159</v>
      </c>
      <c r="C201" s="45" t="s">
        <v>23</v>
      </c>
      <c r="D201" s="61" t="s">
        <v>1628</v>
      </c>
      <c r="E201" s="11" t="s">
        <v>29</v>
      </c>
    </row>
    <row r="202">
      <c r="B202" s="61" t="s">
        <v>2160</v>
      </c>
      <c r="C202" s="45" t="s">
        <v>16</v>
      </c>
      <c r="D202" s="61" t="s">
        <v>2161</v>
      </c>
      <c r="E202" s="11" t="s">
        <v>33</v>
      </c>
    </row>
    <row r="203">
      <c r="B203" s="61" t="s">
        <v>48</v>
      </c>
      <c r="C203" s="45" t="s">
        <v>225</v>
      </c>
      <c r="D203" s="61" t="s">
        <v>2159</v>
      </c>
      <c r="E203" s="11" t="s">
        <v>29</v>
      </c>
    </row>
    <row r="204">
      <c r="B204" s="61" t="s">
        <v>2160</v>
      </c>
      <c r="C204" s="45" t="s">
        <v>291</v>
      </c>
      <c r="D204" s="61" t="s">
        <v>1628</v>
      </c>
      <c r="E204" s="11" t="s">
        <v>33</v>
      </c>
    </row>
    <row r="205">
      <c r="B205" s="61" t="s">
        <v>48</v>
      </c>
      <c r="C205" s="45" t="s">
        <v>534</v>
      </c>
      <c r="D205" s="61" t="s">
        <v>2161</v>
      </c>
      <c r="E205" s="11" t="s">
        <v>29</v>
      </c>
    </row>
    <row r="206">
      <c r="B206" s="61" t="s">
        <v>2160</v>
      </c>
      <c r="C206" s="45" t="s">
        <v>171</v>
      </c>
      <c r="D206" s="61" t="s">
        <v>2159</v>
      </c>
      <c r="E206" s="11" t="s">
        <v>33</v>
      </c>
    </row>
    <row r="207">
      <c r="B207" s="61" t="s">
        <v>48</v>
      </c>
      <c r="C207" s="45" t="s">
        <v>19</v>
      </c>
      <c r="D207" s="61" t="s">
        <v>1628</v>
      </c>
      <c r="E207" s="11" t="s">
        <v>29</v>
      </c>
    </row>
    <row r="208">
      <c r="B208" s="61" t="s">
        <v>2161</v>
      </c>
      <c r="C208" s="45" t="s">
        <v>159</v>
      </c>
      <c r="D208" s="61" t="s">
        <v>2159</v>
      </c>
      <c r="E208" s="11" t="s">
        <v>33</v>
      </c>
    </row>
    <row r="209">
      <c r="B209" s="61" t="s">
        <v>48</v>
      </c>
      <c r="C209" s="45" t="s">
        <v>165</v>
      </c>
      <c r="D209" s="61" t="s">
        <v>2160</v>
      </c>
      <c r="E209" s="11" t="s">
        <v>29</v>
      </c>
    </row>
    <row r="210">
      <c r="B210" s="61" t="s">
        <v>2161</v>
      </c>
      <c r="C210" s="45" t="s">
        <v>319</v>
      </c>
      <c r="D210" s="61" t="s">
        <v>1628</v>
      </c>
      <c r="E210" s="11" t="s">
        <v>33</v>
      </c>
    </row>
    <row r="211">
      <c r="B211" s="61" t="s">
        <v>1628</v>
      </c>
      <c r="C211" s="45" t="s">
        <v>24</v>
      </c>
      <c r="D211" s="61" t="s">
        <v>2159</v>
      </c>
      <c r="E211" s="11" t="s">
        <v>29</v>
      </c>
    </row>
    <row r="212">
      <c r="B212" s="61" t="s">
        <v>2161</v>
      </c>
      <c r="C212" s="45" t="s">
        <v>298</v>
      </c>
      <c r="D212" s="61" t="s">
        <v>2160</v>
      </c>
      <c r="E212" s="11" t="s">
        <v>33</v>
      </c>
    </row>
    <row r="213">
      <c r="B213" s="61" t="s">
        <v>2159</v>
      </c>
      <c r="C213" s="45" t="s">
        <v>38</v>
      </c>
      <c r="D213" s="61" t="s">
        <v>48</v>
      </c>
      <c r="E213" s="11" t="s">
        <v>29</v>
      </c>
    </row>
    <row r="214">
      <c r="B214" s="61" t="s">
        <v>1628</v>
      </c>
      <c r="C214" s="45" t="s">
        <v>1015</v>
      </c>
      <c r="D214" s="61" t="s">
        <v>2160</v>
      </c>
      <c r="E214" s="11" t="s">
        <v>33</v>
      </c>
    </row>
    <row r="215">
      <c r="B215" s="61" t="s">
        <v>2161</v>
      </c>
      <c r="C215" s="45" t="s">
        <v>2162</v>
      </c>
      <c r="D215" s="61" t="s">
        <v>48</v>
      </c>
      <c r="E215" s="11" t="s">
        <v>29</v>
      </c>
    </row>
    <row r="216">
      <c r="B216" s="61" t="s">
        <v>2159</v>
      </c>
      <c r="C216" s="45" t="s">
        <v>44</v>
      </c>
      <c r="D216" s="61" t="s">
        <v>2160</v>
      </c>
      <c r="E216" s="11" t="s">
        <v>33</v>
      </c>
    </row>
    <row r="217">
      <c r="B217" s="61" t="s">
        <v>1628</v>
      </c>
      <c r="C217" s="45" t="s">
        <v>38</v>
      </c>
      <c r="D217" s="61" t="s">
        <v>48</v>
      </c>
      <c r="E217" s="11" t="s">
        <v>29</v>
      </c>
    </row>
    <row r="218">
      <c r="B218" s="61" t="s">
        <v>2159</v>
      </c>
      <c r="C218" s="45" t="s">
        <v>158</v>
      </c>
      <c r="D218" s="61" t="s">
        <v>2161</v>
      </c>
      <c r="E218" s="11" t="s">
        <v>33</v>
      </c>
    </row>
    <row r="219">
      <c r="B219" s="61" t="s">
        <v>2160</v>
      </c>
      <c r="C219" s="45" t="s">
        <v>24</v>
      </c>
      <c r="D219" s="61" t="s">
        <v>48</v>
      </c>
      <c r="E219" s="11" t="s">
        <v>29</v>
      </c>
    </row>
    <row r="220">
      <c r="B220" s="61" t="s">
        <v>1628</v>
      </c>
      <c r="C220" s="45" t="s">
        <v>24</v>
      </c>
      <c r="D220" s="61" t="s">
        <v>2161</v>
      </c>
      <c r="E220" s="11" t="s">
        <v>33</v>
      </c>
    </row>
    <row r="221">
      <c r="B221" s="52" t="s">
        <v>1560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726</v>
      </c>
      <c r="C223" s="57" t="s">
        <v>7</v>
      </c>
      <c r="D223" s="62" t="s">
        <v>1852</v>
      </c>
      <c r="E223" s="11" t="s">
        <v>9</v>
      </c>
    </row>
    <row r="224">
      <c r="B224" s="62" t="s">
        <v>2163</v>
      </c>
      <c r="C224" s="57" t="s">
        <v>184</v>
      </c>
      <c r="D224" s="62" t="s">
        <v>1962</v>
      </c>
      <c r="E224" s="11" t="s">
        <v>13</v>
      </c>
    </row>
    <row r="225">
      <c r="B225" s="62" t="s">
        <v>2164</v>
      </c>
      <c r="C225" s="57" t="s">
        <v>166</v>
      </c>
      <c r="D225" s="62" t="s">
        <v>726</v>
      </c>
      <c r="E225" s="11" t="s">
        <v>9</v>
      </c>
    </row>
    <row r="226">
      <c r="B226" s="62" t="s">
        <v>2163</v>
      </c>
      <c r="C226" s="57" t="s">
        <v>193</v>
      </c>
      <c r="D226" s="62" t="s">
        <v>1852</v>
      </c>
      <c r="E226" s="11" t="s">
        <v>13</v>
      </c>
    </row>
    <row r="227">
      <c r="B227" s="62" t="s">
        <v>2164</v>
      </c>
      <c r="C227" s="57" t="s">
        <v>161</v>
      </c>
      <c r="D227" s="62" t="s">
        <v>1962</v>
      </c>
      <c r="E227" s="11" t="s">
        <v>9</v>
      </c>
    </row>
    <row r="228">
      <c r="B228" s="62" t="s">
        <v>2163</v>
      </c>
      <c r="C228" s="57" t="s">
        <v>176</v>
      </c>
      <c r="D228" s="62" t="s">
        <v>726</v>
      </c>
      <c r="E228" s="11" t="s">
        <v>2165</v>
      </c>
    </row>
    <row r="229">
      <c r="B229" s="62" t="s">
        <v>2164</v>
      </c>
      <c r="C229" s="57" t="s">
        <v>155</v>
      </c>
      <c r="D229" s="62" t="s">
        <v>1852</v>
      </c>
      <c r="E229" s="11" t="s">
        <v>9</v>
      </c>
    </row>
    <row r="230">
      <c r="B230" s="62" t="s">
        <v>1962</v>
      </c>
      <c r="C230" s="57" t="s">
        <v>185</v>
      </c>
      <c r="D230" s="62" t="s">
        <v>726</v>
      </c>
      <c r="E230" s="11" t="s">
        <v>13</v>
      </c>
    </row>
    <row r="231">
      <c r="B231" s="62" t="s">
        <v>2164</v>
      </c>
      <c r="C231" s="57" t="s">
        <v>16</v>
      </c>
      <c r="D231" s="62" t="s">
        <v>2163</v>
      </c>
      <c r="E231" s="11" t="s">
        <v>9</v>
      </c>
    </row>
    <row r="232">
      <c r="B232" s="62" t="s">
        <v>1962</v>
      </c>
      <c r="C232" s="57" t="s">
        <v>1119</v>
      </c>
      <c r="D232" s="62" t="s">
        <v>1852</v>
      </c>
      <c r="E232" s="11" t="s">
        <v>13</v>
      </c>
    </row>
    <row r="233">
      <c r="B233" s="62" t="s">
        <v>1852</v>
      </c>
      <c r="C233" s="57" t="s">
        <v>326</v>
      </c>
      <c r="D233" s="62" t="s">
        <v>726</v>
      </c>
      <c r="E233" s="11" t="s">
        <v>9</v>
      </c>
    </row>
    <row r="234">
      <c r="B234" s="62" t="s">
        <v>1962</v>
      </c>
      <c r="C234" s="57" t="s">
        <v>7</v>
      </c>
      <c r="D234" s="62" t="s">
        <v>2163</v>
      </c>
      <c r="E234" s="11" t="s">
        <v>13</v>
      </c>
    </row>
    <row r="235">
      <c r="B235" s="62" t="s">
        <v>726</v>
      </c>
      <c r="C235" s="45" t="s">
        <v>155</v>
      </c>
      <c r="D235" s="62" t="s">
        <v>2164</v>
      </c>
      <c r="E235" s="11" t="s">
        <v>9</v>
      </c>
    </row>
    <row r="236">
      <c r="B236" s="62" t="s">
        <v>1852</v>
      </c>
      <c r="C236" s="45" t="s">
        <v>426</v>
      </c>
      <c r="D236" s="62" t="s">
        <v>2163</v>
      </c>
      <c r="E236" s="11" t="s">
        <v>13</v>
      </c>
    </row>
    <row r="237">
      <c r="B237" s="62" t="s">
        <v>1962</v>
      </c>
      <c r="C237" s="45" t="s">
        <v>155</v>
      </c>
      <c r="D237" s="62" t="s">
        <v>2164</v>
      </c>
      <c r="E237" s="11" t="s">
        <v>9</v>
      </c>
    </row>
    <row r="238">
      <c r="B238" s="62" t="s">
        <v>726</v>
      </c>
      <c r="C238" s="45" t="s">
        <v>566</v>
      </c>
      <c r="D238" s="62" t="s">
        <v>2163</v>
      </c>
      <c r="E238" s="11" t="s">
        <v>13</v>
      </c>
    </row>
    <row r="239">
      <c r="B239" s="62" t="s">
        <v>1852</v>
      </c>
      <c r="C239" s="45" t="s">
        <v>181</v>
      </c>
      <c r="D239" s="62" t="s">
        <v>2164</v>
      </c>
      <c r="E239" s="11" t="s">
        <v>9</v>
      </c>
    </row>
    <row r="240">
      <c r="B240" s="62" t="s">
        <v>726</v>
      </c>
      <c r="C240" s="45" t="s">
        <v>268</v>
      </c>
      <c r="D240" s="62" t="s">
        <v>1962</v>
      </c>
      <c r="E240" s="11" t="s">
        <v>13</v>
      </c>
    </row>
    <row r="241">
      <c r="B241" s="62" t="s">
        <v>2163</v>
      </c>
      <c r="C241" s="45" t="s">
        <v>342</v>
      </c>
      <c r="D241" s="62" t="s">
        <v>2164</v>
      </c>
      <c r="E241" s="11" t="s">
        <v>9</v>
      </c>
    </row>
    <row r="242">
      <c r="B242" s="62" t="s">
        <v>1852</v>
      </c>
      <c r="C242" s="45" t="s">
        <v>193</v>
      </c>
      <c r="D242" s="62" t="s">
        <v>1962</v>
      </c>
      <c r="E242" s="11" t="s">
        <v>13</v>
      </c>
    </row>
    <row r="243">
      <c r="B243" s="52" t="s">
        <v>2166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2167</v>
      </c>
      <c r="C245" s="45" t="s">
        <v>177</v>
      </c>
      <c r="D245" s="62" t="s">
        <v>300</v>
      </c>
      <c r="E245" s="11" t="s">
        <v>9</v>
      </c>
    </row>
    <row r="246">
      <c r="B246" s="62" t="s">
        <v>2168</v>
      </c>
      <c r="C246" s="45" t="s">
        <v>334</v>
      </c>
      <c r="D246" s="62" t="s">
        <v>2169</v>
      </c>
      <c r="E246" s="11" t="s">
        <v>13</v>
      </c>
    </row>
    <row r="247">
      <c r="B247" s="62" t="s">
        <v>2170</v>
      </c>
      <c r="C247" s="45" t="s">
        <v>278</v>
      </c>
      <c r="D247" s="62" t="s">
        <v>2167</v>
      </c>
      <c r="E247" s="11" t="s">
        <v>9</v>
      </c>
    </row>
    <row r="248">
      <c r="B248" s="62" t="s">
        <v>2168</v>
      </c>
      <c r="C248" s="45" t="s">
        <v>303</v>
      </c>
      <c r="D248" s="62" t="s">
        <v>300</v>
      </c>
      <c r="E248" s="11" t="s">
        <v>13</v>
      </c>
    </row>
    <row r="249">
      <c r="B249" s="62" t="s">
        <v>2170</v>
      </c>
      <c r="C249" s="45" t="s">
        <v>1739</v>
      </c>
      <c r="D249" s="62" t="s">
        <v>2169</v>
      </c>
      <c r="E249" s="11" t="s">
        <v>9</v>
      </c>
    </row>
    <row r="250">
      <c r="B250" s="62" t="s">
        <v>2168</v>
      </c>
      <c r="C250" s="45" t="s">
        <v>166</v>
      </c>
      <c r="D250" s="62" t="s">
        <v>2167</v>
      </c>
      <c r="E250" s="11" t="s">
        <v>13</v>
      </c>
    </row>
    <row r="251">
      <c r="B251" s="62" t="s">
        <v>2170</v>
      </c>
      <c r="C251" s="45" t="s">
        <v>465</v>
      </c>
      <c r="D251" s="62" t="s">
        <v>300</v>
      </c>
      <c r="E251" s="11" t="s">
        <v>9</v>
      </c>
    </row>
    <row r="252">
      <c r="B252" s="62" t="s">
        <v>2169</v>
      </c>
      <c r="C252" s="45" t="s">
        <v>250</v>
      </c>
      <c r="D252" s="62" t="s">
        <v>2167</v>
      </c>
      <c r="E252" s="11" t="s">
        <v>13</v>
      </c>
    </row>
    <row r="253">
      <c r="B253" s="62" t="s">
        <v>2170</v>
      </c>
      <c r="C253" s="45" t="s">
        <v>17</v>
      </c>
      <c r="D253" s="62" t="s">
        <v>2168</v>
      </c>
      <c r="E253" s="11" t="s">
        <v>9</v>
      </c>
    </row>
    <row r="254">
      <c r="B254" s="62" t="s">
        <v>2169</v>
      </c>
      <c r="C254" s="45" t="s">
        <v>20</v>
      </c>
      <c r="D254" s="62" t="s">
        <v>300</v>
      </c>
      <c r="E254" s="11" t="s">
        <v>13</v>
      </c>
    </row>
    <row r="255">
      <c r="B255" s="62" t="s">
        <v>300</v>
      </c>
      <c r="C255" s="45" t="s">
        <v>582</v>
      </c>
      <c r="D255" s="62" t="s">
        <v>2167</v>
      </c>
      <c r="E255" s="11" t="s">
        <v>9</v>
      </c>
    </row>
    <row r="256">
      <c r="B256" s="62" t="s">
        <v>2169</v>
      </c>
      <c r="C256" s="45" t="s">
        <v>41</v>
      </c>
      <c r="D256" s="62" t="s">
        <v>2168</v>
      </c>
      <c r="E256" s="11" t="s">
        <v>13</v>
      </c>
    </row>
    <row r="257">
      <c r="B257" s="62" t="s">
        <v>2167</v>
      </c>
      <c r="C257" s="45" t="s">
        <v>220</v>
      </c>
      <c r="D257" s="62" t="s">
        <v>2170</v>
      </c>
      <c r="E257" s="11" t="s">
        <v>9</v>
      </c>
    </row>
    <row r="258">
      <c r="B258" s="62" t="s">
        <v>300</v>
      </c>
      <c r="C258" s="45" t="s">
        <v>219</v>
      </c>
      <c r="D258" s="62" t="s">
        <v>2168</v>
      </c>
      <c r="E258" s="11" t="s">
        <v>13</v>
      </c>
    </row>
    <row r="259">
      <c r="B259" s="62" t="s">
        <v>2169</v>
      </c>
      <c r="C259" s="45" t="s">
        <v>649</v>
      </c>
      <c r="D259" s="62" t="s">
        <v>2170</v>
      </c>
      <c r="E259" s="11" t="s">
        <v>9</v>
      </c>
    </row>
    <row r="260">
      <c r="B260" s="62" t="s">
        <v>2167</v>
      </c>
      <c r="C260" s="45" t="s">
        <v>584</v>
      </c>
      <c r="D260" s="62" t="s">
        <v>2168</v>
      </c>
      <c r="E260" s="11" t="s">
        <v>13</v>
      </c>
    </row>
    <row r="261">
      <c r="B261" s="62" t="s">
        <v>300</v>
      </c>
      <c r="C261" s="45" t="s">
        <v>211</v>
      </c>
      <c r="D261" s="62" t="s">
        <v>2170</v>
      </c>
      <c r="E261" s="11" t="s">
        <v>9</v>
      </c>
    </row>
    <row r="262">
      <c r="B262" s="62" t="s">
        <v>2167</v>
      </c>
      <c r="C262" s="45" t="s">
        <v>302</v>
      </c>
      <c r="D262" s="62" t="s">
        <v>2169</v>
      </c>
      <c r="E262" s="11" t="s">
        <v>13</v>
      </c>
    </row>
    <row r="263">
      <c r="B263" s="62" t="s">
        <v>2168</v>
      </c>
      <c r="C263" s="45" t="s">
        <v>16</v>
      </c>
      <c r="D263" s="62" t="s">
        <v>2170</v>
      </c>
      <c r="E263" s="11" t="s">
        <v>9</v>
      </c>
    </row>
    <row r="264">
      <c r="B264" s="62" t="s">
        <v>300</v>
      </c>
      <c r="C264" s="45" t="s">
        <v>751</v>
      </c>
      <c r="D264" s="62" t="s">
        <v>2169</v>
      </c>
      <c r="E264" s="11" t="s">
        <v>13</v>
      </c>
    </row>
    <row r="265">
      <c r="B265" s="52" t="s">
        <v>100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1497</v>
      </c>
      <c r="C267" s="45" t="s">
        <v>404</v>
      </c>
      <c r="D267" s="62" t="s">
        <v>2171</v>
      </c>
      <c r="E267" s="11" t="s">
        <v>29</v>
      </c>
    </row>
    <row r="268">
      <c r="B268" s="62" t="s">
        <v>2172</v>
      </c>
      <c r="C268" s="45" t="s">
        <v>327</v>
      </c>
      <c r="D268" s="62" t="s">
        <v>2173</v>
      </c>
      <c r="E268" s="11" t="s">
        <v>33</v>
      </c>
    </row>
    <row r="269">
      <c r="B269" s="62" t="s">
        <v>2174</v>
      </c>
      <c r="C269" s="45" t="s">
        <v>220</v>
      </c>
      <c r="D269" s="62" t="s">
        <v>1497</v>
      </c>
      <c r="E269" s="11" t="s">
        <v>29</v>
      </c>
    </row>
    <row r="270">
      <c r="B270" s="62" t="s">
        <v>2172</v>
      </c>
      <c r="C270" s="45" t="s">
        <v>193</v>
      </c>
      <c r="D270" s="62" t="s">
        <v>2171</v>
      </c>
      <c r="E270" s="11" t="s">
        <v>33</v>
      </c>
    </row>
    <row r="271">
      <c r="B271" s="62" t="s">
        <v>2174</v>
      </c>
      <c r="C271" s="45" t="s">
        <v>166</v>
      </c>
      <c r="D271" s="62" t="s">
        <v>2173</v>
      </c>
      <c r="E271" s="11" t="s">
        <v>29</v>
      </c>
    </row>
    <row r="272">
      <c r="B272" s="62" t="s">
        <v>2172</v>
      </c>
      <c r="C272" s="45" t="s">
        <v>163</v>
      </c>
      <c r="D272" s="62" t="s">
        <v>1497</v>
      </c>
      <c r="E272" s="11" t="s">
        <v>33</v>
      </c>
    </row>
    <row r="273">
      <c r="B273" s="62" t="s">
        <v>2174</v>
      </c>
      <c r="C273" s="45" t="s">
        <v>248</v>
      </c>
      <c r="D273" s="62" t="s">
        <v>2171</v>
      </c>
      <c r="E273" s="11" t="s">
        <v>29</v>
      </c>
      <c r="I273" s="50"/>
    </row>
    <row r="274">
      <c r="B274" s="62" t="s">
        <v>2173</v>
      </c>
      <c r="C274" s="45" t="s">
        <v>2175</v>
      </c>
      <c r="D274" s="62" t="s">
        <v>1497</v>
      </c>
      <c r="E274" s="11" t="s">
        <v>33</v>
      </c>
    </row>
    <row r="275">
      <c r="B275" s="62" t="s">
        <v>2174</v>
      </c>
      <c r="C275" s="45" t="s">
        <v>19</v>
      </c>
      <c r="D275" s="62" t="s">
        <v>2172</v>
      </c>
      <c r="E275" s="11" t="s">
        <v>29</v>
      </c>
    </row>
    <row r="276">
      <c r="B276" s="62" t="s">
        <v>2173</v>
      </c>
      <c r="C276" s="45" t="s">
        <v>173</v>
      </c>
      <c r="D276" s="62" t="s">
        <v>2171</v>
      </c>
      <c r="E276" s="11" t="s">
        <v>33</v>
      </c>
    </row>
    <row r="277">
      <c r="B277" s="62" t="s">
        <v>2171</v>
      </c>
      <c r="C277" s="45" t="s">
        <v>14</v>
      </c>
      <c r="D277" s="62" t="s">
        <v>1497</v>
      </c>
      <c r="E277" s="11" t="s">
        <v>29</v>
      </c>
    </row>
    <row r="278">
      <c r="B278" s="62" t="s">
        <v>2173</v>
      </c>
      <c r="C278" s="45" t="s">
        <v>19</v>
      </c>
      <c r="D278" s="62" t="s">
        <v>2172</v>
      </c>
      <c r="E278" s="11" t="s">
        <v>33</v>
      </c>
    </row>
    <row r="279">
      <c r="B279" s="62" t="s">
        <v>1497</v>
      </c>
      <c r="C279" s="45" t="s">
        <v>176</v>
      </c>
      <c r="D279" s="62" t="s">
        <v>2174</v>
      </c>
      <c r="E279" s="11" t="s">
        <v>29</v>
      </c>
    </row>
    <row r="280">
      <c r="B280" s="62" t="s">
        <v>2171</v>
      </c>
      <c r="C280" s="45" t="s">
        <v>210</v>
      </c>
      <c r="D280" s="62" t="s">
        <v>2172</v>
      </c>
      <c r="E280" s="11" t="s">
        <v>33</v>
      </c>
    </row>
    <row r="281">
      <c r="B281" s="62" t="s">
        <v>2173</v>
      </c>
      <c r="C281" s="45" t="s">
        <v>289</v>
      </c>
      <c r="D281" s="62" t="s">
        <v>2174</v>
      </c>
      <c r="E281" s="11" t="s">
        <v>29</v>
      </c>
    </row>
    <row r="282">
      <c r="B282" s="62" t="s">
        <v>1497</v>
      </c>
      <c r="C282" s="45" t="s">
        <v>281</v>
      </c>
      <c r="D282" s="62" t="s">
        <v>2172</v>
      </c>
      <c r="E282" s="11" t="s">
        <v>33</v>
      </c>
      <c r="F282" s="50" t="s">
        <v>514</v>
      </c>
    </row>
    <row r="283">
      <c r="B283" s="62" t="s">
        <v>2171</v>
      </c>
      <c r="C283" s="45" t="s">
        <v>219</v>
      </c>
      <c r="D283" s="62" t="s">
        <v>2174</v>
      </c>
      <c r="E283" s="11" t="s">
        <v>29</v>
      </c>
    </row>
    <row r="284">
      <c r="B284" s="62" t="s">
        <v>1497</v>
      </c>
      <c r="C284" s="45" t="s">
        <v>23</v>
      </c>
      <c r="D284" s="62" t="s">
        <v>2173</v>
      </c>
      <c r="E284" s="11" t="s">
        <v>33</v>
      </c>
    </row>
    <row r="285">
      <c r="B285" s="62" t="s">
        <v>2172</v>
      </c>
      <c r="C285" s="45" t="s">
        <v>17</v>
      </c>
      <c r="D285" s="62" t="s">
        <v>2174</v>
      </c>
      <c r="E285" s="11" t="s">
        <v>29</v>
      </c>
    </row>
    <row r="286">
      <c r="B286" s="62" t="s">
        <v>2171</v>
      </c>
      <c r="C286" s="45" t="s">
        <v>279</v>
      </c>
      <c r="D286" s="62" t="s">
        <v>2173</v>
      </c>
      <c r="E286" s="11" t="s">
        <v>33</v>
      </c>
    </row>
    <row r="287">
      <c r="B287" s="52" t="s">
        <v>2176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948</v>
      </c>
      <c r="C289" s="45" t="s">
        <v>44</v>
      </c>
      <c r="D289" s="62" t="s">
        <v>1092</v>
      </c>
      <c r="E289" s="11" t="s">
        <v>29</v>
      </c>
    </row>
    <row r="290">
      <c r="B290" s="62" t="s">
        <v>766</v>
      </c>
      <c r="C290" s="45" t="s">
        <v>279</v>
      </c>
      <c r="D290" s="62" t="s">
        <v>2177</v>
      </c>
      <c r="E290" s="11" t="s">
        <v>33</v>
      </c>
    </row>
    <row r="291">
      <c r="B291" s="62" t="s">
        <v>2178</v>
      </c>
      <c r="C291" s="45" t="s">
        <v>42</v>
      </c>
      <c r="D291" s="62" t="s">
        <v>948</v>
      </c>
      <c r="E291" s="11" t="s">
        <v>29</v>
      </c>
      <c r="I291" s="50"/>
    </row>
    <row r="292">
      <c r="B292" s="62" t="s">
        <v>766</v>
      </c>
      <c r="C292" s="45" t="s">
        <v>210</v>
      </c>
      <c r="D292" s="62" t="s">
        <v>1092</v>
      </c>
      <c r="E292" s="11" t="s">
        <v>33</v>
      </c>
    </row>
    <row r="293">
      <c r="B293" s="62" t="s">
        <v>2178</v>
      </c>
      <c r="C293" s="45" t="s">
        <v>16</v>
      </c>
      <c r="D293" s="62" t="s">
        <v>2177</v>
      </c>
      <c r="E293" s="11" t="s">
        <v>29</v>
      </c>
    </row>
    <row r="294">
      <c r="B294" s="62" t="s">
        <v>766</v>
      </c>
      <c r="C294" s="45" t="s">
        <v>17</v>
      </c>
      <c r="D294" s="62" t="s">
        <v>948</v>
      </c>
      <c r="E294" s="11" t="s">
        <v>33</v>
      </c>
    </row>
    <row r="295">
      <c r="B295" s="62" t="s">
        <v>2178</v>
      </c>
      <c r="C295" s="45" t="s">
        <v>155</v>
      </c>
      <c r="D295" s="62" t="s">
        <v>1092</v>
      </c>
      <c r="E295" s="11" t="s">
        <v>29</v>
      </c>
    </row>
    <row r="296">
      <c r="B296" s="62" t="s">
        <v>2177</v>
      </c>
      <c r="C296" s="45" t="s">
        <v>20</v>
      </c>
      <c r="D296" s="62" t="s">
        <v>948</v>
      </c>
      <c r="E296" s="11" t="s">
        <v>33</v>
      </c>
    </row>
    <row r="297">
      <c r="B297" s="62" t="s">
        <v>2178</v>
      </c>
      <c r="C297" s="45" t="s">
        <v>292</v>
      </c>
      <c r="D297" s="62" t="s">
        <v>766</v>
      </c>
      <c r="E297" s="11" t="s">
        <v>29</v>
      </c>
    </row>
    <row r="298">
      <c r="B298" s="62" t="s">
        <v>2177</v>
      </c>
      <c r="C298" s="45" t="s">
        <v>11</v>
      </c>
      <c r="D298" s="62" t="s">
        <v>1092</v>
      </c>
      <c r="E298" s="11" t="s">
        <v>33</v>
      </c>
    </row>
    <row r="299">
      <c r="B299" s="62" t="s">
        <v>1092</v>
      </c>
      <c r="C299" s="45" t="s">
        <v>219</v>
      </c>
      <c r="D299" s="62" t="s">
        <v>948</v>
      </c>
      <c r="E299" s="11" t="s">
        <v>29</v>
      </c>
    </row>
    <row r="300">
      <c r="B300" s="62" t="s">
        <v>2177</v>
      </c>
      <c r="C300" s="45" t="s">
        <v>534</v>
      </c>
      <c r="D300" s="62" t="s">
        <v>766</v>
      </c>
      <c r="E300" s="11" t="s">
        <v>33</v>
      </c>
    </row>
    <row r="301">
      <c r="B301" s="62" t="s">
        <v>948</v>
      </c>
      <c r="C301" s="45" t="s">
        <v>195</v>
      </c>
      <c r="D301" s="62" t="s">
        <v>2178</v>
      </c>
      <c r="E301" s="11" t="s">
        <v>29</v>
      </c>
    </row>
    <row r="302">
      <c r="B302" s="62" t="s">
        <v>1092</v>
      </c>
      <c r="C302" s="45" t="s">
        <v>464</v>
      </c>
      <c r="D302" s="62" t="s">
        <v>766</v>
      </c>
      <c r="E302" s="11" t="s">
        <v>33</v>
      </c>
    </row>
    <row r="303">
      <c r="B303" s="62" t="s">
        <v>2177</v>
      </c>
      <c r="C303" s="45" t="s">
        <v>1590</v>
      </c>
      <c r="D303" s="62" t="s">
        <v>2178</v>
      </c>
      <c r="E303" s="11" t="s">
        <v>29</v>
      </c>
    </row>
    <row r="304">
      <c r="B304" s="62" t="s">
        <v>948</v>
      </c>
      <c r="C304" s="45" t="s">
        <v>250</v>
      </c>
      <c r="D304" s="62" t="s">
        <v>766</v>
      </c>
      <c r="E304" s="11" t="s">
        <v>33</v>
      </c>
    </row>
    <row r="305">
      <c r="B305" s="62" t="s">
        <v>1092</v>
      </c>
      <c r="C305" s="45" t="s">
        <v>181</v>
      </c>
      <c r="D305" s="62" t="s">
        <v>2178</v>
      </c>
      <c r="E305" s="11" t="s">
        <v>29</v>
      </c>
    </row>
    <row r="306">
      <c r="B306" s="62" t="s">
        <v>948</v>
      </c>
      <c r="C306" s="45" t="s">
        <v>279</v>
      </c>
      <c r="D306" s="62" t="s">
        <v>2177</v>
      </c>
      <c r="E306" s="11" t="s">
        <v>33</v>
      </c>
    </row>
    <row r="307">
      <c r="B307" s="62" t="s">
        <v>766</v>
      </c>
      <c r="C307" s="45" t="s">
        <v>219</v>
      </c>
      <c r="D307" s="62" t="s">
        <v>2178</v>
      </c>
      <c r="E307" s="11" t="s">
        <v>29</v>
      </c>
    </row>
    <row r="308">
      <c r="B308" s="62" t="s">
        <v>1092</v>
      </c>
      <c r="C308" s="45" t="s">
        <v>185</v>
      </c>
      <c r="D308" s="62" t="s">
        <v>2177</v>
      </c>
      <c r="E308" s="11" t="s">
        <v>33</v>
      </c>
    </row>
    <row r="309">
      <c r="B309" s="52" t="s">
        <v>2179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413</v>
      </c>
      <c r="C311" s="57" t="s">
        <v>176</v>
      </c>
      <c r="D311" s="62" t="s">
        <v>2180</v>
      </c>
      <c r="E311" s="11" t="s">
        <v>9</v>
      </c>
    </row>
    <row r="312">
      <c r="B312" s="62" t="s">
        <v>2181</v>
      </c>
      <c r="C312" s="57" t="s">
        <v>271</v>
      </c>
      <c r="D312" s="62" t="s">
        <v>2182</v>
      </c>
      <c r="E312" s="11" t="s">
        <v>13</v>
      </c>
    </row>
    <row r="313">
      <c r="B313" s="62" t="s">
        <v>2183</v>
      </c>
      <c r="C313" s="57" t="s">
        <v>163</v>
      </c>
      <c r="D313" s="62" t="s">
        <v>413</v>
      </c>
      <c r="E313" s="11" t="s">
        <v>9</v>
      </c>
    </row>
    <row r="314">
      <c r="B314" s="62" t="s">
        <v>2181</v>
      </c>
      <c r="C314" s="57" t="s">
        <v>187</v>
      </c>
      <c r="D314" s="62" t="s">
        <v>2180</v>
      </c>
      <c r="E314" s="11" t="s">
        <v>13</v>
      </c>
    </row>
    <row r="315">
      <c r="B315" s="62" t="s">
        <v>2183</v>
      </c>
      <c r="C315" s="57" t="s">
        <v>219</v>
      </c>
      <c r="D315" s="62" t="s">
        <v>2182</v>
      </c>
      <c r="E315" s="11" t="s">
        <v>9</v>
      </c>
    </row>
    <row r="316">
      <c r="B316" s="62" t="s">
        <v>2181</v>
      </c>
      <c r="C316" s="57" t="s">
        <v>225</v>
      </c>
      <c r="D316" s="62" t="s">
        <v>413</v>
      </c>
      <c r="E316" s="11" t="s">
        <v>13</v>
      </c>
    </row>
    <row r="317">
      <c r="B317" s="62" t="s">
        <v>2183</v>
      </c>
      <c r="C317" s="57" t="s">
        <v>245</v>
      </c>
      <c r="D317" s="62" t="s">
        <v>2180</v>
      </c>
      <c r="E317" s="11" t="s">
        <v>9</v>
      </c>
    </row>
    <row r="318">
      <c r="B318" s="62" t="s">
        <v>2182</v>
      </c>
      <c r="C318" s="57" t="s">
        <v>155</v>
      </c>
      <c r="D318" s="62" t="s">
        <v>413</v>
      </c>
      <c r="E318" s="11" t="s">
        <v>13</v>
      </c>
    </row>
    <row r="319">
      <c r="B319" s="62" t="s">
        <v>2183</v>
      </c>
      <c r="C319" s="57" t="s">
        <v>638</v>
      </c>
      <c r="D319" s="62" t="s">
        <v>2181</v>
      </c>
      <c r="E319" s="11" t="s">
        <v>9</v>
      </c>
    </row>
    <row r="320">
      <c r="B320" s="62" t="s">
        <v>2182</v>
      </c>
      <c r="C320" s="57" t="s">
        <v>195</v>
      </c>
      <c r="D320" s="62" t="s">
        <v>2180</v>
      </c>
      <c r="E320" s="11" t="s">
        <v>13</v>
      </c>
    </row>
    <row r="321">
      <c r="B321" s="62" t="s">
        <v>2180</v>
      </c>
      <c r="C321" s="57" t="s">
        <v>23</v>
      </c>
      <c r="D321" s="62" t="s">
        <v>413</v>
      </c>
      <c r="E321" s="11" t="s">
        <v>9</v>
      </c>
    </row>
    <row r="322">
      <c r="B322" s="62" t="s">
        <v>2182</v>
      </c>
      <c r="C322" s="57" t="s">
        <v>291</v>
      </c>
      <c r="D322" s="62" t="s">
        <v>2181</v>
      </c>
      <c r="E322" s="11" t="s">
        <v>13</v>
      </c>
    </row>
    <row r="323">
      <c r="B323" s="62" t="s">
        <v>413</v>
      </c>
      <c r="C323" s="45" t="s">
        <v>37</v>
      </c>
      <c r="D323" s="62" t="s">
        <v>2183</v>
      </c>
      <c r="E323" s="11" t="s">
        <v>9</v>
      </c>
    </row>
    <row r="324">
      <c r="B324" s="62" t="s">
        <v>2180</v>
      </c>
      <c r="C324" s="45" t="s">
        <v>155</v>
      </c>
      <c r="D324" s="62" t="s">
        <v>2181</v>
      </c>
      <c r="E324" s="11" t="s">
        <v>13</v>
      </c>
    </row>
    <row r="325">
      <c r="B325" s="62" t="s">
        <v>2182</v>
      </c>
      <c r="C325" s="45" t="s">
        <v>250</v>
      </c>
      <c r="D325" s="62" t="s">
        <v>2183</v>
      </c>
      <c r="E325" s="11" t="s">
        <v>9</v>
      </c>
    </row>
    <row r="326">
      <c r="B326" s="62" t="s">
        <v>413</v>
      </c>
      <c r="C326" s="45" t="s">
        <v>7</v>
      </c>
      <c r="D326" s="62" t="s">
        <v>2181</v>
      </c>
      <c r="E326" s="11" t="s">
        <v>13</v>
      </c>
    </row>
    <row r="327">
      <c r="B327" s="62" t="s">
        <v>2180</v>
      </c>
      <c r="C327" s="45" t="s">
        <v>290</v>
      </c>
      <c r="D327" s="62" t="s">
        <v>2183</v>
      </c>
      <c r="E327" s="11" t="s">
        <v>9</v>
      </c>
    </row>
    <row r="328">
      <c r="B328" s="62" t="s">
        <v>413</v>
      </c>
      <c r="C328" s="45" t="s">
        <v>324</v>
      </c>
      <c r="D328" s="62" t="s">
        <v>2182</v>
      </c>
      <c r="E328" s="11" t="s">
        <v>13</v>
      </c>
    </row>
    <row r="329">
      <c r="B329" s="62" t="s">
        <v>2181</v>
      </c>
      <c r="C329" s="45" t="s">
        <v>292</v>
      </c>
      <c r="D329" s="62" t="s">
        <v>2183</v>
      </c>
      <c r="E329" s="11" t="s">
        <v>9</v>
      </c>
    </row>
    <row r="330">
      <c r="B330" s="62" t="s">
        <v>2180</v>
      </c>
      <c r="C330" s="45" t="s">
        <v>258</v>
      </c>
      <c r="D330" s="62" t="s">
        <v>2182</v>
      </c>
      <c r="E330" s="11" t="s">
        <v>13</v>
      </c>
    </row>
    <row r="331">
      <c r="B331" s="52" t="s">
        <v>2184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2185</v>
      </c>
      <c r="C333" s="45" t="s">
        <v>279</v>
      </c>
      <c r="D333" s="62" t="s">
        <v>2186</v>
      </c>
      <c r="E333" s="11" t="s">
        <v>29</v>
      </c>
    </row>
    <row r="334">
      <c r="B334" s="62" t="s">
        <v>2187</v>
      </c>
      <c r="C334" s="45" t="s">
        <v>193</v>
      </c>
      <c r="D334" s="62" t="s">
        <v>2188</v>
      </c>
      <c r="E334" s="11" t="s">
        <v>33</v>
      </c>
    </row>
    <row r="335">
      <c r="B335" s="62" t="s">
        <v>2189</v>
      </c>
      <c r="C335" s="45" t="s">
        <v>219</v>
      </c>
      <c r="D335" s="62" t="s">
        <v>2185</v>
      </c>
      <c r="E335" s="11" t="s">
        <v>29</v>
      </c>
    </row>
    <row r="336">
      <c r="B336" s="62" t="s">
        <v>2187</v>
      </c>
      <c r="C336" s="45" t="s">
        <v>257</v>
      </c>
      <c r="D336" s="62" t="s">
        <v>2186</v>
      </c>
      <c r="E336" s="11" t="s">
        <v>33</v>
      </c>
    </row>
    <row r="337">
      <c r="B337" s="62" t="s">
        <v>2189</v>
      </c>
      <c r="C337" s="45" t="s">
        <v>248</v>
      </c>
      <c r="D337" s="62" t="s">
        <v>2188</v>
      </c>
      <c r="E337" s="11" t="s">
        <v>29</v>
      </c>
    </row>
    <row r="338">
      <c r="B338" s="62" t="s">
        <v>2187</v>
      </c>
      <c r="C338" s="45" t="s">
        <v>545</v>
      </c>
      <c r="D338" s="62" t="s">
        <v>2185</v>
      </c>
      <c r="E338" s="11" t="s">
        <v>33</v>
      </c>
    </row>
    <row r="339">
      <c r="B339" s="62" t="s">
        <v>2189</v>
      </c>
      <c r="C339" s="45" t="s">
        <v>17</v>
      </c>
      <c r="D339" s="62" t="s">
        <v>2186</v>
      </c>
      <c r="E339" s="11" t="s">
        <v>29</v>
      </c>
    </row>
    <row r="340">
      <c r="B340" s="62" t="s">
        <v>2188</v>
      </c>
      <c r="C340" s="45" t="s">
        <v>158</v>
      </c>
      <c r="D340" s="62" t="s">
        <v>2185</v>
      </c>
      <c r="E340" s="11" t="s">
        <v>33</v>
      </c>
    </row>
    <row r="341">
      <c r="B341" s="62" t="s">
        <v>2189</v>
      </c>
      <c r="C341" s="45" t="s">
        <v>291</v>
      </c>
      <c r="D341" s="62" t="s">
        <v>2187</v>
      </c>
      <c r="E341" s="11" t="s">
        <v>29</v>
      </c>
    </row>
    <row r="342">
      <c r="B342" s="62" t="s">
        <v>2188</v>
      </c>
      <c r="C342" s="45" t="s">
        <v>229</v>
      </c>
      <c r="D342" s="62" t="s">
        <v>2186</v>
      </c>
      <c r="E342" s="11" t="s">
        <v>33</v>
      </c>
    </row>
    <row r="343">
      <c r="B343" s="62" t="s">
        <v>2186</v>
      </c>
      <c r="C343" s="45" t="s">
        <v>184</v>
      </c>
      <c r="D343" s="62" t="s">
        <v>2185</v>
      </c>
      <c r="E343" s="11" t="s">
        <v>29</v>
      </c>
    </row>
    <row r="344">
      <c r="B344" s="62" t="s">
        <v>2188</v>
      </c>
      <c r="C344" s="45" t="s">
        <v>574</v>
      </c>
      <c r="D344" s="62" t="s">
        <v>2187</v>
      </c>
      <c r="E344" s="11" t="s">
        <v>33</v>
      </c>
    </row>
    <row r="345">
      <c r="B345" s="62" t="s">
        <v>2185</v>
      </c>
      <c r="C345" s="45" t="s">
        <v>27</v>
      </c>
      <c r="D345" s="62" t="s">
        <v>2189</v>
      </c>
      <c r="E345" s="11" t="s">
        <v>29</v>
      </c>
    </row>
    <row r="346">
      <c r="B346" s="62" t="s">
        <v>2186</v>
      </c>
      <c r="C346" s="45" t="s">
        <v>158</v>
      </c>
      <c r="D346" s="62" t="s">
        <v>2187</v>
      </c>
      <c r="E346" s="11" t="s">
        <v>33</v>
      </c>
    </row>
    <row r="347">
      <c r="B347" s="62" t="s">
        <v>2188</v>
      </c>
      <c r="C347" s="45" t="s">
        <v>184</v>
      </c>
      <c r="D347" s="62" t="s">
        <v>2189</v>
      </c>
      <c r="E347" s="11" t="s">
        <v>29</v>
      </c>
    </row>
    <row r="348">
      <c r="B348" s="62" t="s">
        <v>2185</v>
      </c>
      <c r="C348" s="45" t="s">
        <v>165</v>
      </c>
      <c r="D348" s="62" t="s">
        <v>2187</v>
      </c>
      <c r="E348" s="11" t="s">
        <v>33</v>
      </c>
    </row>
    <row r="349">
      <c r="B349" s="62" t="s">
        <v>2186</v>
      </c>
      <c r="C349" s="45" t="s">
        <v>41</v>
      </c>
      <c r="D349" s="62" t="s">
        <v>2189</v>
      </c>
      <c r="E349" s="11" t="s">
        <v>29</v>
      </c>
    </row>
    <row r="350">
      <c r="B350" s="62" t="s">
        <v>2185</v>
      </c>
      <c r="C350" s="45" t="s">
        <v>162</v>
      </c>
      <c r="D350" s="62" t="s">
        <v>2188</v>
      </c>
      <c r="E350" s="11" t="s">
        <v>33</v>
      </c>
    </row>
    <row r="351">
      <c r="B351" s="62" t="s">
        <v>2187</v>
      </c>
      <c r="C351" s="45" t="s">
        <v>18</v>
      </c>
      <c r="D351" s="62" t="s">
        <v>2189</v>
      </c>
      <c r="E351" s="11" t="s">
        <v>29</v>
      </c>
    </row>
    <row r="352">
      <c r="B352" s="62" t="s">
        <v>2186</v>
      </c>
      <c r="C352" s="45" t="s">
        <v>185</v>
      </c>
      <c r="D352" s="62" t="s">
        <v>2188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2190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2191</v>
      </c>
      <c r="C3" s="57" t="s">
        <v>195</v>
      </c>
      <c r="D3" s="62" t="s">
        <v>2192</v>
      </c>
      <c r="E3" s="11" t="s">
        <v>29</v>
      </c>
    </row>
    <row r="4">
      <c r="A4" s="90"/>
      <c r="B4" s="61" t="s">
        <v>2193</v>
      </c>
      <c r="C4" s="57" t="s">
        <v>225</v>
      </c>
      <c r="D4" s="61" t="s">
        <v>1876</v>
      </c>
      <c r="E4" s="11" t="s">
        <v>33</v>
      </c>
    </row>
    <row r="5">
      <c r="A5" s="90"/>
      <c r="B5" s="62" t="s">
        <v>2083</v>
      </c>
      <c r="C5" s="57" t="s">
        <v>1408</v>
      </c>
      <c r="D5" s="61" t="s">
        <v>2191</v>
      </c>
      <c r="E5" s="11" t="s">
        <v>29</v>
      </c>
    </row>
    <row r="6">
      <c r="A6" s="90"/>
      <c r="B6" s="61" t="s">
        <v>2193</v>
      </c>
      <c r="C6" s="57" t="s">
        <v>302</v>
      </c>
      <c r="D6" s="62" t="s">
        <v>2192</v>
      </c>
      <c r="E6" s="11" t="s">
        <v>33</v>
      </c>
    </row>
    <row r="7">
      <c r="A7" s="90"/>
      <c r="B7" s="62" t="s">
        <v>2083</v>
      </c>
      <c r="C7" s="57" t="s">
        <v>7</v>
      </c>
      <c r="D7" s="61" t="s">
        <v>1876</v>
      </c>
      <c r="E7" s="11" t="s">
        <v>29</v>
      </c>
    </row>
    <row r="8">
      <c r="A8" s="90"/>
      <c r="B8" s="61" t="s">
        <v>2193</v>
      </c>
      <c r="C8" s="57" t="s">
        <v>324</v>
      </c>
      <c r="D8" s="61" t="s">
        <v>2191</v>
      </c>
      <c r="E8" s="11" t="s">
        <v>33</v>
      </c>
    </row>
    <row r="9">
      <c r="A9" s="90"/>
      <c r="B9" s="62" t="s">
        <v>2083</v>
      </c>
      <c r="C9" s="57" t="s">
        <v>19</v>
      </c>
      <c r="D9" s="62" t="s">
        <v>2192</v>
      </c>
      <c r="E9" s="11" t="s">
        <v>29</v>
      </c>
    </row>
    <row r="10">
      <c r="A10" s="90"/>
      <c r="B10" s="61" t="s">
        <v>1876</v>
      </c>
      <c r="C10" s="57" t="s">
        <v>464</v>
      </c>
      <c r="D10" s="61" t="s">
        <v>2191</v>
      </c>
      <c r="E10" s="11" t="s">
        <v>33</v>
      </c>
    </row>
    <row r="11">
      <c r="A11" s="90"/>
      <c r="B11" s="62" t="s">
        <v>2083</v>
      </c>
      <c r="C11" s="57" t="s">
        <v>165</v>
      </c>
      <c r="D11" s="61" t="s">
        <v>2193</v>
      </c>
      <c r="E11" s="11" t="s">
        <v>29</v>
      </c>
    </row>
    <row r="12">
      <c r="A12" s="90"/>
      <c r="B12" s="61" t="s">
        <v>1876</v>
      </c>
      <c r="C12" s="57" t="s">
        <v>227</v>
      </c>
      <c r="D12" s="62" t="s">
        <v>2192</v>
      </c>
      <c r="E12" s="11" t="s">
        <v>33</v>
      </c>
    </row>
    <row r="13">
      <c r="A13" s="90"/>
      <c r="B13" s="62" t="s">
        <v>2192</v>
      </c>
      <c r="C13" s="57" t="s">
        <v>1846</v>
      </c>
      <c r="D13" s="61" t="s">
        <v>2191</v>
      </c>
      <c r="E13" s="11" t="s">
        <v>29</v>
      </c>
    </row>
    <row r="14">
      <c r="A14" s="90"/>
      <c r="B14" s="61" t="s">
        <v>1876</v>
      </c>
      <c r="C14" s="57" t="s">
        <v>489</v>
      </c>
      <c r="D14" s="61" t="s">
        <v>2193</v>
      </c>
      <c r="E14" s="11" t="s">
        <v>33</v>
      </c>
    </row>
    <row r="15">
      <c r="A15" s="90"/>
      <c r="B15" s="61" t="s">
        <v>2191</v>
      </c>
      <c r="C15" s="45" t="s">
        <v>23</v>
      </c>
      <c r="D15" s="62" t="s">
        <v>2083</v>
      </c>
      <c r="E15" s="11" t="s">
        <v>29</v>
      </c>
    </row>
    <row r="16">
      <c r="A16" s="90"/>
      <c r="B16" s="62" t="s">
        <v>2192</v>
      </c>
      <c r="C16" s="45" t="s">
        <v>195</v>
      </c>
      <c r="D16" s="61" t="s">
        <v>2193</v>
      </c>
      <c r="E16" s="11" t="s">
        <v>33</v>
      </c>
    </row>
    <row r="17">
      <c r="A17" s="90"/>
      <c r="B17" s="61" t="s">
        <v>1876</v>
      </c>
      <c r="C17" s="45" t="s">
        <v>279</v>
      </c>
      <c r="D17" s="62" t="s">
        <v>2083</v>
      </c>
      <c r="E17" s="11" t="s">
        <v>29</v>
      </c>
    </row>
    <row r="18">
      <c r="A18" s="90"/>
      <c r="B18" s="61" t="s">
        <v>2191</v>
      </c>
      <c r="C18" s="45" t="s">
        <v>162</v>
      </c>
      <c r="D18" s="61" t="s">
        <v>2193</v>
      </c>
      <c r="E18" s="11" t="s">
        <v>33</v>
      </c>
    </row>
    <row r="19">
      <c r="A19" s="90"/>
      <c r="B19" s="62" t="s">
        <v>2192</v>
      </c>
      <c r="C19" s="45" t="s">
        <v>36</v>
      </c>
      <c r="D19" s="62" t="s">
        <v>2083</v>
      </c>
      <c r="E19" s="11" t="s">
        <v>29</v>
      </c>
    </row>
    <row r="20">
      <c r="A20" s="90"/>
      <c r="B20" s="61" t="s">
        <v>2191</v>
      </c>
      <c r="C20" s="45" t="s">
        <v>534</v>
      </c>
      <c r="D20" s="61" t="s">
        <v>1876</v>
      </c>
      <c r="E20" s="11" t="s">
        <v>33</v>
      </c>
    </row>
    <row r="21">
      <c r="A21" s="90"/>
      <c r="B21" s="61" t="s">
        <v>2193</v>
      </c>
      <c r="C21" s="45" t="s">
        <v>2194</v>
      </c>
      <c r="D21" s="62" t="s">
        <v>2083</v>
      </c>
      <c r="E21" s="11" t="s">
        <v>29</v>
      </c>
    </row>
    <row r="22">
      <c r="A22" s="90"/>
      <c r="B22" s="62" t="s">
        <v>2192</v>
      </c>
      <c r="C22" s="45" t="s">
        <v>250</v>
      </c>
      <c r="D22" s="61" t="s">
        <v>1876</v>
      </c>
      <c r="E22" s="11" t="s">
        <v>33</v>
      </c>
    </row>
    <row r="23">
      <c r="A23" s="90"/>
      <c r="B23" s="1" t="s">
        <v>2195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2196</v>
      </c>
      <c r="C25" s="57" t="s">
        <v>220</v>
      </c>
      <c r="D25" s="62" t="s">
        <v>2197</v>
      </c>
      <c r="E25" s="11" t="s">
        <v>9</v>
      </c>
    </row>
    <row r="26">
      <c r="A26" s="90"/>
      <c r="B26" s="61" t="s">
        <v>2198</v>
      </c>
      <c r="C26" s="57" t="s">
        <v>205</v>
      </c>
      <c r="D26" s="61" t="s">
        <v>2199</v>
      </c>
      <c r="E26" s="11" t="s">
        <v>13</v>
      </c>
    </row>
    <row r="27">
      <c r="A27" s="90"/>
      <c r="B27" s="62" t="s">
        <v>2200</v>
      </c>
      <c r="C27" s="57" t="s">
        <v>177</v>
      </c>
      <c r="D27" s="62" t="s">
        <v>2196</v>
      </c>
      <c r="E27" s="11" t="s">
        <v>9</v>
      </c>
    </row>
    <row r="28">
      <c r="A28" s="90"/>
      <c r="B28" s="61" t="s">
        <v>2198</v>
      </c>
      <c r="C28" s="57" t="s">
        <v>662</v>
      </c>
      <c r="D28" s="62" t="s">
        <v>2197</v>
      </c>
      <c r="E28" s="11" t="s">
        <v>13</v>
      </c>
    </row>
    <row r="29">
      <c r="A29" s="90"/>
      <c r="B29" s="62" t="s">
        <v>2200</v>
      </c>
      <c r="C29" s="57" t="s">
        <v>17</v>
      </c>
      <c r="D29" s="61" t="s">
        <v>2199</v>
      </c>
      <c r="E29" s="11" t="s">
        <v>9</v>
      </c>
    </row>
    <row r="30">
      <c r="A30" s="90"/>
      <c r="B30" s="61" t="s">
        <v>2198</v>
      </c>
      <c r="C30" s="57" t="s">
        <v>7</v>
      </c>
      <c r="D30" s="62" t="s">
        <v>2196</v>
      </c>
      <c r="E30" s="11" t="s">
        <v>13</v>
      </c>
    </row>
    <row r="31">
      <c r="A31" s="90"/>
      <c r="B31" s="62" t="s">
        <v>2200</v>
      </c>
      <c r="C31" s="57" t="s">
        <v>173</v>
      </c>
      <c r="D31" s="62" t="s">
        <v>2197</v>
      </c>
      <c r="E31" s="11" t="s">
        <v>9</v>
      </c>
    </row>
    <row r="32">
      <c r="A32" s="90"/>
      <c r="B32" s="61" t="s">
        <v>2199</v>
      </c>
      <c r="C32" s="57" t="s">
        <v>16</v>
      </c>
      <c r="D32" s="62" t="s">
        <v>2196</v>
      </c>
      <c r="E32" s="11" t="s">
        <v>13</v>
      </c>
    </row>
    <row r="33">
      <c r="A33" s="90"/>
      <c r="B33" s="62" t="s">
        <v>2200</v>
      </c>
      <c r="C33" s="57" t="s">
        <v>38</v>
      </c>
      <c r="D33" s="61" t="s">
        <v>2198</v>
      </c>
      <c r="E33" s="11" t="s">
        <v>9</v>
      </c>
    </row>
    <row r="34">
      <c r="A34" s="90"/>
      <c r="B34" s="61" t="s">
        <v>2199</v>
      </c>
      <c r="C34" s="57" t="s">
        <v>362</v>
      </c>
      <c r="D34" s="62" t="s">
        <v>2197</v>
      </c>
      <c r="E34" s="11" t="s">
        <v>13</v>
      </c>
    </row>
    <row r="35">
      <c r="A35" s="90"/>
      <c r="B35" s="62" t="s">
        <v>2197</v>
      </c>
      <c r="C35" s="57" t="s">
        <v>18</v>
      </c>
      <c r="D35" s="62" t="s">
        <v>2196</v>
      </c>
      <c r="E35" s="11" t="s">
        <v>9</v>
      </c>
    </row>
    <row r="36">
      <c r="A36" s="90"/>
      <c r="B36" s="61" t="s">
        <v>2199</v>
      </c>
      <c r="C36" s="57" t="s">
        <v>198</v>
      </c>
      <c r="D36" s="61" t="s">
        <v>2198</v>
      </c>
      <c r="E36" s="11" t="s">
        <v>13</v>
      </c>
    </row>
    <row r="37">
      <c r="A37" s="90"/>
      <c r="B37" s="62" t="s">
        <v>2196</v>
      </c>
      <c r="C37" s="57" t="s">
        <v>173</v>
      </c>
      <c r="D37" s="62" t="s">
        <v>2200</v>
      </c>
      <c r="E37" s="11" t="s">
        <v>9</v>
      </c>
    </row>
    <row r="38">
      <c r="A38" s="90"/>
      <c r="B38" s="62" t="s">
        <v>2197</v>
      </c>
      <c r="C38" s="57" t="s">
        <v>43</v>
      </c>
      <c r="D38" s="61" t="s">
        <v>2198</v>
      </c>
      <c r="E38" s="11" t="s">
        <v>13</v>
      </c>
    </row>
    <row r="39">
      <c r="A39" s="90"/>
      <c r="B39" s="61" t="s">
        <v>2199</v>
      </c>
      <c r="C39" s="57" t="s">
        <v>298</v>
      </c>
      <c r="D39" s="62" t="s">
        <v>2200</v>
      </c>
      <c r="E39" s="11" t="s">
        <v>9</v>
      </c>
    </row>
    <row r="40">
      <c r="A40" s="90"/>
      <c r="B40" s="62" t="s">
        <v>2196</v>
      </c>
      <c r="C40" s="57" t="s">
        <v>220</v>
      </c>
      <c r="D40" s="61" t="s">
        <v>2198</v>
      </c>
      <c r="E40" s="11" t="s">
        <v>13</v>
      </c>
    </row>
    <row r="41">
      <c r="A41" s="90"/>
      <c r="B41" s="62" t="s">
        <v>2197</v>
      </c>
      <c r="C41" s="57" t="s">
        <v>16</v>
      </c>
      <c r="D41" s="62" t="s">
        <v>2200</v>
      </c>
      <c r="E41" s="11" t="s">
        <v>9</v>
      </c>
    </row>
    <row r="42">
      <c r="A42" s="90"/>
      <c r="B42" s="62" t="s">
        <v>2196</v>
      </c>
      <c r="C42" s="57" t="s">
        <v>967</v>
      </c>
      <c r="D42" s="61" t="s">
        <v>2199</v>
      </c>
      <c r="E42" s="11" t="s">
        <v>13</v>
      </c>
    </row>
    <row r="43">
      <c r="A43" s="90"/>
      <c r="B43" s="61" t="s">
        <v>2198</v>
      </c>
      <c r="C43" s="57" t="s">
        <v>20</v>
      </c>
      <c r="D43" s="62" t="s">
        <v>2200</v>
      </c>
      <c r="E43" s="11" t="s">
        <v>9</v>
      </c>
    </row>
    <row r="44">
      <c r="A44" s="91"/>
      <c r="B44" s="62" t="s">
        <v>2197</v>
      </c>
      <c r="C44" s="57" t="s">
        <v>665</v>
      </c>
      <c r="D44" s="61" t="s">
        <v>2199</v>
      </c>
      <c r="E44" s="11" t="s">
        <v>13</v>
      </c>
    </row>
    <row r="45">
      <c r="B45" s="1" t="s">
        <v>45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2201</v>
      </c>
      <c r="C47" s="57" t="s">
        <v>344</v>
      </c>
      <c r="D47" s="61" t="s">
        <v>2202</v>
      </c>
      <c r="E47" s="11" t="s">
        <v>29</v>
      </c>
    </row>
    <row r="48">
      <c r="B48" s="61" t="s">
        <v>586</v>
      </c>
      <c r="C48" s="57" t="s">
        <v>219</v>
      </c>
      <c r="D48" s="61" t="s">
        <v>2186</v>
      </c>
      <c r="E48" s="11" t="s">
        <v>33</v>
      </c>
    </row>
    <row r="49">
      <c r="B49" s="61" t="s">
        <v>1789</v>
      </c>
      <c r="C49" s="57" t="s">
        <v>219</v>
      </c>
      <c r="D49" s="61" t="s">
        <v>2201</v>
      </c>
      <c r="E49" s="11" t="s">
        <v>29</v>
      </c>
    </row>
    <row r="50">
      <c r="B50" s="61" t="s">
        <v>586</v>
      </c>
      <c r="C50" s="57" t="s">
        <v>227</v>
      </c>
      <c r="D50" s="61" t="s">
        <v>2202</v>
      </c>
      <c r="E50" s="11" t="s">
        <v>33</v>
      </c>
    </row>
    <row r="51">
      <c r="B51" s="61" t="s">
        <v>1789</v>
      </c>
      <c r="C51" s="57" t="s">
        <v>289</v>
      </c>
      <c r="D51" s="61" t="s">
        <v>2186</v>
      </c>
      <c r="E51" s="11" t="s">
        <v>29</v>
      </c>
    </row>
    <row r="52">
      <c r="B52" s="61" t="s">
        <v>586</v>
      </c>
      <c r="C52" s="57" t="s">
        <v>302</v>
      </c>
      <c r="D52" s="61" t="s">
        <v>2201</v>
      </c>
      <c r="E52" s="11" t="s">
        <v>33</v>
      </c>
    </row>
    <row r="53">
      <c r="B53" s="61" t="s">
        <v>1789</v>
      </c>
      <c r="C53" s="57" t="s">
        <v>196</v>
      </c>
      <c r="D53" s="61" t="s">
        <v>2202</v>
      </c>
      <c r="E53" s="11" t="s">
        <v>29</v>
      </c>
    </row>
    <row r="54">
      <c r="B54" s="61" t="s">
        <v>2186</v>
      </c>
      <c r="C54" s="57" t="s">
        <v>14</v>
      </c>
      <c r="D54" s="61" t="s">
        <v>2201</v>
      </c>
      <c r="E54" s="11" t="s">
        <v>33</v>
      </c>
    </row>
    <row r="55">
      <c r="B55" s="61" t="s">
        <v>1789</v>
      </c>
      <c r="C55" s="57" t="s">
        <v>289</v>
      </c>
      <c r="D55" s="61" t="s">
        <v>586</v>
      </c>
      <c r="E55" s="11" t="s">
        <v>29</v>
      </c>
    </row>
    <row r="56">
      <c r="B56" s="61" t="s">
        <v>2186</v>
      </c>
      <c r="C56" s="57" t="s">
        <v>219</v>
      </c>
      <c r="D56" s="61" t="s">
        <v>2202</v>
      </c>
      <c r="E56" s="11" t="s">
        <v>33</v>
      </c>
    </row>
    <row r="57">
      <c r="B57" s="61" t="s">
        <v>2202</v>
      </c>
      <c r="C57" s="57" t="s">
        <v>18</v>
      </c>
      <c r="D57" s="61" t="s">
        <v>2201</v>
      </c>
      <c r="E57" s="11" t="s">
        <v>29</v>
      </c>
    </row>
    <row r="58">
      <c r="B58" s="61" t="s">
        <v>2186</v>
      </c>
      <c r="C58" s="57" t="s">
        <v>166</v>
      </c>
      <c r="D58" s="61" t="s">
        <v>586</v>
      </c>
      <c r="E58" s="11" t="s">
        <v>33</v>
      </c>
    </row>
    <row r="59">
      <c r="B59" s="61" t="s">
        <v>2201</v>
      </c>
      <c r="C59" s="45" t="s">
        <v>23</v>
      </c>
      <c r="D59" s="61" t="s">
        <v>1789</v>
      </c>
      <c r="E59" s="11" t="s">
        <v>29</v>
      </c>
    </row>
    <row r="60">
      <c r="B60" s="61" t="s">
        <v>2202</v>
      </c>
      <c r="C60" s="45" t="s">
        <v>185</v>
      </c>
      <c r="D60" s="61" t="s">
        <v>586</v>
      </c>
      <c r="E60" s="11" t="s">
        <v>33</v>
      </c>
    </row>
    <row r="61">
      <c r="B61" s="61" t="s">
        <v>2186</v>
      </c>
      <c r="C61" s="45" t="s">
        <v>271</v>
      </c>
      <c r="D61" s="61" t="s">
        <v>1789</v>
      </c>
      <c r="E61" s="11" t="s">
        <v>29</v>
      </c>
    </row>
    <row r="62">
      <c r="B62" s="61" t="s">
        <v>2201</v>
      </c>
      <c r="C62" s="45" t="s">
        <v>251</v>
      </c>
      <c r="D62" s="61" t="s">
        <v>586</v>
      </c>
      <c r="E62" s="11" t="s">
        <v>33</v>
      </c>
    </row>
    <row r="63">
      <c r="B63" s="61" t="s">
        <v>2202</v>
      </c>
      <c r="C63" s="45" t="s">
        <v>290</v>
      </c>
      <c r="D63" s="61" t="s">
        <v>1789</v>
      </c>
      <c r="E63" s="11" t="s">
        <v>29</v>
      </c>
    </row>
    <row r="64">
      <c r="B64" s="61" t="s">
        <v>2201</v>
      </c>
      <c r="C64" s="45" t="s">
        <v>17</v>
      </c>
      <c r="D64" s="61" t="s">
        <v>2186</v>
      </c>
      <c r="E64" s="11" t="s">
        <v>33</v>
      </c>
    </row>
    <row r="65">
      <c r="B65" s="61" t="s">
        <v>586</v>
      </c>
      <c r="C65" s="45" t="s">
        <v>352</v>
      </c>
      <c r="D65" s="61" t="s">
        <v>1789</v>
      </c>
      <c r="E65" s="11" t="s">
        <v>29</v>
      </c>
    </row>
    <row r="66">
      <c r="B66" s="61" t="s">
        <v>2202</v>
      </c>
      <c r="C66" s="45" t="s">
        <v>251</v>
      </c>
      <c r="D66" s="61" t="s">
        <v>2186</v>
      </c>
      <c r="E66" s="11" t="s">
        <v>33</v>
      </c>
    </row>
    <row r="67">
      <c r="B67" s="96" t="s">
        <v>2203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2204</v>
      </c>
      <c r="C69" s="57" t="s">
        <v>264</v>
      </c>
      <c r="D69" s="61" t="s">
        <v>1776</v>
      </c>
      <c r="E69" s="11" t="s">
        <v>9</v>
      </c>
    </row>
    <row r="70">
      <c r="B70" s="61" t="s">
        <v>1029</v>
      </c>
      <c r="C70" s="57" t="s">
        <v>534</v>
      </c>
      <c r="D70" s="61" t="s">
        <v>1131</v>
      </c>
      <c r="E70" s="11" t="s">
        <v>13</v>
      </c>
    </row>
    <row r="71">
      <c r="B71" s="61" t="s">
        <v>1276</v>
      </c>
      <c r="C71" s="57" t="s">
        <v>440</v>
      </c>
      <c r="D71" s="61" t="s">
        <v>2204</v>
      </c>
      <c r="E71" s="11" t="s">
        <v>9</v>
      </c>
    </row>
    <row r="72">
      <c r="B72" s="61" t="s">
        <v>1029</v>
      </c>
      <c r="C72" s="57" t="s">
        <v>490</v>
      </c>
      <c r="D72" s="61" t="s">
        <v>1776</v>
      </c>
      <c r="E72" s="11" t="s">
        <v>13</v>
      </c>
    </row>
    <row r="73">
      <c r="B73" s="61" t="s">
        <v>1276</v>
      </c>
      <c r="C73" s="57" t="s">
        <v>517</v>
      </c>
      <c r="D73" s="61" t="s">
        <v>1131</v>
      </c>
      <c r="E73" s="11" t="s">
        <v>9</v>
      </c>
    </row>
    <row r="74">
      <c r="B74" s="61" t="s">
        <v>1029</v>
      </c>
      <c r="C74" s="57" t="s">
        <v>36</v>
      </c>
      <c r="D74" s="61" t="s">
        <v>2204</v>
      </c>
      <c r="E74" s="11" t="s">
        <v>13</v>
      </c>
    </row>
    <row r="75">
      <c r="B75" s="61" t="s">
        <v>1276</v>
      </c>
      <c r="C75" s="57" t="s">
        <v>545</v>
      </c>
      <c r="D75" s="61" t="s">
        <v>1776</v>
      </c>
      <c r="E75" s="11" t="s">
        <v>9</v>
      </c>
    </row>
    <row r="76">
      <c r="B76" s="61" t="s">
        <v>1131</v>
      </c>
      <c r="C76" s="57" t="s">
        <v>324</v>
      </c>
      <c r="D76" s="61" t="s">
        <v>2204</v>
      </c>
      <c r="E76" s="11" t="s">
        <v>13</v>
      </c>
    </row>
    <row r="77">
      <c r="B77" s="61" t="s">
        <v>1276</v>
      </c>
      <c r="C77" s="57" t="s">
        <v>856</v>
      </c>
      <c r="D77" s="61" t="s">
        <v>1029</v>
      </c>
      <c r="E77" s="11" t="s">
        <v>9</v>
      </c>
    </row>
    <row r="78">
      <c r="B78" s="61" t="s">
        <v>1131</v>
      </c>
      <c r="C78" s="57" t="s">
        <v>164</v>
      </c>
      <c r="D78" s="61" t="s">
        <v>1776</v>
      </c>
      <c r="E78" s="11" t="s">
        <v>13</v>
      </c>
    </row>
    <row r="79">
      <c r="B79" s="61" t="s">
        <v>1776</v>
      </c>
      <c r="C79" s="57" t="s">
        <v>219</v>
      </c>
      <c r="D79" s="61" t="s">
        <v>2204</v>
      </c>
      <c r="E79" s="11" t="s">
        <v>9</v>
      </c>
    </row>
    <row r="80">
      <c r="B80" s="61" t="s">
        <v>1131</v>
      </c>
      <c r="C80" s="57" t="s">
        <v>14</v>
      </c>
      <c r="D80" s="61" t="s">
        <v>1029</v>
      </c>
      <c r="E80" s="11" t="s">
        <v>13</v>
      </c>
    </row>
    <row r="81">
      <c r="B81" s="61" t="s">
        <v>2204</v>
      </c>
      <c r="C81" s="45" t="s">
        <v>23</v>
      </c>
      <c r="D81" s="61" t="s">
        <v>1276</v>
      </c>
      <c r="E81" s="11" t="s">
        <v>9</v>
      </c>
    </row>
    <row r="82">
      <c r="B82" s="61" t="s">
        <v>1776</v>
      </c>
      <c r="C82" s="45" t="s">
        <v>230</v>
      </c>
      <c r="D82" s="61" t="s">
        <v>1029</v>
      </c>
      <c r="E82" s="11" t="s">
        <v>13</v>
      </c>
    </row>
    <row r="83">
      <c r="B83" s="61" t="s">
        <v>1131</v>
      </c>
      <c r="C83" s="45" t="s">
        <v>14</v>
      </c>
      <c r="D83" s="61" t="s">
        <v>1276</v>
      </c>
      <c r="E83" s="11" t="s">
        <v>9</v>
      </c>
    </row>
    <row r="84">
      <c r="B84" s="61" t="s">
        <v>2204</v>
      </c>
      <c r="C84" s="45" t="s">
        <v>743</v>
      </c>
      <c r="D84" s="61" t="s">
        <v>1029</v>
      </c>
      <c r="E84" s="11" t="s">
        <v>13</v>
      </c>
    </row>
    <row r="85">
      <c r="B85" s="61" t="s">
        <v>1776</v>
      </c>
      <c r="C85" s="45" t="s">
        <v>155</v>
      </c>
      <c r="D85" s="61" t="s">
        <v>1276</v>
      </c>
      <c r="E85" s="11" t="s">
        <v>9</v>
      </c>
    </row>
    <row r="86">
      <c r="B86" s="61" t="s">
        <v>2204</v>
      </c>
      <c r="C86" s="45" t="s">
        <v>23</v>
      </c>
      <c r="D86" s="61" t="s">
        <v>1131</v>
      </c>
      <c r="E86" s="11" t="s">
        <v>13</v>
      </c>
    </row>
    <row r="87">
      <c r="B87" s="61" t="s">
        <v>1029</v>
      </c>
      <c r="C87" s="45" t="s">
        <v>218</v>
      </c>
      <c r="D87" s="61" t="s">
        <v>1276</v>
      </c>
      <c r="E87" s="11" t="s">
        <v>9</v>
      </c>
    </row>
    <row r="88">
      <c r="B88" s="61" t="s">
        <v>1776</v>
      </c>
      <c r="C88" s="45" t="s">
        <v>161</v>
      </c>
      <c r="D88" s="61" t="s">
        <v>1131</v>
      </c>
      <c r="E88" s="11" t="s">
        <v>13</v>
      </c>
    </row>
    <row r="89">
      <c r="B89" s="1" t="s">
        <v>1526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215</v>
      </c>
      <c r="C91" s="45" t="s">
        <v>464</v>
      </c>
      <c r="D91" s="61" t="s">
        <v>2205</v>
      </c>
      <c r="E91" s="11" t="s">
        <v>9</v>
      </c>
    </row>
    <row r="92">
      <c r="B92" s="61" t="s">
        <v>2160</v>
      </c>
      <c r="C92" s="45" t="s">
        <v>426</v>
      </c>
      <c r="D92" s="61" t="s">
        <v>57</v>
      </c>
      <c r="E92" s="11" t="s">
        <v>13</v>
      </c>
    </row>
    <row r="93">
      <c r="B93" s="61" t="s">
        <v>2206</v>
      </c>
      <c r="C93" s="45" t="s">
        <v>20</v>
      </c>
      <c r="D93" s="61" t="s">
        <v>215</v>
      </c>
      <c r="E93" s="11" t="s">
        <v>9</v>
      </c>
    </row>
    <row r="94">
      <c r="B94" s="61" t="s">
        <v>2160</v>
      </c>
      <c r="C94" s="45" t="s">
        <v>18</v>
      </c>
      <c r="D94" s="61" t="s">
        <v>2205</v>
      </c>
      <c r="E94" s="11" t="s">
        <v>13</v>
      </c>
    </row>
    <row r="95">
      <c r="B95" s="61" t="s">
        <v>2206</v>
      </c>
      <c r="C95" s="45" t="s">
        <v>162</v>
      </c>
      <c r="D95" s="61" t="s">
        <v>57</v>
      </c>
      <c r="E95" s="11" t="s">
        <v>9</v>
      </c>
    </row>
    <row r="96">
      <c r="B96" s="61" t="s">
        <v>2160</v>
      </c>
      <c r="C96" s="45" t="s">
        <v>220</v>
      </c>
      <c r="D96" s="61" t="s">
        <v>215</v>
      </c>
      <c r="E96" s="11" t="s">
        <v>13</v>
      </c>
    </row>
    <row r="97">
      <c r="B97" s="61" t="s">
        <v>2206</v>
      </c>
      <c r="C97" s="45" t="s">
        <v>18</v>
      </c>
      <c r="D97" s="61" t="s">
        <v>2205</v>
      </c>
      <c r="E97" s="11" t="s">
        <v>9</v>
      </c>
    </row>
    <row r="98">
      <c r="B98" s="61" t="s">
        <v>57</v>
      </c>
      <c r="C98" s="45" t="s">
        <v>185</v>
      </c>
      <c r="D98" s="61" t="s">
        <v>215</v>
      </c>
      <c r="E98" s="11" t="s">
        <v>13</v>
      </c>
    </row>
    <row r="99">
      <c r="B99" s="61" t="s">
        <v>2206</v>
      </c>
      <c r="C99" s="45" t="s">
        <v>425</v>
      </c>
      <c r="D99" s="61" t="s">
        <v>2160</v>
      </c>
      <c r="E99" s="11" t="s">
        <v>9</v>
      </c>
    </row>
    <row r="100">
      <c r="B100" s="61" t="s">
        <v>57</v>
      </c>
      <c r="C100" s="45" t="s">
        <v>158</v>
      </c>
      <c r="D100" s="61" t="s">
        <v>2205</v>
      </c>
      <c r="E100" s="11" t="s">
        <v>13</v>
      </c>
    </row>
    <row r="101">
      <c r="B101" s="61" t="s">
        <v>2205</v>
      </c>
      <c r="C101" s="45" t="s">
        <v>193</v>
      </c>
      <c r="D101" s="61" t="s">
        <v>215</v>
      </c>
      <c r="E101" s="11" t="s">
        <v>9</v>
      </c>
    </row>
    <row r="102">
      <c r="B102" s="61" t="s">
        <v>57</v>
      </c>
      <c r="C102" s="45" t="s">
        <v>43</v>
      </c>
      <c r="D102" s="61" t="s">
        <v>2160</v>
      </c>
      <c r="E102" s="11" t="s">
        <v>13</v>
      </c>
    </row>
    <row r="103">
      <c r="B103" s="61" t="s">
        <v>215</v>
      </c>
      <c r="C103" s="45" t="s">
        <v>184</v>
      </c>
      <c r="D103" s="61" t="s">
        <v>2206</v>
      </c>
      <c r="E103" s="11" t="s">
        <v>9</v>
      </c>
    </row>
    <row r="104">
      <c r="B104" s="61" t="s">
        <v>2205</v>
      </c>
      <c r="C104" s="45" t="s">
        <v>336</v>
      </c>
      <c r="D104" s="61" t="s">
        <v>2160</v>
      </c>
      <c r="E104" s="11" t="s">
        <v>13</v>
      </c>
    </row>
    <row r="105">
      <c r="B105" s="61" t="s">
        <v>57</v>
      </c>
      <c r="C105" s="45" t="s">
        <v>158</v>
      </c>
      <c r="D105" s="61" t="s">
        <v>2206</v>
      </c>
      <c r="E105" s="11" t="s">
        <v>9</v>
      </c>
    </row>
    <row r="106">
      <c r="B106" s="61" t="s">
        <v>215</v>
      </c>
      <c r="C106" s="45" t="s">
        <v>195</v>
      </c>
      <c r="D106" s="61" t="s">
        <v>2160</v>
      </c>
      <c r="E106" s="11" t="s">
        <v>13</v>
      </c>
    </row>
    <row r="107">
      <c r="B107" s="61" t="s">
        <v>2205</v>
      </c>
      <c r="C107" s="45" t="s">
        <v>323</v>
      </c>
      <c r="D107" s="61" t="s">
        <v>2206</v>
      </c>
      <c r="E107" s="11" t="s">
        <v>9</v>
      </c>
    </row>
    <row r="108">
      <c r="B108" s="61" t="s">
        <v>215</v>
      </c>
      <c r="C108" s="45" t="s">
        <v>162</v>
      </c>
      <c r="D108" s="61" t="s">
        <v>57</v>
      </c>
      <c r="E108" s="11" t="s">
        <v>13</v>
      </c>
    </row>
    <row r="109">
      <c r="B109" s="61" t="s">
        <v>2160</v>
      </c>
      <c r="C109" s="45" t="s">
        <v>278</v>
      </c>
      <c r="D109" s="61" t="s">
        <v>2206</v>
      </c>
      <c r="E109" s="11" t="s">
        <v>9</v>
      </c>
    </row>
    <row r="110">
      <c r="B110" s="61" t="s">
        <v>2205</v>
      </c>
      <c r="C110" s="45" t="s">
        <v>193</v>
      </c>
      <c r="D110" s="61" t="s">
        <v>57</v>
      </c>
      <c r="E110" s="11" t="s">
        <v>13</v>
      </c>
    </row>
    <row r="111">
      <c r="B111" s="1" t="s">
        <v>2207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2208</v>
      </c>
      <c r="C113" s="57" t="s">
        <v>17</v>
      </c>
      <c r="D113" s="61" t="s">
        <v>2209</v>
      </c>
      <c r="E113" s="11" t="s">
        <v>9</v>
      </c>
    </row>
    <row r="114">
      <c r="B114" s="61" t="s">
        <v>1252</v>
      </c>
      <c r="C114" s="57" t="s">
        <v>155</v>
      </c>
      <c r="D114" s="61" t="s">
        <v>961</v>
      </c>
      <c r="E114" s="11" t="s">
        <v>13</v>
      </c>
    </row>
    <row r="115">
      <c r="B115" s="61" t="s">
        <v>564</v>
      </c>
      <c r="C115" s="57" t="s">
        <v>464</v>
      </c>
      <c r="D115" s="61" t="s">
        <v>2208</v>
      </c>
      <c r="E115" s="11" t="s">
        <v>9</v>
      </c>
    </row>
    <row r="116">
      <c r="B116" s="61" t="s">
        <v>1252</v>
      </c>
      <c r="C116" s="57" t="s">
        <v>547</v>
      </c>
      <c r="D116" s="61" t="s">
        <v>2209</v>
      </c>
      <c r="E116" s="11" t="s">
        <v>13</v>
      </c>
    </row>
    <row r="117">
      <c r="B117" s="61" t="s">
        <v>564</v>
      </c>
      <c r="C117" s="57" t="s">
        <v>17</v>
      </c>
      <c r="D117" s="61" t="s">
        <v>961</v>
      </c>
      <c r="E117" s="11" t="s">
        <v>9</v>
      </c>
    </row>
    <row r="118">
      <c r="B118" s="61" t="s">
        <v>1252</v>
      </c>
      <c r="C118" s="57" t="s">
        <v>16</v>
      </c>
      <c r="D118" s="61" t="s">
        <v>2208</v>
      </c>
      <c r="E118" s="11" t="s">
        <v>13</v>
      </c>
    </row>
    <row r="119">
      <c r="B119" s="61" t="s">
        <v>564</v>
      </c>
      <c r="C119" s="57" t="s">
        <v>27</v>
      </c>
      <c r="D119" s="61" t="s">
        <v>2209</v>
      </c>
      <c r="E119" s="11" t="s">
        <v>9</v>
      </c>
    </row>
    <row r="120">
      <c r="B120" s="61" t="s">
        <v>961</v>
      </c>
      <c r="C120" s="57" t="s">
        <v>18</v>
      </c>
      <c r="D120" s="61" t="s">
        <v>2208</v>
      </c>
      <c r="E120" s="11" t="s">
        <v>13</v>
      </c>
    </row>
    <row r="121">
      <c r="B121" s="61" t="s">
        <v>564</v>
      </c>
      <c r="C121" s="57" t="s">
        <v>16</v>
      </c>
      <c r="D121" s="61" t="s">
        <v>1252</v>
      </c>
      <c r="E121" s="11" t="s">
        <v>9</v>
      </c>
    </row>
    <row r="122">
      <c r="B122" s="61" t="s">
        <v>961</v>
      </c>
      <c r="C122" s="57" t="s">
        <v>22</v>
      </c>
      <c r="D122" s="61" t="s">
        <v>2209</v>
      </c>
      <c r="E122" s="11" t="s">
        <v>13</v>
      </c>
    </row>
    <row r="123">
      <c r="B123" s="61" t="s">
        <v>2209</v>
      </c>
      <c r="C123" s="57" t="s">
        <v>249</v>
      </c>
      <c r="D123" s="61" t="s">
        <v>2208</v>
      </c>
      <c r="E123" s="11" t="s">
        <v>9</v>
      </c>
    </row>
    <row r="124">
      <c r="B124" s="61" t="s">
        <v>961</v>
      </c>
      <c r="C124" s="57" t="s">
        <v>22</v>
      </c>
      <c r="D124" s="61" t="s">
        <v>1252</v>
      </c>
      <c r="E124" s="11" t="s">
        <v>13</v>
      </c>
    </row>
    <row r="125">
      <c r="B125" s="61" t="s">
        <v>2208</v>
      </c>
      <c r="C125" s="45" t="s">
        <v>17</v>
      </c>
      <c r="D125" s="61" t="s">
        <v>564</v>
      </c>
      <c r="E125" s="11" t="s">
        <v>9</v>
      </c>
    </row>
    <row r="126">
      <c r="B126" s="61" t="s">
        <v>2209</v>
      </c>
      <c r="C126" s="45" t="s">
        <v>177</v>
      </c>
      <c r="D126" s="61" t="s">
        <v>1252</v>
      </c>
      <c r="E126" s="11" t="s">
        <v>13</v>
      </c>
    </row>
    <row r="127">
      <c r="B127" s="61" t="s">
        <v>961</v>
      </c>
      <c r="C127" s="45" t="s">
        <v>162</v>
      </c>
      <c r="D127" s="61" t="s">
        <v>564</v>
      </c>
      <c r="E127" s="11" t="s">
        <v>9</v>
      </c>
    </row>
    <row r="128">
      <c r="B128" s="61" t="s">
        <v>2208</v>
      </c>
      <c r="C128" s="45" t="s">
        <v>155</v>
      </c>
      <c r="D128" s="61" t="s">
        <v>1252</v>
      </c>
      <c r="E128" s="11" t="s">
        <v>13</v>
      </c>
    </row>
    <row r="129">
      <c r="B129" s="61" t="s">
        <v>2209</v>
      </c>
      <c r="C129" s="45" t="s">
        <v>158</v>
      </c>
      <c r="D129" s="61" t="s">
        <v>564</v>
      </c>
      <c r="E129" s="11" t="s">
        <v>9</v>
      </c>
    </row>
    <row r="130">
      <c r="B130" s="61" t="s">
        <v>2208</v>
      </c>
      <c r="C130" s="45" t="s">
        <v>158</v>
      </c>
      <c r="D130" s="61" t="s">
        <v>961</v>
      </c>
      <c r="E130" s="11" t="s">
        <v>13</v>
      </c>
    </row>
    <row r="131">
      <c r="B131" s="61" t="s">
        <v>1252</v>
      </c>
      <c r="C131" s="45" t="s">
        <v>534</v>
      </c>
      <c r="D131" s="61" t="s">
        <v>564</v>
      </c>
      <c r="E131" s="11" t="s">
        <v>9</v>
      </c>
    </row>
    <row r="132">
      <c r="B132" s="61" t="s">
        <v>2209</v>
      </c>
      <c r="C132" s="45" t="s">
        <v>16</v>
      </c>
      <c r="D132" s="61" t="s">
        <v>961</v>
      </c>
      <c r="E132" s="11" t="s">
        <v>13</v>
      </c>
    </row>
    <row r="133">
      <c r="B133" s="1" t="s">
        <v>2210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1851</v>
      </c>
      <c r="C135" s="57" t="s">
        <v>237</v>
      </c>
      <c r="D135" s="61" t="s">
        <v>2211</v>
      </c>
      <c r="E135" s="11" t="s">
        <v>29</v>
      </c>
    </row>
    <row r="136">
      <c r="B136" s="61" t="s">
        <v>1907</v>
      </c>
      <c r="C136" s="57" t="s">
        <v>209</v>
      </c>
      <c r="D136" s="61" t="s">
        <v>1642</v>
      </c>
      <c r="E136" s="11" t="s">
        <v>33</v>
      </c>
    </row>
    <row r="137">
      <c r="B137" s="61" t="s">
        <v>2212</v>
      </c>
      <c r="C137" s="57" t="s">
        <v>181</v>
      </c>
      <c r="D137" s="61" t="s">
        <v>1851</v>
      </c>
      <c r="E137" s="11" t="s">
        <v>29</v>
      </c>
    </row>
    <row r="138">
      <c r="B138" s="61" t="s">
        <v>1907</v>
      </c>
      <c r="C138" s="57" t="s">
        <v>16</v>
      </c>
      <c r="D138" s="61" t="s">
        <v>2211</v>
      </c>
      <c r="E138" s="11" t="s">
        <v>33</v>
      </c>
    </row>
    <row r="139">
      <c r="B139" s="61" t="s">
        <v>2212</v>
      </c>
      <c r="C139" s="57" t="s">
        <v>23</v>
      </c>
      <c r="D139" s="61" t="s">
        <v>1642</v>
      </c>
      <c r="E139" s="11" t="s">
        <v>29</v>
      </c>
    </row>
    <row r="140">
      <c r="B140" s="61" t="s">
        <v>1907</v>
      </c>
      <c r="C140" s="57" t="s">
        <v>43</v>
      </c>
      <c r="D140" s="61" t="s">
        <v>1851</v>
      </c>
      <c r="E140" s="11" t="s">
        <v>33</v>
      </c>
    </row>
    <row r="141">
      <c r="B141" s="61" t="s">
        <v>2212</v>
      </c>
      <c r="C141" s="57" t="s">
        <v>250</v>
      </c>
      <c r="D141" s="61" t="s">
        <v>2211</v>
      </c>
      <c r="E141" s="11" t="s">
        <v>29</v>
      </c>
    </row>
    <row r="142">
      <c r="B142" s="61" t="s">
        <v>1642</v>
      </c>
      <c r="C142" s="57" t="s">
        <v>18</v>
      </c>
      <c r="D142" s="61" t="s">
        <v>1851</v>
      </c>
      <c r="E142" s="11" t="s">
        <v>33</v>
      </c>
    </row>
    <row r="143">
      <c r="B143" s="61" t="s">
        <v>2212</v>
      </c>
      <c r="C143" s="57" t="s">
        <v>7</v>
      </c>
      <c r="D143" s="61" t="s">
        <v>1907</v>
      </c>
      <c r="E143" s="11" t="s">
        <v>29</v>
      </c>
    </row>
    <row r="144">
      <c r="B144" s="61" t="s">
        <v>1642</v>
      </c>
      <c r="C144" s="57" t="s">
        <v>210</v>
      </c>
      <c r="D144" s="61" t="s">
        <v>2211</v>
      </c>
      <c r="E144" s="11" t="s">
        <v>33</v>
      </c>
    </row>
    <row r="145">
      <c r="B145" s="61" t="s">
        <v>2211</v>
      </c>
      <c r="C145" s="57" t="s">
        <v>744</v>
      </c>
      <c r="D145" s="61" t="s">
        <v>1851</v>
      </c>
      <c r="E145" s="11" t="s">
        <v>29</v>
      </c>
    </row>
    <row r="146">
      <c r="B146" s="61" t="s">
        <v>1642</v>
      </c>
      <c r="C146" s="57" t="s">
        <v>278</v>
      </c>
      <c r="D146" s="61" t="s">
        <v>1907</v>
      </c>
      <c r="E146" s="11" t="s">
        <v>33</v>
      </c>
    </row>
    <row r="147">
      <c r="B147" s="61" t="s">
        <v>1851</v>
      </c>
      <c r="C147" s="45" t="s">
        <v>227</v>
      </c>
      <c r="D147" s="61" t="s">
        <v>2212</v>
      </c>
      <c r="E147" s="11" t="s">
        <v>29</v>
      </c>
    </row>
    <row r="148">
      <c r="B148" s="61" t="s">
        <v>2211</v>
      </c>
      <c r="C148" s="45" t="s">
        <v>173</v>
      </c>
      <c r="D148" s="61" t="s">
        <v>1907</v>
      </c>
      <c r="E148" s="11" t="s">
        <v>33</v>
      </c>
    </row>
    <row r="149">
      <c r="B149" s="61" t="s">
        <v>1642</v>
      </c>
      <c r="C149" s="45" t="s">
        <v>173</v>
      </c>
      <c r="D149" s="61" t="s">
        <v>2212</v>
      </c>
      <c r="E149" s="11" t="s">
        <v>29</v>
      </c>
    </row>
    <row r="150">
      <c r="B150" s="61" t="s">
        <v>1851</v>
      </c>
      <c r="C150" s="45" t="s">
        <v>674</v>
      </c>
      <c r="D150" s="61" t="s">
        <v>1907</v>
      </c>
      <c r="E150" s="11" t="s">
        <v>33</v>
      </c>
    </row>
    <row r="151">
      <c r="B151" s="61" t="s">
        <v>2211</v>
      </c>
      <c r="C151" s="45" t="s">
        <v>19</v>
      </c>
      <c r="D151" s="61" t="s">
        <v>2212</v>
      </c>
      <c r="E151" s="11" t="s">
        <v>29</v>
      </c>
    </row>
    <row r="152">
      <c r="B152" s="61" t="s">
        <v>1851</v>
      </c>
      <c r="C152" s="45" t="s">
        <v>248</v>
      </c>
      <c r="D152" s="61" t="s">
        <v>1642</v>
      </c>
      <c r="E152" s="11" t="s">
        <v>33</v>
      </c>
    </row>
    <row r="153">
      <c r="B153" s="61" t="s">
        <v>1907</v>
      </c>
      <c r="C153" s="45" t="s">
        <v>181</v>
      </c>
      <c r="D153" s="61" t="s">
        <v>2212</v>
      </c>
      <c r="E153" s="11" t="s">
        <v>29</v>
      </c>
    </row>
    <row r="154">
      <c r="B154" s="61" t="s">
        <v>2211</v>
      </c>
      <c r="C154" s="45" t="s">
        <v>264</v>
      </c>
      <c r="D154" s="61" t="s">
        <v>1642</v>
      </c>
      <c r="E154" s="11" t="s">
        <v>33</v>
      </c>
    </row>
    <row r="155">
      <c r="B155" s="1" t="s">
        <v>2152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2213</v>
      </c>
      <c r="C157" s="81" t="s">
        <v>668</v>
      </c>
      <c r="D157" s="61" t="s">
        <v>2214</v>
      </c>
      <c r="E157" s="15" t="s">
        <v>9</v>
      </c>
    </row>
    <row r="158">
      <c r="B158" s="61" t="s">
        <v>918</v>
      </c>
      <c r="C158" s="81" t="s">
        <v>668</v>
      </c>
      <c r="D158" s="61" t="s">
        <v>1979</v>
      </c>
      <c r="E158" s="15" t="s">
        <v>13</v>
      </c>
    </row>
    <row r="159">
      <c r="B159" s="61" t="s">
        <v>2215</v>
      </c>
      <c r="C159" s="81" t="s">
        <v>668</v>
      </c>
      <c r="D159" s="61" t="s">
        <v>2213</v>
      </c>
      <c r="E159" s="15" t="s">
        <v>9</v>
      </c>
    </row>
    <row r="160">
      <c r="B160" s="61" t="s">
        <v>918</v>
      </c>
      <c r="C160" s="81" t="s">
        <v>668</v>
      </c>
      <c r="D160" s="61" t="s">
        <v>2214</v>
      </c>
      <c r="E160" s="15" t="s">
        <v>13</v>
      </c>
    </row>
    <row r="161">
      <c r="B161" s="61" t="s">
        <v>2215</v>
      </c>
      <c r="C161" s="57" t="s">
        <v>18</v>
      </c>
      <c r="D161" s="61" t="s">
        <v>1979</v>
      </c>
      <c r="E161" s="11" t="s">
        <v>9</v>
      </c>
    </row>
    <row r="162">
      <c r="B162" s="61" t="s">
        <v>918</v>
      </c>
      <c r="C162" s="57" t="s">
        <v>14</v>
      </c>
      <c r="D162" s="61" t="s">
        <v>2213</v>
      </c>
      <c r="E162" s="11" t="s">
        <v>13</v>
      </c>
    </row>
    <row r="163">
      <c r="B163" s="61" t="s">
        <v>2215</v>
      </c>
      <c r="C163" s="57" t="s">
        <v>155</v>
      </c>
      <c r="D163" s="61" t="s">
        <v>2214</v>
      </c>
      <c r="E163" s="11" t="s">
        <v>9</v>
      </c>
    </row>
    <row r="164">
      <c r="B164" s="61" t="s">
        <v>1979</v>
      </c>
      <c r="C164" s="57" t="s">
        <v>189</v>
      </c>
      <c r="D164" s="61" t="s">
        <v>2213</v>
      </c>
      <c r="E164" s="11" t="s">
        <v>13</v>
      </c>
    </row>
    <row r="165">
      <c r="B165" s="61" t="s">
        <v>2215</v>
      </c>
      <c r="C165" s="57" t="s">
        <v>24</v>
      </c>
      <c r="D165" s="61" t="s">
        <v>918</v>
      </c>
      <c r="E165" s="11" t="s">
        <v>9</v>
      </c>
    </row>
    <row r="166">
      <c r="B166" s="61" t="s">
        <v>1979</v>
      </c>
      <c r="C166" s="57" t="s">
        <v>24</v>
      </c>
      <c r="D166" s="61" t="s">
        <v>2214</v>
      </c>
      <c r="E166" s="11" t="s">
        <v>13</v>
      </c>
    </row>
    <row r="167">
      <c r="B167" s="61" t="s">
        <v>2214</v>
      </c>
      <c r="C167" s="57" t="s">
        <v>185</v>
      </c>
      <c r="D167" s="61" t="s">
        <v>2213</v>
      </c>
      <c r="E167" s="11" t="s">
        <v>9</v>
      </c>
    </row>
    <row r="168">
      <c r="B168" s="61" t="s">
        <v>1979</v>
      </c>
      <c r="C168" s="57" t="s">
        <v>158</v>
      </c>
      <c r="D168" s="61" t="s">
        <v>918</v>
      </c>
      <c r="E168" s="11" t="s">
        <v>13</v>
      </c>
    </row>
    <row r="169">
      <c r="B169" s="61" t="s">
        <v>2213</v>
      </c>
      <c r="C169" s="45" t="s">
        <v>517</v>
      </c>
      <c r="D169" s="61" t="s">
        <v>2215</v>
      </c>
      <c r="E169" s="11" t="s">
        <v>9</v>
      </c>
    </row>
    <row r="170">
      <c r="B170" s="61" t="s">
        <v>2214</v>
      </c>
      <c r="C170" s="45" t="s">
        <v>640</v>
      </c>
      <c r="D170" s="61" t="s">
        <v>918</v>
      </c>
      <c r="E170" s="11" t="s">
        <v>13</v>
      </c>
    </row>
    <row r="171">
      <c r="B171" s="61" t="s">
        <v>1979</v>
      </c>
      <c r="C171" s="45" t="s">
        <v>291</v>
      </c>
      <c r="D171" s="61" t="s">
        <v>2215</v>
      </c>
      <c r="E171" s="11" t="s">
        <v>9</v>
      </c>
    </row>
    <row r="172">
      <c r="B172" s="61" t="s">
        <v>2213</v>
      </c>
      <c r="C172" s="45" t="s">
        <v>525</v>
      </c>
      <c r="D172" s="61" t="s">
        <v>918</v>
      </c>
      <c r="E172" s="11" t="s">
        <v>13</v>
      </c>
    </row>
    <row r="173">
      <c r="B173" s="61" t="s">
        <v>2214</v>
      </c>
      <c r="C173" s="45" t="s">
        <v>218</v>
      </c>
      <c r="D173" s="61" t="s">
        <v>2215</v>
      </c>
      <c r="E173" s="11" t="s">
        <v>9</v>
      </c>
    </row>
    <row r="174">
      <c r="B174" s="61" t="s">
        <v>2213</v>
      </c>
      <c r="C174" s="45" t="s">
        <v>173</v>
      </c>
      <c r="D174" s="61" t="s">
        <v>1979</v>
      </c>
      <c r="E174" s="11" t="s">
        <v>13</v>
      </c>
    </row>
    <row r="175">
      <c r="B175" s="61" t="s">
        <v>918</v>
      </c>
      <c r="C175" s="45" t="s">
        <v>181</v>
      </c>
      <c r="D175" s="61" t="s">
        <v>2215</v>
      </c>
      <c r="E175" s="11" t="s">
        <v>9</v>
      </c>
    </row>
    <row r="176">
      <c r="B176" s="61" t="s">
        <v>2214</v>
      </c>
      <c r="C176" s="45" t="s">
        <v>210</v>
      </c>
      <c r="D176" s="61" t="s">
        <v>1979</v>
      </c>
      <c r="E176" s="11" t="s">
        <v>13</v>
      </c>
    </row>
    <row r="177">
      <c r="B177" s="1" t="s">
        <v>2216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1246</v>
      </c>
      <c r="C179" s="57" t="s">
        <v>34</v>
      </c>
      <c r="D179" s="61" t="s">
        <v>438</v>
      </c>
      <c r="E179" s="11" t="s">
        <v>29</v>
      </c>
    </row>
    <row r="180">
      <c r="B180" s="61" t="s">
        <v>1180</v>
      </c>
      <c r="C180" s="57" t="s">
        <v>19</v>
      </c>
      <c r="D180" s="61" t="s">
        <v>2217</v>
      </c>
      <c r="E180" s="11" t="s">
        <v>33</v>
      </c>
    </row>
    <row r="181">
      <c r="B181" s="61" t="s">
        <v>1990</v>
      </c>
      <c r="C181" s="57" t="s">
        <v>487</v>
      </c>
      <c r="D181" s="61" t="s">
        <v>1246</v>
      </c>
      <c r="E181" s="11" t="s">
        <v>29</v>
      </c>
    </row>
    <row r="182">
      <c r="B182" s="61" t="s">
        <v>1180</v>
      </c>
      <c r="C182" s="57" t="s">
        <v>18</v>
      </c>
      <c r="D182" s="61" t="s">
        <v>438</v>
      </c>
      <c r="E182" s="11" t="s">
        <v>33</v>
      </c>
    </row>
    <row r="183">
      <c r="B183" s="61" t="s">
        <v>1990</v>
      </c>
      <c r="C183" s="57" t="s">
        <v>1846</v>
      </c>
      <c r="D183" s="61" t="s">
        <v>2217</v>
      </c>
      <c r="E183" s="11" t="s">
        <v>29</v>
      </c>
    </row>
    <row r="184">
      <c r="B184" s="61" t="s">
        <v>1180</v>
      </c>
      <c r="C184" s="57" t="s">
        <v>256</v>
      </c>
      <c r="D184" s="61" t="s">
        <v>1246</v>
      </c>
      <c r="E184" s="11" t="s">
        <v>33</v>
      </c>
    </row>
    <row r="185">
      <c r="B185" s="61" t="s">
        <v>1990</v>
      </c>
      <c r="C185" s="57" t="s">
        <v>394</v>
      </c>
      <c r="D185" s="61" t="s">
        <v>438</v>
      </c>
      <c r="E185" s="11" t="s">
        <v>29</v>
      </c>
    </row>
    <row r="186">
      <c r="B186" s="61" t="s">
        <v>2217</v>
      </c>
      <c r="C186" s="57" t="s">
        <v>23</v>
      </c>
      <c r="D186" s="61" t="s">
        <v>1246</v>
      </c>
      <c r="E186" s="11" t="s">
        <v>33</v>
      </c>
    </row>
    <row r="187">
      <c r="B187" s="61" t="s">
        <v>1990</v>
      </c>
      <c r="C187" s="81" t="s">
        <v>668</v>
      </c>
      <c r="D187" s="61" t="s">
        <v>1180</v>
      </c>
      <c r="E187" s="15" t="s">
        <v>29</v>
      </c>
    </row>
    <row r="188">
      <c r="B188" s="61" t="s">
        <v>2217</v>
      </c>
      <c r="C188" s="81" t="s">
        <v>668</v>
      </c>
      <c r="D188" s="61" t="s">
        <v>438</v>
      </c>
      <c r="E188" s="15" t="s">
        <v>33</v>
      </c>
    </row>
    <row r="189">
      <c r="B189" s="61" t="s">
        <v>438</v>
      </c>
      <c r="C189" s="81" t="s">
        <v>668</v>
      </c>
      <c r="D189" s="61" t="s">
        <v>1246</v>
      </c>
      <c r="E189" s="15" t="s">
        <v>29</v>
      </c>
    </row>
    <row r="190">
      <c r="B190" s="61" t="s">
        <v>2217</v>
      </c>
      <c r="C190" s="81" t="s">
        <v>668</v>
      </c>
      <c r="D190" s="61" t="s">
        <v>1180</v>
      </c>
      <c r="E190" s="15" t="s">
        <v>33</v>
      </c>
    </row>
    <row r="191">
      <c r="B191" s="61" t="s">
        <v>1246</v>
      </c>
      <c r="C191" s="45" t="s">
        <v>209</v>
      </c>
      <c r="D191" s="61" t="s">
        <v>1990</v>
      </c>
      <c r="E191" s="11" t="s">
        <v>29</v>
      </c>
    </row>
    <row r="192">
      <c r="B192" s="61" t="s">
        <v>438</v>
      </c>
      <c r="C192" s="45" t="s">
        <v>244</v>
      </c>
      <c r="D192" s="61" t="s">
        <v>1180</v>
      </c>
      <c r="E192" s="11" t="s">
        <v>33</v>
      </c>
    </row>
    <row r="193">
      <c r="B193" s="61" t="s">
        <v>2217</v>
      </c>
      <c r="C193" s="45" t="s">
        <v>173</v>
      </c>
      <c r="D193" s="61" t="s">
        <v>1990</v>
      </c>
      <c r="E193" s="11" t="s">
        <v>29</v>
      </c>
    </row>
    <row r="194">
      <c r="B194" s="61" t="s">
        <v>1246</v>
      </c>
      <c r="C194" s="45" t="s">
        <v>209</v>
      </c>
      <c r="D194" s="61" t="s">
        <v>1180</v>
      </c>
      <c r="E194" s="11" t="s">
        <v>33</v>
      </c>
    </row>
    <row r="195">
      <c r="B195" s="61" t="s">
        <v>438</v>
      </c>
      <c r="C195" s="45" t="s">
        <v>36</v>
      </c>
      <c r="D195" s="61" t="s">
        <v>1990</v>
      </c>
      <c r="E195" s="11" t="s">
        <v>29</v>
      </c>
    </row>
    <row r="196">
      <c r="B196" s="61" t="s">
        <v>1246</v>
      </c>
      <c r="C196" s="45" t="s">
        <v>20</v>
      </c>
      <c r="D196" s="61" t="s">
        <v>2217</v>
      </c>
      <c r="E196" s="11" t="s">
        <v>33</v>
      </c>
    </row>
    <row r="197">
      <c r="B197" s="61" t="s">
        <v>1180</v>
      </c>
      <c r="C197" s="45" t="s">
        <v>316</v>
      </c>
      <c r="D197" s="61" t="s">
        <v>1990</v>
      </c>
      <c r="E197" s="11" t="s">
        <v>29</v>
      </c>
    </row>
    <row r="198">
      <c r="B198" s="61" t="s">
        <v>438</v>
      </c>
      <c r="C198" s="45" t="s">
        <v>182</v>
      </c>
      <c r="D198" s="61" t="s">
        <v>2217</v>
      </c>
      <c r="E198" s="11" t="s">
        <v>33</v>
      </c>
    </row>
    <row r="199">
      <c r="B199" s="96" t="s">
        <v>2218</v>
      </c>
      <c r="C199" s="2"/>
      <c r="D199" s="3"/>
      <c r="E199" s="15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2219</v>
      </c>
      <c r="C201" s="45" t="s">
        <v>248</v>
      </c>
      <c r="D201" s="61" t="s">
        <v>1240</v>
      </c>
      <c r="E201" s="11" t="s">
        <v>29</v>
      </c>
    </row>
    <row r="202">
      <c r="B202" s="61" t="s">
        <v>2220</v>
      </c>
      <c r="C202" s="45" t="s">
        <v>208</v>
      </c>
      <c r="D202" s="61" t="s">
        <v>1674</v>
      </c>
      <c r="E202" s="11" t="s">
        <v>33</v>
      </c>
    </row>
    <row r="203">
      <c r="B203" s="61" t="s">
        <v>2221</v>
      </c>
      <c r="C203" s="45" t="s">
        <v>181</v>
      </c>
      <c r="D203" s="61" t="s">
        <v>2219</v>
      </c>
      <c r="E203" s="11" t="s">
        <v>29</v>
      </c>
    </row>
    <row r="204">
      <c r="B204" s="61" t="s">
        <v>2220</v>
      </c>
      <c r="C204" s="45" t="s">
        <v>18</v>
      </c>
      <c r="D204" s="61" t="s">
        <v>1240</v>
      </c>
      <c r="E204" s="11" t="s">
        <v>33</v>
      </c>
    </row>
    <row r="205">
      <c r="B205" s="61" t="s">
        <v>2221</v>
      </c>
      <c r="C205" s="45" t="s">
        <v>23</v>
      </c>
      <c r="D205" s="61" t="s">
        <v>1674</v>
      </c>
      <c r="E205" s="11" t="s">
        <v>29</v>
      </c>
    </row>
    <row r="206">
      <c r="B206" s="61" t="s">
        <v>2220</v>
      </c>
      <c r="C206" s="45" t="s">
        <v>208</v>
      </c>
      <c r="D206" s="61" t="s">
        <v>2219</v>
      </c>
      <c r="E206" s="11" t="s">
        <v>33</v>
      </c>
    </row>
    <row r="207">
      <c r="B207" s="61" t="s">
        <v>2221</v>
      </c>
      <c r="C207" s="45" t="s">
        <v>292</v>
      </c>
      <c r="D207" s="61" t="s">
        <v>1240</v>
      </c>
      <c r="E207" s="11" t="s">
        <v>29</v>
      </c>
      <c r="N207" s="50" t="s">
        <v>861</v>
      </c>
    </row>
    <row r="208">
      <c r="B208" s="61" t="s">
        <v>1674</v>
      </c>
      <c r="C208" s="45" t="s">
        <v>18</v>
      </c>
      <c r="D208" s="61" t="s">
        <v>2219</v>
      </c>
      <c r="E208" s="11" t="s">
        <v>33</v>
      </c>
    </row>
    <row r="209">
      <c r="B209" s="61" t="s">
        <v>2221</v>
      </c>
      <c r="C209" s="45" t="s">
        <v>163</v>
      </c>
      <c r="D209" s="61" t="s">
        <v>2220</v>
      </c>
      <c r="E209" s="11" t="s">
        <v>29</v>
      </c>
    </row>
    <row r="210">
      <c r="B210" s="61" t="s">
        <v>1674</v>
      </c>
      <c r="C210" s="45" t="s">
        <v>225</v>
      </c>
      <c r="D210" s="61" t="s">
        <v>1240</v>
      </c>
      <c r="E210" s="11" t="s">
        <v>33</v>
      </c>
    </row>
    <row r="211">
      <c r="B211" s="61" t="s">
        <v>1240</v>
      </c>
      <c r="C211" s="45" t="s">
        <v>2222</v>
      </c>
      <c r="D211" s="61" t="s">
        <v>2219</v>
      </c>
      <c r="E211" s="11" t="s">
        <v>29</v>
      </c>
    </row>
    <row r="212">
      <c r="B212" s="61" t="s">
        <v>1674</v>
      </c>
      <c r="C212" s="45" t="s">
        <v>278</v>
      </c>
      <c r="D212" s="61" t="s">
        <v>2220</v>
      </c>
      <c r="E212" s="11" t="s">
        <v>33</v>
      </c>
    </row>
    <row r="213">
      <c r="B213" s="61" t="s">
        <v>2219</v>
      </c>
      <c r="C213" s="45" t="s">
        <v>11</v>
      </c>
      <c r="D213" s="61" t="s">
        <v>2221</v>
      </c>
      <c r="E213" s="11" t="s">
        <v>29</v>
      </c>
    </row>
    <row r="214">
      <c r="B214" s="61" t="s">
        <v>1240</v>
      </c>
      <c r="C214" s="45" t="s">
        <v>39</v>
      </c>
      <c r="D214" s="61" t="s">
        <v>2220</v>
      </c>
      <c r="E214" s="11" t="s">
        <v>33</v>
      </c>
    </row>
    <row r="215">
      <c r="B215" s="61" t="s">
        <v>1674</v>
      </c>
      <c r="C215" s="45" t="s">
        <v>173</v>
      </c>
      <c r="D215" s="61" t="s">
        <v>2221</v>
      </c>
      <c r="E215" s="11" t="s">
        <v>29</v>
      </c>
    </row>
    <row r="216">
      <c r="B216" s="61" t="s">
        <v>2219</v>
      </c>
      <c r="C216" s="45" t="s">
        <v>248</v>
      </c>
      <c r="D216" s="61" t="s">
        <v>2220</v>
      </c>
      <c r="E216" s="11" t="s">
        <v>33</v>
      </c>
    </row>
    <row r="217">
      <c r="B217" s="61" t="s">
        <v>1240</v>
      </c>
      <c r="C217" s="45" t="s">
        <v>187</v>
      </c>
      <c r="D217" s="61" t="s">
        <v>2221</v>
      </c>
      <c r="E217" s="11" t="s">
        <v>29</v>
      </c>
    </row>
    <row r="218">
      <c r="B218" s="61" t="s">
        <v>2219</v>
      </c>
      <c r="C218" s="45" t="s">
        <v>351</v>
      </c>
      <c r="D218" s="61" t="s">
        <v>1674</v>
      </c>
      <c r="E218" s="11" t="s">
        <v>33</v>
      </c>
    </row>
    <row r="219">
      <c r="B219" s="61" t="s">
        <v>2220</v>
      </c>
      <c r="C219" s="45" t="s">
        <v>173</v>
      </c>
      <c r="D219" s="61" t="s">
        <v>2221</v>
      </c>
      <c r="E219" s="11" t="s">
        <v>29</v>
      </c>
    </row>
    <row r="220">
      <c r="B220" s="61" t="s">
        <v>1240</v>
      </c>
      <c r="C220" s="45" t="s">
        <v>216</v>
      </c>
      <c r="D220" s="61" t="s">
        <v>1674</v>
      </c>
      <c r="E220" s="11" t="s">
        <v>33</v>
      </c>
    </row>
    <row r="221">
      <c r="B221" s="52" t="s">
        <v>1560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2223</v>
      </c>
      <c r="C223" s="57" t="s">
        <v>291</v>
      </c>
      <c r="D223" s="62" t="s">
        <v>2224</v>
      </c>
      <c r="E223" s="11" t="s">
        <v>9</v>
      </c>
    </row>
    <row r="224">
      <c r="B224" s="62" t="s">
        <v>2225</v>
      </c>
      <c r="C224" s="57" t="s">
        <v>302</v>
      </c>
      <c r="D224" s="62" t="s">
        <v>2226</v>
      </c>
      <c r="E224" s="11" t="s">
        <v>13</v>
      </c>
    </row>
    <row r="225">
      <c r="B225" s="62" t="s">
        <v>2227</v>
      </c>
      <c r="C225" s="57" t="s">
        <v>18</v>
      </c>
      <c r="D225" s="62" t="s">
        <v>2223</v>
      </c>
      <c r="E225" s="11" t="s">
        <v>9</v>
      </c>
    </row>
    <row r="226">
      <c r="B226" s="62" t="s">
        <v>2225</v>
      </c>
      <c r="C226" s="57" t="s">
        <v>158</v>
      </c>
      <c r="D226" s="62" t="s">
        <v>2224</v>
      </c>
      <c r="E226" s="11" t="s">
        <v>13</v>
      </c>
    </row>
    <row r="227">
      <c r="B227" s="62" t="s">
        <v>2227</v>
      </c>
      <c r="C227" s="57" t="s">
        <v>43</v>
      </c>
      <c r="D227" s="62" t="s">
        <v>2226</v>
      </c>
      <c r="E227" s="11" t="s">
        <v>9</v>
      </c>
    </row>
    <row r="228">
      <c r="B228" s="62" t="s">
        <v>2225</v>
      </c>
      <c r="C228" s="57" t="s">
        <v>220</v>
      </c>
      <c r="D228" s="62" t="s">
        <v>2223</v>
      </c>
      <c r="E228" s="11" t="s">
        <v>13</v>
      </c>
    </row>
    <row r="229">
      <c r="B229" s="62" t="s">
        <v>2227</v>
      </c>
      <c r="C229" s="57" t="s">
        <v>2228</v>
      </c>
      <c r="D229" s="62" t="s">
        <v>2224</v>
      </c>
      <c r="E229" s="11" t="s">
        <v>9</v>
      </c>
    </row>
    <row r="230">
      <c r="B230" s="62" t="s">
        <v>2226</v>
      </c>
      <c r="C230" s="57" t="s">
        <v>155</v>
      </c>
      <c r="D230" s="62" t="s">
        <v>2223</v>
      </c>
      <c r="E230" s="11" t="s">
        <v>13</v>
      </c>
    </row>
    <row r="231">
      <c r="B231" s="62" t="s">
        <v>2227</v>
      </c>
      <c r="C231" s="57" t="s">
        <v>193</v>
      </c>
      <c r="D231" s="62" t="s">
        <v>2225</v>
      </c>
      <c r="E231" s="11" t="s">
        <v>9</v>
      </c>
    </row>
    <row r="232">
      <c r="B232" s="62" t="s">
        <v>2226</v>
      </c>
      <c r="C232" s="57" t="s">
        <v>24</v>
      </c>
      <c r="D232" s="62" t="s">
        <v>2224</v>
      </c>
      <c r="E232" s="11" t="s">
        <v>13</v>
      </c>
    </row>
    <row r="233">
      <c r="B233" s="62" t="s">
        <v>2224</v>
      </c>
      <c r="C233" s="57" t="s">
        <v>357</v>
      </c>
      <c r="D233" s="62" t="s">
        <v>2223</v>
      </c>
      <c r="E233" s="11" t="s">
        <v>9</v>
      </c>
    </row>
    <row r="234">
      <c r="B234" s="62" t="s">
        <v>2226</v>
      </c>
      <c r="C234" s="57" t="s">
        <v>158</v>
      </c>
      <c r="D234" s="62" t="s">
        <v>2225</v>
      </c>
      <c r="E234" s="11" t="s">
        <v>13</v>
      </c>
    </row>
    <row r="235">
      <c r="B235" s="62" t="s">
        <v>2223</v>
      </c>
      <c r="C235" s="45" t="s">
        <v>184</v>
      </c>
      <c r="D235" s="62" t="s">
        <v>2227</v>
      </c>
      <c r="E235" s="11" t="s">
        <v>9</v>
      </c>
    </row>
    <row r="236">
      <c r="B236" s="62" t="s">
        <v>2224</v>
      </c>
      <c r="C236" s="45" t="s">
        <v>162</v>
      </c>
      <c r="D236" s="62" t="s">
        <v>2225</v>
      </c>
      <c r="E236" s="11" t="s">
        <v>13</v>
      </c>
    </row>
    <row r="237">
      <c r="B237" s="62" t="s">
        <v>2226</v>
      </c>
      <c r="C237" s="45" t="s">
        <v>23</v>
      </c>
      <c r="D237" s="62" t="s">
        <v>2227</v>
      </c>
      <c r="E237" s="11" t="s">
        <v>9</v>
      </c>
    </row>
    <row r="238">
      <c r="B238" s="62" t="s">
        <v>2223</v>
      </c>
      <c r="C238" s="45" t="s">
        <v>193</v>
      </c>
      <c r="D238" s="62" t="s">
        <v>2225</v>
      </c>
      <c r="E238" s="11" t="s">
        <v>13</v>
      </c>
    </row>
    <row r="239">
      <c r="B239" s="62" t="s">
        <v>2224</v>
      </c>
      <c r="C239" s="45" t="s">
        <v>554</v>
      </c>
      <c r="D239" s="62" t="s">
        <v>2227</v>
      </c>
      <c r="E239" s="11" t="s">
        <v>9</v>
      </c>
    </row>
    <row r="240">
      <c r="B240" s="62" t="s">
        <v>2223</v>
      </c>
      <c r="C240" s="45" t="s">
        <v>790</v>
      </c>
      <c r="D240" s="62" t="s">
        <v>2226</v>
      </c>
      <c r="E240" s="11" t="s">
        <v>13</v>
      </c>
    </row>
    <row r="241">
      <c r="B241" s="62" t="s">
        <v>2225</v>
      </c>
      <c r="C241" s="45" t="s">
        <v>251</v>
      </c>
      <c r="D241" s="62" t="s">
        <v>2227</v>
      </c>
      <c r="E241" s="11" t="s">
        <v>9</v>
      </c>
    </row>
    <row r="242">
      <c r="B242" s="62" t="s">
        <v>2224</v>
      </c>
      <c r="C242" s="45" t="s">
        <v>251</v>
      </c>
      <c r="D242" s="62" t="s">
        <v>2226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1636</v>
      </c>
      <c r="C245" s="45" t="s">
        <v>898</v>
      </c>
      <c r="D245" s="62" t="s">
        <v>2229</v>
      </c>
      <c r="E245" s="11" t="s">
        <v>9</v>
      </c>
    </row>
    <row r="246">
      <c r="B246" s="62" t="s">
        <v>1692</v>
      </c>
      <c r="C246" s="45" t="s">
        <v>43</v>
      </c>
      <c r="D246" s="62" t="s">
        <v>1693</v>
      </c>
      <c r="E246" s="11" t="s">
        <v>13</v>
      </c>
    </row>
    <row r="247">
      <c r="B247" s="62" t="s">
        <v>1635</v>
      </c>
      <c r="C247" s="45" t="s">
        <v>208</v>
      </c>
      <c r="D247" s="62" t="s">
        <v>1636</v>
      </c>
      <c r="E247" s="11" t="s">
        <v>9</v>
      </c>
    </row>
    <row r="248">
      <c r="B248" s="62" t="s">
        <v>1692</v>
      </c>
      <c r="C248" s="45" t="s">
        <v>449</v>
      </c>
      <c r="D248" s="62" t="s">
        <v>2229</v>
      </c>
      <c r="E248" s="11" t="s">
        <v>13</v>
      </c>
    </row>
    <row r="249">
      <c r="B249" s="62" t="s">
        <v>1635</v>
      </c>
      <c r="C249" s="45" t="s">
        <v>195</v>
      </c>
      <c r="D249" s="62" t="s">
        <v>1693</v>
      </c>
      <c r="E249" s="11" t="s">
        <v>9</v>
      </c>
    </row>
    <row r="250">
      <c r="B250" s="62" t="s">
        <v>1692</v>
      </c>
      <c r="C250" s="45" t="s">
        <v>155</v>
      </c>
      <c r="D250" s="62" t="s">
        <v>1636</v>
      </c>
      <c r="E250" s="11" t="s">
        <v>13</v>
      </c>
    </row>
    <row r="251">
      <c r="B251" s="62" t="s">
        <v>1635</v>
      </c>
      <c r="C251" s="45" t="s">
        <v>38</v>
      </c>
      <c r="D251" s="62" t="s">
        <v>2229</v>
      </c>
      <c r="E251" s="11" t="s">
        <v>9</v>
      </c>
    </row>
    <row r="252">
      <c r="B252" s="62" t="s">
        <v>1693</v>
      </c>
      <c r="C252" s="45" t="s">
        <v>163</v>
      </c>
      <c r="D252" s="62" t="s">
        <v>1636</v>
      </c>
      <c r="E252" s="11" t="s">
        <v>13</v>
      </c>
    </row>
    <row r="253">
      <c r="B253" s="62" t="s">
        <v>1635</v>
      </c>
      <c r="C253" s="45" t="s">
        <v>194</v>
      </c>
      <c r="D253" s="62" t="s">
        <v>1692</v>
      </c>
      <c r="E253" s="11" t="s">
        <v>9</v>
      </c>
    </row>
    <row r="254">
      <c r="B254" s="62" t="s">
        <v>1693</v>
      </c>
      <c r="C254" s="45" t="s">
        <v>7</v>
      </c>
      <c r="D254" s="62" t="s">
        <v>2229</v>
      </c>
      <c r="E254" s="11" t="s">
        <v>13</v>
      </c>
    </row>
    <row r="255">
      <c r="B255" s="62" t="s">
        <v>2229</v>
      </c>
      <c r="C255" s="45" t="s">
        <v>525</v>
      </c>
      <c r="D255" s="62" t="s">
        <v>1636</v>
      </c>
      <c r="E255" s="11" t="s">
        <v>9</v>
      </c>
    </row>
    <row r="256">
      <c r="B256" s="62" t="s">
        <v>1693</v>
      </c>
      <c r="C256" s="45" t="s">
        <v>18</v>
      </c>
      <c r="D256" s="62" t="s">
        <v>1692</v>
      </c>
      <c r="E256" s="11" t="s">
        <v>13</v>
      </c>
    </row>
    <row r="257">
      <c r="B257" s="62" t="s">
        <v>1636</v>
      </c>
      <c r="C257" s="45" t="s">
        <v>344</v>
      </c>
      <c r="D257" s="62" t="s">
        <v>1635</v>
      </c>
      <c r="E257" s="11" t="s">
        <v>9</v>
      </c>
    </row>
    <row r="258">
      <c r="B258" s="62" t="s">
        <v>2229</v>
      </c>
      <c r="C258" s="45" t="s">
        <v>219</v>
      </c>
      <c r="D258" s="62" t="s">
        <v>1692</v>
      </c>
      <c r="E258" s="11" t="s">
        <v>13</v>
      </c>
    </row>
    <row r="259">
      <c r="B259" s="62" t="s">
        <v>1693</v>
      </c>
      <c r="C259" s="45" t="s">
        <v>158</v>
      </c>
      <c r="D259" s="62" t="s">
        <v>1635</v>
      </c>
      <c r="E259" s="11" t="s">
        <v>9</v>
      </c>
    </row>
    <row r="260">
      <c r="B260" s="62" t="s">
        <v>1636</v>
      </c>
      <c r="C260" s="45" t="s">
        <v>433</v>
      </c>
      <c r="D260" s="62" t="s">
        <v>1692</v>
      </c>
      <c r="E260" s="11" t="s">
        <v>13</v>
      </c>
    </row>
    <row r="261">
      <c r="B261" s="62" t="s">
        <v>2229</v>
      </c>
      <c r="C261" s="45" t="s">
        <v>554</v>
      </c>
      <c r="D261" s="62" t="s">
        <v>1635</v>
      </c>
      <c r="E261" s="11" t="s">
        <v>9</v>
      </c>
    </row>
    <row r="262">
      <c r="B262" s="62" t="s">
        <v>1636</v>
      </c>
      <c r="C262" s="45" t="s">
        <v>163</v>
      </c>
      <c r="D262" s="62" t="s">
        <v>1693</v>
      </c>
      <c r="E262" s="11" t="s">
        <v>13</v>
      </c>
    </row>
    <row r="263">
      <c r="B263" s="62" t="s">
        <v>1692</v>
      </c>
      <c r="C263" s="45" t="s">
        <v>171</v>
      </c>
      <c r="D263" s="62" t="s">
        <v>1635</v>
      </c>
      <c r="E263" s="11" t="s">
        <v>9</v>
      </c>
    </row>
    <row r="264">
      <c r="B264" s="62" t="s">
        <v>2229</v>
      </c>
      <c r="C264" s="45" t="s">
        <v>163</v>
      </c>
      <c r="D264" s="62" t="s">
        <v>1693</v>
      </c>
      <c r="E264" s="11" t="s">
        <v>13</v>
      </c>
    </row>
    <row r="265">
      <c r="B265" s="52" t="s">
        <v>2230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2231</v>
      </c>
      <c r="C267" s="45" t="s">
        <v>380</v>
      </c>
      <c r="D267" s="62" t="s">
        <v>1480</v>
      </c>
      <c r="E267" s="11" t="s">
        <v>29</v>
      </c>
    </row>
    <row r="268">
      <c r="B268" s="62" t="s">
        <v>2113</v>
      </c>
      <c r="C268" s="45" t="s">
        <v>193</v>
      </c>
      <c r="D268" s="62" t="s">
        <v>2232</v>
      </c>
      <c r="E268" s="11" t="s">
        <v>33</v>
      </c>
      <c r="L268" s="50" t="s">
        <v>861</v>
      </c>
    </row>
    <row r="269">
      <c r="B269" s="62" t="s">
        <v>2233</v>
      </c>
      <c r="C269" s="45" t="s">
        <v>173</v>
      </c>
      <c r="D269" s="62" t="s">
        <v>2231</v>
      </c>
      <c r="E269" s="11" t="s">
        <v>29</v>
      </c>
    </row>
    <row r="270">
      <c r="B270" s="62" t="s">
        <v>2113</v>
      </c>
      <c r="C270" s="45" t="s">
        <v>237</v>
      </c>
      <c r="D270" s="62" t="s">
        <v>1480</v>
      </c>
      <c r="E270" s="11" t="s">
        <v>33</v>
      </c>
    </row>
    <row r="271">
      <c r="B271" s="62" t="s">
        <v>2233</v>
      </c>
      <c r="C271" s="45" t="s">
        <v>171</v>
      </c>
      <c r="D271" s="62" t="s">
        <v>2232</v>
      </c>
      <c r="E271" s="11" t="s">
        <v>29</v>
      </c>
    </row>
    <row r="272">
      <c r="B272" s="62" t="s">
        <v>2113</v>
      </c>
      <c r="C272" s="45" t="s">
        <v>357</v>
      </c>
      <c r="D272" s="62" t="s">
        <v>2231</v>
      </c>
      <c r="E272" s="11" t="s">
        <v>33</v>
      </c>
    </row>
    <row r="273">
      <c r="B273" s="62" t="s">
        <v>2233</v>
      </c>
      <c r="C273" s="45" t="s">
        <v>573</v>
      </c>
      <c r="D273" s="62" t="s">
        <v>1480</v>
      </c>
      <c r="E273" s="11" t="s">
        <v>29</v>
      </c>
    </row>
    <row r="274">
      <c r="B274" s="62" t="s">
        <v>2232</v>
      </c>
      <c r="C274" s="45" t="s">
        <v>19</v>
      </c>
      <c r="D274" s="62" t="s">
        <v>2231</v>
      </c>
      <c r="E274" s="11" t="s">
        <v>33</v>
      </c>
    </row>
    <row r="275">
      <c r="B275" s="62" t="s">
        <v>2233</v>
      </c>
      <c r="C275" s="45" t="s">
        <v>251</v>
      </c>
      <c r="D275" s="62" t="s">
        <v>2113</v>
      </c>
      <c r="E275" s="11" t="s">
        <v>29</v>
      </c>
    </row>
    <row r="276">
      <c r="B276" s="62" t="s">
        <v>2232</v>
      </c>
      <c r="C276" s="45" t="s">
        <v>454</v>
      </c>
      <c r="D276" s="62" t="s">
        <v>1480</v>
      </c>
      <c r="E276" s="11" t="s">
        <v>33</v>
      </c>
    </row>
    <row r="277">
      <c r="B277" s="62" t="s">
        <v>1480</v>
      </c>
      <c r="C277" s="45" t="s">
        <v>567</v>
      </c>
      <c r="D277" s="62" t="s">
        <v>2231</v>
      </c>
      <c r="E277" s="11" t="s">
        <v>29</v>
      </c>
    </row>
    <row r="278">
      <c r="B278" s="62" t="s">
        <v>2232</v>
      </c>
      <c r="C278" s="45" t="s">
        <v>7</v>
      </c>
      <c r="D278" s="62" t="s">
        <v>2113</v>
      </c>
      <c r="E278" s="11" t="s">
        <v>33</v>
      </c>
    </row>
    <row r="279">
      <c r="B279" s="62" t="s">
        <v>2231</v>
      </c>
      <c r="C279" s="45" t="s">
        <v>237</v>
      </c>
      <c r="D279" s="62" t="s">
        <v>2233</v>
      </c>
      <c r="E279" s="11" t="s">
        <v>29</v>
      </c>
    </row>
    <row r="280">
      <c r="B280" s="62" t="s">
        <v>1480</v>
      </c>
      <c r="C280" s="45" t="s">
        <v>220</v>
      </c>
      <c r="D280" s="62" t="s">
        <v>2113</v>
      </c>
      <c r="E280" s="11" t="s">
        <v>33</v>
      </c>
    </row>
    <row r="281">
      <c r="B281" s="62" t="s">
        <v>2232</v>
      </c>
      <c r="C281" s="45" t="s">
        <v>225</v>
      </c>
      <c r="D281" s="62" t="s">
        <v>2233</v>
      </c>
      <c r="E281" s="11" t="s">
        <v>29</v>
      </c>
    </row>
    <row r="282">
      <c r="B282" s="62" t="s">
        <v>2231</v>
      </c>
      <c r="C282" s="45" t="s">
        <v>164</v>
      </c>
      <c r="D282" s="62" t="s">
        <v>2113</v>
      </c>
      <c r="E282" s="11" t="s">
        <v>33</v>
      </c>
    </row>
    <row r="283">
      <c r="B283" s="62" t="s">
        <v>1480</v>
      </c>
      <c r="C283" s="45" t="s">
        <v>19</v>
      </c>
      <c r="D283" s="62" t="s">
        <v>2233</v>
      </c>
      <c r="E283" s="11" t="s">
        <v>29</v>
      </c>
    </row>
    <row r="284">
      <c r="B284" s="62" t="s">
        <v>2231</v>
      </c>
      <c r="C284" s="45" t="s">
        <v>21</v>
      </c>
      <c r="D284" s="62" t="s">
        <v>2232</v>
      </c>
      <c r="E284" s="11" t="s">
        <v>33</v>
      </c>
    </row>
    <row r="285">
      <c r="B285" s="62" t="s">
        <v>2113</v>
      </c>
      <c r="C285" s="45" t="s">
        <v>18</v>
      </c>
      <c r="D285" s="62" t="s">
        <v>2233</v>
      </c>
      <c r="E285" s="11" t="s">
        <v>29</v>
      </c>
    </row>
    <row r="286">
      <c r="B286" s="62" t="s">
        <v>1480</v>
      </c>
      <c r="C286" s="45" t="s">
        <v>368</v>
      </c>
      <c r="D286" s="62" t="s">
        <v>2232</v>
      </c>
      <c r="E286" s="11" t="s">
        <v>33</v>
      </c>
    </row>
    <row r="287">
      <c r="B287" s="52" t="s">
        <v>2234</v>
      </c>
      <c r="C287" s="2"/>
      <c r="D287" s="3"/>
      <c r="E287" s="53"/>
      <c r="G287" s="50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2235</v>
      </c>
      <c r="C289" s="45" t="s">
        <v>2236</v>
      </c>
      <c r="D289" s="62" t="s">
        <v>2237</v>
      </c>
      <c r="E289" s="11" t="s">
        <v>29</v>
      </c>
    </row>
    <row r="290">
      <c r="B290" s="62" t="s">
        <v>2238</v>
      </c>
      <c r="C290" s="45" t="s">
        <v>549</v>
      </c>
      <c r="D290" s="62" t="s">
        <v>2239</v>
      </c>
      <c r="E290" s="11" t="s">
        <v>33</v>
      </c>
    </row>
    <row r="291">
      <c r="B291" s="62" t="s">
        <v>2061</v>
      </c>
      <c r="C291" s="45" t="s">
        <v>279</v>
      </c>
      <c r="D291" s="62" t="s">
        <v>2235</v>
      </c>
      <c r="E291" s="11" t="s">
        <v>29</v>
      </c>
    </row>
    <row r="292">
      <c r="B292" s="62" t="s">
        <v>2238</v>
      </c>
      <c r="C292" s="45" t="s">
        <v>440</v>
      </c>
      <c r="D292" s="62" t="s">
        <v>2237</v>
      </c>
      <c r="E292" s="11" t="s">
        <v>33</v>
      </c>
    </row>
    <row r="293">
      <c r="B293" s="62" t="s">
        <v>2061</v>
      </c>
      <c r="C293" s="45" t="s">
        <v>20</v>
      </c>
      <c r="D293" s="62" t="s">
        <v>2239</v>
      </c>
      <c r="E293" s="11" t="s">
        <v>29</v>
      </c>
    </row>
    <row r="294">
      <c r="B294" s="62" t="s">
        <v>2238</v>
      </c>
      <c r="C294" s="45" t="s">
        <v>177</v>
      </c>
      <c r="D294" s="62" t="s">
        <v>2235</v>
      </c>
      <c r="E294" s="11" t="s">
        <v>33</v>
      </c>
    </row>
    <row r="295">
      <c r="B295" s="62" t="s">
        <v>2061</v>
      </c>
      <c r="C295" s="45" t="s">
        <v>303</v>
      </c>
      <c r="D295" s="62" t="s">
        <v>2237</v>
      </c>
      <c r="E295" s="11" t="s">
        <v>29</v>
      </c>
    </row>
    <row r="296">
      <c r="B296" s="62" t="s">
        <v>2239</v>
      </c>
      <c r="C296" s="45" t="s">
        <v>1846</v>
      </c>
      <c r="D296" s="62" t="s">
        <v>2235</v>
      </c>
      <c r="E296" s="11" t="s">
        <v>33</v>
      </c>
    </row>
    <row r="297">
      <c r="B297" s="62" t="s">
        <v>2061</v>
      </c>
      <c r="C297" s="45" t="s">
        <v>18</v>
      </c>
      <c r="D297" s="62" t="s">
        <v>2238</v>
      </c>
      <c r="E297" s="11" t="s">
        <v>29</v>
      </c>
    </row>
    <row r="298">
      <c r="B298" s="62" t="s">
        <v>2239</v>
      </c>
      <c r="C298" s="45" t="s">
        <v>557</v>
      </c>
      <c r="D298" s="62" t="s">
        <v>2237</v>
      </c>
      <c r="E298" s="11" t="s">
        <v>33</v>
      </c>
    </row>
    <row r="299">
      <c r="B299" s="62" t="s">
        <v>2237</v>
      </c>
      <c r="C299" s="45" t="s">
        <v>464</v>
      </c>
      <c r="D299" s="62" t="s">
        <v>2235</v>
      </c>
      <c r="E299" s="11" t="s">
        <v>29</v>
      </c>
    </row>
    <row r="300">
      <c r="B300" s="62" t="s">
        <v>2239</v>
      </c>
      <c r="C300" s="45" t="s">
        <v>193</v>
      </c>
      <c r="D300" s="62" t="s">
        <v>2238</v>
      </c>
      <c r="E300" s="11" t="s">
        <v>33</v>
      </c>
    </row>
    <row r="301">
      <c r="B301" s="62" t="s">
        <v>2235</v>
      </c>
      <c r="C301" s="45" t="s">
        <v>517</v>
      </c>
      <c r="D301" s="62" t="s">
        <v>2061</v>
      </c>
      <c r="E301" s="11" t="s">
        <v>29</v>
      </c>
    </row>
    <row r="302">
      <c r="B302" s="62" t="s">
        <v>2237</v>
      </c>
      <c r="C302" s="45" t="s">
        <v>205</v>
      </c>
      <c r="D302" s="62" t="s">
        <v>2238</v>
      </c>
      <c r="E302" s="11" t="s">
        <v>33</v>
      </c>
    </row>
    <row r="303">
      <c r="B303" s="62" t="s">
        <v>2239</v>
      </c>
      <c r="C303" s="45" t="s">
        <v>366</v>
      </c>
      <c r="D303" s="62" t="s">
        <v>2061</v>
      </c>
      <c r="E303" s="11" t="s">
        <v>29</v>
      </c>
    </row>
    <row r="304">
      <c r="B304" s="62" t="s">
        <v>2235</v>
      </c>
      <c r="C304" s="45" t="s">
        <v>225</v>
      </c>
      <c r="D304" s="62" t="s">
        <v>2238</v>
      </c>
      <c r="E304" s="11" t="s">
        <v>33</v>
      </c>
    </row>
    <row r="305">
      <c r="B305" s="62" t="s">
        <v>2237</v>
      </c>
      <c r="C305" s="45" t="s">
        <v>239</v>
      </c>
      <c r="D305" s="62" t="s">
        <v>2061</v>
      </c>
      <c r="E305" s="11" t="s">
        <v>29</v>
      </c>
    </row>
    <row r="306">
      <c r="B306" s="62" t="s">
        <v>2235</v>
      </c>
      <c r="C306" s="45" t="s">
        <v>209</v>
      </c>
      <c r="D306" s="62" t="s">
        <v>2239</v>
      </c>
      <c r="E306" s="11" t="s">
        <v>33</v>
      </c>
    </row>
    <row r="307">
      <c r="B307" s="62" t="s">
        <v>2238</v>
      </c>
      <c r="C307" s="45" t="s">
        <v>23</v>
      </c>
      <c r="D307" s="62" t="s">
        <v>2061</v>
      </c>
      <c r="E307" s="11" t="s">
        <v>29</v>
      </c>
    </row>
    <row r="308">
      <c r="B308" s="62" t="s">
        <v>2237</v>
      </c>
      <c r="C308" s="45" t="s">
        <v>219</v>
      </c>
      <c r="D308" s="62" t="s">
        <v>2239</v>
      </c>
      <c r="E308" s="11" t="s">
        <v>33</v>
      </c>
    </row>
    <row r="309">
      <c r="B309" s="52" t="s">
        <v>2240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1463</v>
      </c>
      <c r="C311" s="57" t="s">
        <v>2065</v>
      </c>
      <c r="D311" s="62" t="s">
        <v>2241</v>
      </c>
      <c r="E311" s="11" t="s">
        <v>9</v>
      </c>
    </row>
    <row r="312">
      <c r="B312" s="62" t="s">
        <v>2242</v>
      </c>
      <c r="C312" s="57" t="s">
        <v>11</v>
      </c>
      <c r="D312" s="62" t="s">
        <v>1662</v>
      </c>
      <c r="E312" s="11" t="s">
        <v>13</v>
      </c>
    </row>
    <row r="313">
      <c r="B313" s="62" t="s">
        <v>1466</v>
      </c>
      <c r="C313" s="57" t="s">
        <v>256</v>
      </c>
      <c r="D313" s="62" t="s">
        <v>1463</v>
      </c>
      <c r="E313" s="11" t="s">
        <v>9</v>
      </c>
    </row>
    <row r="314">
      <c r="B314" s="62" t="s">
        <v>2242</v>
      </c>
      <c r="C314" s="57" t="s">
        <v>688</v>
      </c>
      <c r="D314" s="62" t="s">
        <v>2241</v>
      </c>
      <c r="E314" s="11" t="s">
        <v>13</v>
      </c>
    </row>
    <row r="315">
      <c r="B315" s="62" t="s">
        <v>1466</v>
      </c>
      <c r="C315" s="57" t="s">
        <v>231</v>
      </c>
      <c r="D315" s="62" t="s">
        <v>1662</v>
      </c>
      <c r="E315" s="11" t="s">
        <v>9</v>
      </c>
    </row>
    <row r="316">
      <c r="B316" s="62" t="s">
        <v>2242</v>
      </c>
      <c r="C316" s="57" t="s">
        <v>216</v>
      </c>
      <c r="D316" s="62" t="s">
        <v>1463</v>
      </c>
      <c r="E316" s="11" t="s">
        <v>13</v>
      </c>
    </row>
    <row r="317">
      <c r="B317" s="62" t="s">
        <v>1466</v>
      </c>
      <c r="C317" s="57" t="s">
        <v>342</v>
      </c>
      <c r="D317" s="62" t="s">
        <v>2241</v>
      </c>
      <c r="E317" s="11" t="s">
        <v>9</v>
      </c>
    </row>
    <row r="318">
      <c r="B318" s="62" t="s">
        <v>1662</v>
      </c>
      <c r="C318" s="57" t="s">
        <v>43</v>
      </c>
      <c r="D318" s="62" t="s">
        <v>1463</v>
      </c>
      <c r="E318" s="11" t="s">
        <v>13</v>
      </c>
    </row>
    <row r="319">
      <c r="B319" s="62" t="s">
        <v>1466</v>
      </c>
      <c r="C319" s="57" t="s">
        <v>289</v>
      </c>
      <c r="D319" s="62" t="s">
        <v>2242</v>
      </c>
      <c r="E319" s="11" t="s">
        <v>9</v>
      </c>
    </row>
    <row r="320">
      <c r="B320" s="62" t="s">
        <v>1662</v>
      </c>
      <c r="C320" s="57" t="s">
        <v>547</v>
      </c>
      <c r="D320" s="62" t="s">
        <v>2241</v>
      </c>
      <c r="E320" s="11" t="s">
        <v>13</v>
      </c>
    </row>
    <row r="321">
      <c r="B321" s="62" t="s">
        <v>2241</v>
      </c>
      <c r="C321" s="57" t="s">
        <v>251</v>
      </c>
      <c r="D321" s="62" t="s">
        <v>1463</v>
      </c>
      <c r="E321" s="11" t="s">
        <v>9</v>
      </c>
    </row>
    <row r="322">
      <c r="B322" s="62" t="s">
        <v>1662</v>
      </c>
      <c r="C322" s="57" t="s">
        <v>38</v>
      </c>
      <c r="D322" s="62" t="s">
        <v>2242</v>
      </c>
      <c r="E322" s="11" t="s">
        <v>13</v>
      </c>
    </row>
    <row r="323">
      <c r="B323" s="62" t="s">
        <v>1463</v>
      </c>
      <c r="C323" s="45" t="s">
        <v>248</v>
      </c>
      <c r="D323" s="62" t="s">
        <v>1466</v>
      </c>
      <c r="E323" s="11" t="s">
        <v>9</v>
      </c>
    </row>
    <row r="324">
      <c r="B324" s="62" t="s">
        <v>2241</v>
      </c>
      <c r="C324" s="45" t="s">
        <v>555</v>
      </c>
      <c r="D324" s="62" t="s">
        <v>2242</v>
      </c>
      <c r="E324" s="11" t="s">
        <v>13</v>
      </c>
    </row>
    <row r="325">
      <c r="B325" s="62" t="s">
        <v>1662</v>
      </c>
      <c r="C325" s="45" t="s">
        <v>271</v>
      </c>
      <c r="D325" s="62" t="s">
        <v>1466</v>
      </c>
      <c r="E325" s="11" t="s">
        <v>9</v>
      </c>
    </row>
    <row r="326">
      <c r="B326" s="62" t="s">
        <v>1463</v>
      </c>
      <c r="C326" s="45" t="s">
        <v>18</v>
      </c>
      <c r="D326" s="62" t="s">
        <v>2242</v>
      </c>
      <c r="E326" s="11" t="s">
        <v>13</v>
      </c>
    </row>
    <row r="327">
      <c r="B327" s="62" t="s">
        <v>2241</v>
      </c>
      <c r="C327" s="45" t="s">
        <v>554</v>
      </c>
      <c r="D327" s="62" t="s">
        <v>1466</v>
      </c>
      <c r="E327" s="11" t="s">
        <v>9</v>
      </c>
    </row>
    <row r="328">
      <c r="B328" s="62" t="s">
        <v>1463</v>
      </c>
      <c r="C328" s="45" t="s">
        <v>24</v>
      </c>
      <c r="D328" s="62" t="s">
        <v>1662</v>
      </c>
      <c r="E328" s="11" t="s">
        <v>13</v>
      </c>
    </row>
    <row r="329">
      <c r="B329" s="62" t="s">
        <v>2242</v>
      </c>
      <c r="C329" s="45" t="s">
        <v>209</v>
      </c>
      <c r="D329" s="62" t="s">
        <v>1466</v>
      </c>
      <c r="E329" s="11" t="s">
        <v>9</v>
      </c>
    </row>
    <row r="330">
      <c r="B330" s="62" t="s">
        <v>2241</v>
      </c>
      <c r="C330" s="45" t="s">
        <v>290</v>
      </c>
      <c r="D330" s="62" t="s">
        <v>1662</v>
      </c>
      <c r="E330" s="11" t="s">
        <v>13</v>
      </c>
    </row>
    <row r="331">
      <c r="B331" s="52" t="s">
        <v>2243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2244</v>
      </c>
      <c r="C333" s="45" t="s">
        <v>304</v>
      </c>
      <c r="D333" s="62" t="s">
        <v>1127</v>
      </c>
      <c r="E333" s="11" t="s">
        <v>29</v>
      </c>
    </row>
    <row r="334">
      <c r="B334" s="62" t="s">
        <v>2245</v>
      </c>
      <c r="C334" s="45" t="s">
        <v>19</v>
      </c>
      <c r="D334" s="62" t="s">
        <v>359</v>
      </c>
      <c r="E334" s="11" t="s">
        <v>33</v>
      </c>
    </row>
    <row r="335">
      <c r="B335" s="62" t="s">
        <v>2246</v>
      </c>
      <c r="C335" s="45" t="s">
        <v>14</v>
      </c>
      <c r="D335" s="62" t="s">
        <v>2244</v>
      </c>
      <c r="E335" s="11" t="s">
        <v>29</v>
      </c>
    </row>
    <row r="336">
      <c r="B336" s="62" t="s">
        <v>2245</v>
      </c>
      <c r="C336" s="45" t="s">
        <v>1123</v>
      </c>
      <c r="D336" s="62" t="s">
        <v>1127</v>
      </c>
      <c r="E336" s="11" t="s">
        <v>33</v>
      </c>
    </row>
    <row r="337">
      <c r="B337" s="62" t="s">
        <v>2246</v>
      </c>
      <c r="C337" s="45" t="s">
        <v>210</v>
      </c>
      <c r="D337" s="62" t="s">
        <v>359</v>
      </c>
      <c r="E337" s="11" t="s">
        <v>29</v>
      </c>
    </row>
    <row r="338">
      <c r="B338" s="62" t="s">
        <v>2245</v>
      </c>
      <c r="C338" s="45" t="s">
        <v>419</v>
      </c>
      <c r="D338" s="62" t="s">
        <v>2244</v>
      </c>
      <c r="E338" s="11" t="s">
        <v>33</v>
      </c>
    </row>
    <row r="339">
      <c r="B339" s="62" t="s">
        <v>2246</v>
      </c>
      <c r="C339" s="45" t="s">
        <v>7</v>
      </c>
      <c r="D339" s="62" t="s">
        <v>1127</v>
      </c>
      <c r="E339" s="11" t="s">
        <v>29</v>
      </c>
    </row>
    <row r="340">
      <c r="B340" s="62" t="s">
        <v>359</v>
      </c>
      <c r="C340" s="45" t="s">
        <v>155</v>
      </c>
      <c r="D340" s="62" t="s">
        <v>2244</v>
      </c>
      <c r="E340" s="11" t="s">
        <v>33</v>
      </c>
    </row>
    <row r="341">
      <c r="B341" s="62" t="s">
        <v>2246</v>
      </c>
      <c r="C341" s="45" t="s">
        <v>173</v>
      </c>
      <c r="D341" s="62" t="s">
        <v>2245</v>
      </c>
      <c r="E341" s="11" t="s">
        <v>29</v>
      </c>
    </row>
    <row r="342">
      <c r="B342" s="62" t="s">
        <v>359</v>
      </c>
      <c r="C342" s="45" t="s">
        <v>155</v>
      </c>
      <c r="D342" s="62" t="s">
        <v>1127</v>
      </c>
      <c r="E342" s="11" t="s">
        <v>33</v>
      </c>
    </row>
    <row r="343">
      <c r="B343" s="62" t="s">
        <v>1127</v>
      </c>
      <c r="C343" s="45" t="s">
        <v>251</v>
      </c>
      <c r="D343" s="62" t="s">
        <v>2244</v>
      </c>
      <c r="E343" s="11" t="s">
        <v>29</v>
      </c>
      <c r="H343" s="50"/>
    </row>
    <row r="344">
      <c r="B344" s="62" t="s">
        <v>359</v>
      </c>
      <c r="C344" s="45" t="s">
        <v>718</v>
      </c>
      <c r="D344" s="62" t="s">
        <v>2245</v>
      </c>
      <c r="E344" s="11" t="s">
        <v>33</v>
      </c>
    </row>
    <row r="345">
      <c r="B345" s="62" t="s">
        <v>2244</v>
      </c>
      <c r="C345" s="45" t="s">
        <v>208</v>
      </c>
      <c r="D345" s="62" t="s">
        <v>2246</v>
      </c>
      <c r="E345" s="11" t="s">
        <v>29</v>
      </c>
    </row>
    <row r="346">
      <c r="B346" s="62" t="s">
        <v>1127</v>
      </c>
      <c r="C346" s="45" t="s">
        <v>344</v>
      </c>
      <c r="D346" s="62" t="s">
        <v>2245</v>
      </c>
      <c r="E346" s="11" t="s">
        <v>33</v>
      </c>
    </row>
    <row r="347">
      <c r="B347" s="62" t="s">
        <v>359</v>
      </c>
      <c r="C347" s="45" t="s">
        <v>173</v>
      </c>
      <c r="D347" s="62" t="s">
        <v>2246</v>
      </c>
      <c r="E347" s="11" t="s">
        <v>29</v>
      </c>
    </row>
    <row r="348">
      <c r="B348" s="62" t="s">
        <v>2244</v>
      </c>
      <c r="C348" s="45" t="s">
        <v>507</v>
      </c>
      <c r="D348" s="62" t="s">
        <v>2245</v>
      </c>
      <c r="E348" s="11" t="s">
        <v>33</v>
      </c>
    </row>
    <row r="349">
      <c r="B349" s="62" t="s">
        <v>1127</v>
      </c>
      <c r="C349" s="45" t="s">
        <v>165</v>
      </c>
      <c r="D349" s="62" t="s">
        <v>2246</v>
      </c>
      <c r="E349" s="11" t="s">
        <v>29</v>
      </c>
    </row>
    <row r="350">
      <c r="B350" s="62" t="s">
        <v>2244</v>
      </c>
      <c r="C350" s="45" t="s">
        <v>11</v>
      </c>
      <c r="D350" s="62" t="s">
        <v>359</v>
      </c>
      <c r="E350" s="11" t="s">
        <v>33</v>
      </c>
    </row>
    <row r="351">
      <c r="B351" s="62" t="s">
        <v>2245</v>
      </c>
      <c r="C351" s="45" t="s">
        <v>292</v>
      </c>
      <c r="D351" s="62" t="s">
        <v>2246</v>
      </c>
      <c r="E351" s="11" t="s">
        <v>29</v>
      </c>
    </row>
    <row r="352">
      <c r="B352" s="62" t="s">
        <v>1127</v>
      </c>
      <c r="C352" s="45" t="s">
        <v>185</v>
      </c>
      <c r="D352" s="62" t="s">
        <v>359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2130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2247</v>
      </c>
      <c r="C3" s="57" t="s">
        <v>17</v>
      </c>
      <c r="D3" s="62" t="s">
        <v>1110</v>
      </c>
      <c r="E3" s="11" t="s">
        <v>29</v>
      </c>
    </row>
    <row r="4">
      <c r="A4" s="90"/>
      <c r="B4" s="61" t="s">
        <v>2248</v>
      </c>
      <c r="C4" s="57" t="s">
        <v>16</v>
      </c>
      <c r="D4" s="61" t="s">
        <v>2012</v>
      </c>
      <c r="E4" s="11" t="s">
        <v>33</v>
      </c>
      <c r="G4" s="50"/>
    </row>
    <row r="5">
      <c r="A5" s="90"/>
      <c r="B5" s="62" t="s">
        <v>2249</v>
      </c>
      <c r="C5" s="57" t="s">
        <v>16</v>
      </c>
      <c r="D5" s="61" t="s">
        <v>2247</v>
      </c>
      <c r="E5" s="11" t="s">
        <v>29</v>
      </c>
    </row>
    <row r="6">
      <c r="A6" s="90"/>
      <c r="B6" s="61" t="s">
        <v>2248</v>
      </c>
      <c r="C6" s="57" t="s">
        <v>477</v>
      </c>
      <c r="D6" s="62" t="s">
        <v>1110</v>
      </c>
      <c r="E6" s="11" t="s">
        <v>33</v>
      </c>
    </row>
    <row r="7">
      <c r="A7" s="90"/>
      <c r="B7" s="62" t="s">
        <v>2249</v>
      </c>
      <c r="C7" s="57" t="s">
        <v>352</v>
      </c>
      <c r="D7" s="61" t="s">
        <v>2012</v>
      </c>
      <c r="E7" s="11" t="s">
        <v>29</v>
      </c>
    </row>
    <row r="8">
      <c r="A8" s="90"/>
      <c r="B8" s="61" t="s">
        <v>2248</v>
      </c>
      <c r="C8" s="57" t="s">
        <v>155</v>
      </c>
      <c r="D8" s="61" t="s">
        <v>2247</v>
      </c>
      <c r="E8" s="11" t="s">
        <v>33</v>
      </c>
    </row>
    <row r="9">
      <c r="A9" s="90"/>
      <c r="B9" s="62" t="s">
        <v>2249</v>
      </c>
      <c r="C9" s="57" t="s">
        <v>301</v>
      </c>
      <c r="D9" s="62" t="s">
        <v>1110</v>
      </c>
      <c r="E9" s="11" t="s">
        <v>29</v>
      </c>
    </row>
    <row r="10">
      <c r="A10" s="90"/>
      <c r="B10" s="61" t="s">
        <v>2012</v>
      </c>
      <c r="C10" s="57" t="s">
        <v>19</v>
      </c>
      <c r="D10" s="61" t="s">
        <v>2247</v>
      </c>
      <c r="E10" s="11" t="s">
        <v>33</v>
      </c>
    </row>
    <row r="11">
      <c r="A11" s="90"/>
      <c r="B11" s="62" t="s">
        <v>2249</v>
      </c>
      <c r="C11" s="57" t="s">
        <v>158</v>
      </c>
      <c r="D11" s="61" t="s">
        <v>2248</v>
      </c>
      <c r="E11" s="11" t="s">
        <v>29</v>
      </c>
    </row>
    <row r="12">
      <c r="A12" s="90"/>
      <c r="B12" s="61" t="s">
        <v>2012</v>
      </c>
      <c r="C12" s="57" t="s">
        <v>638</v>
      </c>
      <c r="D12" s="62" t="s">
        <v>1110</v>
      </c>
      <c r="E12" s="11" t="s">
        <v>33</v>
      </c>
    </row>
    <row r="13">
      <c r="A13" s="90"/>
      <c r="B13" s="62" t="s">
        <v>1110</v>
      </c>
      <c r="C13" s="57" t="s">
        <v>278</v>
      </c>
      <c r="D13" s="61" t="s">
        <v>2247</v>
      </c>
      <c r="E13" s="11" t="s">
        <v>29</v>
      </c>
    </row>
    <row r="14">
      <c r="A14" s="90"/>
      <c r="B14" s="61" t="s">
        <v>2012</v>
      </c>
      <c r="C14" s="57" t="s">
        <v>327</v>
      </c>
      <c r="D14" s="61" t="s">
        <v>2248</v>
      </c>
      <c r="E14" s="11" t="s">
        <v>33</v>
      </c>
    </row>
    <row r="15">
      <c r="A15" s="90"/>
      <c r="B15" s="61" t="s">
        <v>2247</v>
      </c>
      <c r="C15" s="57" t="s">
        <v>23</v>
      </c>
      <c r="D15" s="62" t="s">
        <v>2249</v>
      </c>
      <c r="E15" s="11" t="s">
        <v>29</v>
      </c>
    </row>
    <row r="16">
      <c r="A16" s="90"/>
      <c r="B16" s="62" t="s">
        <v>1110</v>
      </c>
      <c r="C16" s="57" t="s">
        <v>209</v>
      </c>
      <c r="D16" s="61" t="s">
        <v>2248</v>
      </c>
      <c r="E16" s="11" t="s">
        <v>33</v>
      </c>
    </row>
    <row r="17">
      <c r="A17" s="90"/>
      <c r="B17" s="61" t="s">
        <v>2012</v>
      </c>
      <c r="C17" s="57" t="s">
        <v>256</v>
      </c>
      <c r="D17" s="62" t="s">
        <v>2249</v>
      </c>
      <c r="E17" s="11" t="s">
        <v>29</v>
      </c>
      <c r="J17" s="50"/>
    </row>
    <row r="18">
      <c r="A18" s="90"/>
      <c r="B18" s="61" t="s">
        <v>2247</v>
      </c>
      <c r="C18" s="57" t="s">
        <v>279</v>
      </c>
      <c r="D18" s="61" t="s">
        <v>2248</v>
      </c>
      <c r="E18" s="11" t="s">
        <v>33</v>
      </c>
    </row>
    <row r="19">
      <c r="A19" s="90"/>
      <c r="B19" s="62" t="s">
        <v>1110</v>
      </c>
      <c r="C19" s="57" t="s">
        <v>549</v>
      </c>
      <c r="D19" s="62" t="s">
        <v>2249</v>
      </c>
      <c r="E19" s="11" t="s">
        <v>29</v>
      </c>
    </row>
    <row r="20">
      <c r="A20" s="90"/>
      <c r="B20" s="61" t="s">
        <v>2247</v>
      </c>
      <c r="C20" s="57" t="s">
        <v>271</v>
      </c>
      <c r="D20" s="61" t="s">
        <v>2012</v>
      </c>
      <c r="E20" s="11" t="s">
        <v>33</v>
      </c>
    </row>
    <row r="21">
      <c r="A21" s="90"/>
      <c r="B21" s="61" t="s">
        <v>2248</v>
      </c>
      <c r="C21" s="57" t="s">
        <v>14</v>
      </c>
      <c r="D21" s="62" t="s">
        <v>2249</v>
      </c>
      <c r="E21" s="11" t="s">
        <v>29</v>
      </c>
    </row>
    <row r="22">
      <c r="A22" s="90"/>
      <c r="B22" s="62" t="s">
        <v>1110</v>
      </c>
      <c r="C22" s="57" t="s">
        <v>23</v>
      </c>
      <c r="D22" s="61" t="s">
        <v>2012</v>
      </c>
      <c r="E22" s="11" t="s">
        <v>33</v>
      </c>
    </row>
    <row r="23">
      <c r="A23" s="90"/>
      <c r="B23" s="1" t="s">
        <v>2250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141</v>
      </c>
      <c r="C25" s="57" t="s">
        <v>216</v>
      </c>
      <c r="D25" s="62" t="s">
        <v>2251</v>
      </c>
      <c r="E25" s="11" t="s">
        <v>9</v>
      </c>
    </row>
    <row r="26">
      <c r="A26" s="90"/>
      <c r="B26" s="61" t="s">
        <v>1655</v>
      </c>
      <c r="C26" s="57" t="s">
        <v>751</v>
      </c>
      <c r="D26" s="61" t="s">
        <v>2252</v>
      </c>
      <c r="E26" s="11" t="s">
        <v>13</v>
      </c>
    </row>
    <row r="27">
      <c r="A27" s="90"/>
      <c r="B27" s="62" t="s">
        <v>1930</v>
      </c>
      <c r="C27" s="57" t="s">
        <v>319</v>
      </c>
      <c r="D27" s="62" t="s">
        <v>141</v>
      </c>
      <c r="E27" s="11" t="s">
        <v>9</v>
      </c>
    </row>
    <row r="28">
      <c r="A28" s="90"/>
      <c r="B28" s="61" t="s">
        <v>1655</v>
      </c>
      <c r="C28" s="57" t="s">
        <v>23</v>
      </c>
      <c r="D28" s="62" t="s">
        <v>2251</v>
      </c>
      <c r="E28" s="11" t="s">
        <v>13</v>
      </c>
      <c r="O28" s="50" t="s">
        <v>861</v>
      </c>
    </row>
    <row r="29">
      <c r="A29" s="90"/>
      <c r="B29" s="62" t="s">
        <v>1930</v>
      </c>
      <c r="C29" s="57" t="s">
        <v>173</v>
      </c>
      <c r="D29" s="61" t="s">
        <v>2252</v>
      </c>
      <c r="E29" s="11" t="s">
        <v>9</v>
      </c>
    </row>
    <row r="30">
      <c r="A30" s="90"/>
      <c r="B30" s="61" t="s">
        <v>1655</v>
      </c>
      <c r="C30" s="57" t="s">
        <v>554</v>
      </c>
      <c r="D30" s="62" t="s">
        <v>141</v>
      </c>
      <c r="E30" s="11" t="s">
        <v>13</v>
      </c>
    </row>
    <row r="31">
      <c r="A31" s="90"/>
      <c r="B31" s="62" t="s">
        <v>1930</v>
      </c>
      <c r="C31" s="57" t="s">
        <v>155</v>
      </c>
      <c r="D31" s="62" t="s">
        <v>2251</v>
      </c>
      <c r="E31" s="11" t="s">
        <v>9</v>
      </c>
    </row>
    <row r="32">
      <c r="A32" s="90"/>
      <c r="B32" s="61" t="s">
        <v>2252</v>
      </c>
      <c r="C32" s="57" t="s">
        <v>41</v>
      </c>
      <c r="D32" s="62" t="s">
        <v>141</v>
      </c>
      <c r="E32" s="11" t="s">
        <v>13</v>
      </c>
    </row>
    <row r="33">
      <c r="A33" s="90"/>
      <c r="B33" s="62" t="s">
        <v>1930</v>
      </c>
      <c r="C33" s="57" t="s">
        <v>301</v>
      </c>
      <c r="D33" s="61" t="s">
        <v>1655</v>
      </c>
      <c r="E33" s="11" t="s">
        <v>9</v>
      </c>
    </row>
    <row r="34">
      <c r="A34" s="90"/>
      <c r="B34" s="61" t="s">
        <v>2252</v>
      </c>
      <c r="C34" s="57" t="s">
        <v>198</v>
      </c>
      <c r="D34" s="62" t="s">
        <v>2251</v>
      </c>
      <c r="E34" s="11" t="s">
        <v>13</v>
      </c>
    </row>
    <row r="35">
      <c r="A35" s="90"/>
      <c r="B35" s="62" t="s">
        <v>2251</v>
      </c>
      <c r="C35" s="57" t="s">
        <v>19</v>
      </c>
      <c r="D35" s="62" t="s">
        <v>141</v>
      </c>
      <c r="E35" s="11" t="s">
        <v>9</v>
      </c>
    </row>
    <row r="36">
      <c r="A36" s="90"/>
      <c r="B36" s="61" t="s">
        <v>2252</v>
      </c>
      <c r="C36" s="57" t="s">
        <v>342</v>
      </c>
      <c r="D36" s="61" t="s">
        <v>1655</v>
      </c>
      <c r="E36" s="11" t="s">
        <v>13</v>
      </c>
    </row>
    <row r="37">
      <c r="A37" s="90"/>
      <c r="B37" s="62" t="s">
        <v>141</v>
      </c>
      <c r="C37" s="57" t="s">
        <v>547</v>
      </c>
      <c r="D37" s="62" t="s">
        <v>1930</v>
      </c>
      <c r="E37" s="11" t="s">
        <v>9</v>
      </c>
    </row>
    <row r="38">
      <c r="A38" s="90"/>
      <c r="B38" s="62" t="s">
        <v>2251</v>
      </c>
      <c r="C38" s="57" t="s">
        <v>43</v>
      </c>
      <c r="D38" s="61" t="s">
        <v>1655</v>
      </c>
      <c r="E38" s="11" t="s">
        <v>13</v>
      </c>
    </row>
    <row r="39">
      <c r="A39" s="90"/>
      <c r="B39" s="61" t="s">
        <v>2252</v>
      </c>
      <c r="C39" s="57" t="s">
        <v>712</v>
      </c>
      <c r="D39" s="62" t="s">
        <v>1930</v>
      </c>
      <c r="E39" s="11" t="s">
        <v>9</v>
      </c>
    </row>
    <row r="40">
      <c r="A40" s="90"/>
      <c r="B40" s="62" t="s">
        <v>141</v>
      </c>
      <c r="C40" s="57" t="s">
        <v>279</v>
      </c>
      <c r="D40" s="61" t="s">
        <v>1655</v>
      </c>
      <c r="E40" s="11" t="s">
        <v>13</v>
      </c>
    </row>
    <row r="41">
      <c r="A41" s="90"/>
      <c r="B41" s="62" t="s">
        <v>2251</v>
      </c>
      <c r="C41" s="57" t="s">
        <v>220</v>
      </c>
      <c r="D41" s="62" t="s">
        <v>1930</v>
      </c>
      <c r="E41" s="11" t="s">
        <v>9</v>
      </c>
    </row>
    <row r="42">
      <c r="A42" s="90"/>
      <c r="B42" s="62" t="s">
        <v>141</v>
      </c>
      <c r="C42" s="57" t="s">
        <v>196</v>
      </c>
      <c r="D42" s="61" t="s">
        <v>2252</v>
      </c>
      <c r="E42" s="11" t="s">
        <v>13</v>
      </c>
    </row>
    <row r="43">
      <c r="A43" s="90"/>
      <c r="B43" s="61" t="s">
        <v>1655</v>
      </c>
      <c r="C43" s="57" t="s">
        <v>393</v>
      </c>
      <c r="D43" s="62" t="s">
        <v>1930</v>
      </c>
      <c r="E43" s="11" t="s">
        <v>9</v>
      </c>
    </row>
    <row r="44">
      <c r="A44" s="91"/>
      <c r="B44" s="62" t="s">
        <v>2251</v>
      </c>
      <c r="C44" s="57" t="s">
        <v>43</v>
      </c>
      <c r="D44" s="61" t="s">
        <v>2252</v>
      </c>
      <c r="E44" s="11" t="s">
        <v>13</v>
      </c>
    </row>
    <row r="45">
      <c r="B45" s="1" t="s">
        <v>1457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670</v>
      </c>
      <c r="C47" s="57" t="s">
        <v>158</v>
      </c>
      <c r="D47" s="61" t="s">
        <v>2253</v>
      </c>
      <c r="E47" s="11" t="s">
        <v>29</v>
      </c>
    </row>
    <row r="48">
      <c r="B48" s="61" t="s">
        <v>1713</v>
      </c>
      <c r="C48" s="57" t="s">
        <v>171</v>
      </c>
      <c r="D48" s="61" t="s">
        <v>2254</v>
      </c>
      <c r="E48" s="11" t="s">
        <v>33</v>
      </c>
    </row>
    <row r="49">
      <c r="B49" s="61" t="s">
        <v>1658</v>
      </c>
      <c r="C49" s="57" t="s">
        <v>197</v>
      </c>
      <c r="D49" s="61" t="s">
        <v>670</v>
      </c>
      <c r="E49" s="11" t="s">
        <v>29</v>
      </c>
    </row>
    <row r="50">
      <c r="B50" s="61" t="s">
        <v>1713</v>
      </c>
      <c r="C50" s="57" t="s">
        <v>357</v>
      </c>
      <c r="D50" s="61" t="s">
        <v>2253</v>
      </c>
      <c r="E50" s="11" t="s">
        <v>33</v>
      </c>
    </row>
    <row r="51">
      <c r="B51" s="61" t="s">
        <v>1658</v>
      </c>
      <c r="C51" s="57" t="s">
        <v>163</v>
      </c>
      <c r="D51" s="61" t="s">
        <v>2254</v>
      </c>
      <c r="E51" s="11" t="s">
        <v>29</v>
      </c>
    </row>
    <row r="52">
      <c r="B52" s="61" t="s">
        <v>1713</v>
      </c>
      <c r="C52" s="57" t="s">
        <v>210</v>
      </c>
      <c r="D52" s="61" t="s">
        <v>670</v>
      </c>
      <c r="E52" s="11" t="s">
        <v>33</v>
      </c>
    </row>
    <row r="53">
      <c r="B53" s="61" t="s">
        <v>1658</v>
      </c>
      <c r="C53" s="57" t="s">
        <v>477</v>
      </c>
      <c r="D53" s="61" t="s">
        <v>2253</v>
      </c>
      <c r="E53" s="11" t="s">
        <v>29</v>
      </c>
    </row>
    <row r="54">
      <c r="B54" s="61" t="s">
        <v>2254</v>
      </c>
      <c r="C54" s="57" t="s">
        <v>189</v>
      </c>
      <c r="D54" s="61" t="s">
        <v>670</v>
      </c>
      <c r="E54" s="11" t="s">
        <v>33</v>
      </c>
    </row>
    <row r="55">
      <c r="B55" s="61" t="s">
        <v>1658</v>
      </c>
      <c r="C55" s="57" t="s">
        <v>161</v>
      </c>
      <c r="D55" s="61" t="s">
        <v>1713</v>
      </c>
      <c r="E55" s="11" t="s">
        <v>29</v>
      </c>
    </row>
    <row r="56">
      <c r="B56" s="61" t="s">
        <v>2254</v>
      </c>
      <c r="C56" s="57" t="s">
        <v>193</v>
      </c>
      <c r="D56" s="61" t="s">
        <v>2253</v>
      </c>
      <c r="E56" s="11" t="s">
        <v>33</v>
      </c>
    </row>
    <row r="57">
      <c r="B57" s="61" t="s">
        <v>2253</v>
      </c>
      <c r="C57" s="57" t="s">
        <v>344</v>
      </c>
      <c r="D57" s="61" t="s">
        <v>670</v>
      </c>
      <c r="E57" s="11" t="s">
        <v>29</v>
      </c>
    </row>
    <row r="58">
      <c r="B58" s="61" t="s">
        <v>2254</v>
      </c>
      <c r="C58" s="57" t="s">
        <v>464</v>
      </c>
      <c r="D58" s="61" t="s">
        <v>1713</v>
      </c>
      <c r="E58" s="11" t="s">
        <v>33</v>
      </c>
    </row>
    <row r="59">
      <c r="B59" s="61" t="s">
        <v>670</v>
      </c>
      <c r="C59" s="57" t="s">
        <v>196</v>
      </c>
      <c r="D59" s="61" t="s">
        <v>1658</v>
      </c>
      <c r="E59" s="11" t="s">
        <v>29</v>
      </c>
    </row>
    <row r="60">
      <c r="B60" s="61" t="s">
        <v>2253</v>
      </c>
      <c r="C60" s="57" t="s">
        <v>157</v>
      </c>
      <c r="D60" s="61" t="s">
        <v>1713</v>
      </c>
      <c r="E60" s="11" t="s">
        <v>33</v>
      </c>
    </row>
    <row r="61">
      <c r="B61" s="61" t="s">
        <v>2254</v>
      </c>
      <c r="C61" s="57" t="s">
        <v>177</v>
      </c>
      <c r="D61" s="61" t="s">
        <v>1658</v>
      </c>
      <c r="E61" s="11" t="s">
        <v>29</v>
      </c>
    </row>
    <row r="62">
      <c r="B62" s="61" t="s">
        <v>670</v>
      </c>
      <c r="C62" s="57" t="s">
        <v>7</v>
      </c>
      <c r="D62" s="61" t="s">
        <v>1713</v>
      </c>
      <c r="E62" s="11" t="s">
        <v>33</v>
      </c>
    </row>
    <row r="63">
      <c r="B63" s="61" t="s">
        <v>2253</v>
      </c>
      <c r="C63" s="57" t="s">
        <v>2255</v>
      </c>
      <c r="D63" s="61" t="s">
        <v>1658</v>
      </c>
      <c r="E63" s="11" t="s">
        <v>29</v>
      </c>
    </row>
    <row r="64">
      <c r="B64" s="61" t="s">
        <v>670</v>
      </c>
      <c r="C64" s="57" t="s">
        <v>292</v>
      </c>
      <c r="D64" s="61" t="s">
        <v>2254</v>
      </c>
      <c r="E64" s="11" t="s">
        <v>33</v>
      </c>
    </row>
    <row r="65">
      <c r="B65" s="61" t="s">
        <v>1713</v>
      </c>
      <c r="C65" s="57" t="s">
        <v>162</v>
      </c>
      <c r="D65" s="61" t="s">
        <v>1658</v>
      </c>
      <c r="E65" s="11" t="s">
        <v>29</v>
      </c>
    </row>
    <row r="66">
      <c r="B66" s="61" t="s">
        <v>2253</v>
      </c>
      <c r="C66" s="57" t="s">
        <v>354</v>
      </c>
      <c r="D66" s="61" t="s">
        <v>2254</v>
      </c>
      <c r="E66" s="11" t="s">
        <v>33</v>
      </c>
    </row>
    <row r="67">
      <c r="B67" s="1" t="s">
        <v>2138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2256</v>
      </c>
      <c r="C69" s="57" t="s">
        <v>19</v>
      </c>
      <c r="D69" s="61" t="s">
        <v>2257</v>
      </c>
      <c r="E69" s="11" t="s">
        <v>9</v>
      </c>
    </row>
    <row r="70">
      <c r="B70" s="61" t="s">
        <v>2258</v>
      </c>
      <c r="C70" s="57" t="s">
        <v>271</v>
      </c>
      <c r="D70" s="61" t="s">
        <v>2259</v>
      </c>
      <c r="E70" s="11" t="s">
        <v>13</v>
      </c>
    </row>
    <row r="71">
      <c r="B71" s="61" t="s">
        <v>1458</v>
      </c>
      <c r="C71" s="57" t="s">
        <v>225</v>
      </c>
      <c r="D71" s="61" t="s">
        <v>2256</v>
      </c>
      <c r="E71" s="11" t="s">
        <v>9</v>
      </c>
    </row>
    <row r="72">
      <c r="B72" s="61" t="s">
        <v>2258</v>
      </c>
      <c r="C72" s="57" t="s">
        <v>42</v>
      </c>
      <c r="D72" s="61" t="s">
        <v>2257</v>
      </c>
      <c r="E72" s="11" t="s">
        <v>13</v>
      </c>
    </row>
    <row r="73">
      <c r="B73" s="61" t="s">
        <v>1458</v>
      </c>
      <c r="C73" s="57" t="s">
        <v>750</v>
      </c>
      <c r="D73" s="61" t="s">
        <v>2259</v>
      </c>
      <c r="E73" s="11" t="s">
        <v>9</v>
      </c>
    </row>
    <row r="74">
      <c r="B74" s="61" t="s">
        <v>2258</v>
      </c>
      <c r="C74" s="57" t="s">
        <v>227</v>
      </c>
      <c r="D74" s="61" t="s">
        <v>2256</v>
      </c>
      <c r="E74" s="11" t="s">
        <v>13</v>
      </c>
    </row>
    <row r="75">
      <c r="B75" s="61" t="s">
        <v>1458</v>
      </c>
      <c r="C75" s="57" t="s">
        <v>442</v>
      </c>
      <c r="D75" s="61" t="s">
        <v>2257</v>
      </c>
      <c r="E75" s="11" t="s">
        <v>9</v>
      </c>
    </row>
    <row r="76">
      <c r="B76" s="61" t="s">
        <v>2259</v>
      </c>
      <c r="C76" s="57" t="s">
        <v>219</v>
      </c>
      <c r="D76" s="61" t="s">
        <v>2256</v>
      </c>
      <c r="E76" s="11" t="s">
        <v>13</v>
      </c>
    </row>
    <row r="77">
      <c r="B77" s="61" t="s">
        <v>1458</v>
      </c>
      <c r="C77" s="57" t="s">
        <v>351</v>
      </c>
      <c r="D77" s="61" t="s">
        <v>2258</v>
      </c>
      <c r="E77" s="11" t="s">
        <v>9</v>
      </c>
    </row>
    <row r="78">
      <c r="B78" s="61" t="s">
        <v>2259</v>
      </c>
      <c r="C78" s="57" t="s">
        <v>229</v>
      </c>
      <c r="D78" s="61" t="s">
        <v>2257</v>
      </c>
      <c r="E78" s="11" t="s">
        <v>13</v>
      </c>
    </row>
    <row r="79">
      <c r="B79" s="61" t="s">
        <v>2257</v>
      </c>
      <c r="C79" s="57" t="s">
        <v>20</v>
      </c>
      <c r="D79" s="61" t="s">
        <v>2256</v>
      </c>
      <c r="E79" s="11" t="s">
        <v>9</v>
      </c>
    </row>
    <row r="80">
      <c r="B80" s="61" t="s">
        <v>2259</v>
      </c>
      <c r="C80" s="57" t="s">
        <v>697</v>
      </c>
      <c r="D80" s="61" t="s">
        <v>2258</v>
      </c>
      <c r="E80" s="11" t="s">
        <v>13</v>
      </c>
    </row>
    <row r="81">
      <c r="B81" s="61" t="s">
        <v>2256</v>
      </c>
      <c r="C81" s="57" t="s">
        <v>383</v>
      </c>
      <c r="D81" s="61" t="s">
        <v>1458</v>
      </c>
      <c r="E81" s="11" t="s">
        <v>9</v>
      </c>
    </row>
    <row r="82">
      <c r="B82" s="61" t="s">
        <v>2257</v>
      </c>
      <c r="C82" s="57" t="s">
        <v>18</v>
      </c>
      <c r="D82" s="61" t="s">
        <v>2258</v>
      </c>
      <c r="E82" s="11" t="s">
        <v>13</v>
      </c>
    </row>
    <row r="83">
      <c r="B83" s="61" t="s">
        <v>2259</v>
      </c>
      <c r="C83" s="57" t="s">
        <v>288</v>
      </c>
      <c r="D83" s="61" t="s">
        <v>1458</v>
      </c>
      <c r="E83" s="11" t="s">
        <v>9</v>
      </c>
    </row>
    <row r="84">
      <c r="B84" s="61" t="s">
        <v>2256</v>
      </c>
      <c r="C84" s="57" t="s">
        <v>1015</v>
      </c>
      <c r="D84" s="61" t="s">
        <v>2258</v>
      </c>
      <c r="E84" s="11" t="s">
        <v>13</v>
      </c>
    </row>
    <row r="85">
      <c r="B85" s="61" t="s">
        <v>2257</v>
      </c>
      <c r="C85" s="57" t="s">
        <v>311</v>
      </c>
      <c r="D85" s="61" t="s">
        <v>1458</v>
      </c>
      <c r="E85" s="11" t="s">
        <v>9</v>
      </c>
    </row>
    <row r="86">
      <c r="B86" s="61" t="s">
        <v>2256</v>
      </c>
      <c r="C86" s="57" t="s">
        <v>245</v>
      </c>
      <c r="D86" s="61" t="s">
        <v>2259</v>
      </c>
      <c r="E86" s="11" t="s">
        <v>13</v>
      </c>
    </row>
    <row r="87">
      <c r="B87" s="61" t="s">
        <v>2258</v>
      </c>
      <c r="C87" s="57" t="s">
        <v>193</v>
      </c>
      <c r="D87" s="61" t="s">
        <v>1458</v>
      </c>
      <c r="E87" s="11" t="s">
        <v>9</v>
      </c>
    </row>
    <row r="88">
      <c r="B88" s="61" t="s">
        <v>2257</v>
      </c>
      <c r="C88" s="57" t="s">
        <v>958</v>
      </c>
      <c r="D88" s="61" t="s">
        <v>2259</v>
      </c>
      <c r="E88" s="11" t="s">
        <v>13</v>
      </c>
    </row>
    <row r="89">
      <c r="B89" s="1" t="s">
        <v>2260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845</v>
      </c>
      <c r="C91" s="45" t="s">
        <v>14</v>
      </c>
      <c r="D91" s="61" t="s">
        <v>2261</v>
      </c>
      <c r="E91" s="11" t="s">
        <v>9</v>
      </c>
    </row>
    <row r="92">
      <c r="B92" s="61" t="s">
        <v>2262</v>
      </c>
      <c r="C92" s="45" t="s">
        <v>463</v>
      </c>
      <c r="D92" s="61" t="s">
        <v>2263</v>
      </c>
      <c r="E92" s="11" t="s">
        <v>13</v>
      </c>
    </row>
    <row r="93">
      <c r="B93" s="61" t="s">
        <v>1076</v>
      </c>
      <c r="C93" s="45" t="s">
        <v>18</v>
      </c>
      <c r="D93" s="61" t="s">
        <v>845</v>
      </c>
      <c r="E93" s="11" t="s">
        <v>9</v>
      </c>
    </row>
    <row r="94">
      <c r="B94" s="61" t="s">
        <v>2262</v>
      </c>
      <c r="C94" s="45" t="s">
        <v>289</v>
      </c>
      <c r="D94" s="61" t="s">
        <v>2261</v>
      </c>
      <c r="E94" s="11" t="s">
        <v>13</v>
      </c>
    </row>
    <row r="95">
      <c r="B95" s="61" t="s">
        <v>1076</v>
      </c>
      <c r="C95" s="45" t="s">
        <v>2264</v>
      </c>
      <c r="D95" s="61" t="s">
        <v>2263</v>
      </c>
      <c r="E95" s="11" t="s">
        <v>9</v>
      </c>
    </row>
    <row r="96">
      <c r="B96" s="61" t="s">
        <v>2262</v>
      </c>
      <c r="C96" s="45" t="s">
        <v>44</v>
      </c>
      <c r="D96" s="61" t="s">
        <v>845</v>
      </c>
      <c r="E96" s="11" t="s">
        <v>13</v>
      </c>
    </row>
    <row r="97">
      <c r="B97" s="61" t="s">
        <v>1076</v>
      </c>
      <c r="C97" s="45" t="s">
        <v>162</v>
      </c>
      <c r="D97" s="61" t="s">
        <v>2261</v>
      </c>
      <c r="E97" s="11" t="s">
        <v>9</v>
      </c>
    </row>
    <row r="98">
      <c r="B98" s="61" t="s">
        <v>2263</v>
      </c>
      <c r="C98" s="45" t="s">
        <v>162</v>
      </c>
      <c r="D98" s="61" t="s">
        <v>845</v>
      </c>
      <c r="E98" s="11" t="s">
        <v>13</v>
      </c>
    </row>
    <row r="99">
      <c r="B99" s="61" t="s">
        <v>1076</v>
      </c>
      <c r="C99" s="45" t="s">
        <v>301</v>
      </c>
      <c r="D99" s="61" t="s">
        <v>2262</v>
      </c>
      <c r="E99" s="11" t="s">
        <v>9</v>
      </c>
    </row>
    <row r="100">
      <c r="B100" s="61" t="s">
        <v>2263</v>
      </c>
      <c r="C100" s="45" t="s">
        <v>173</v>
      </c>
      <c r="D100" s="61" t="s">
        <v>2261</v>
      </c>
      <c r="E100" s="11" t="s">
        <v>13</v>
      </c>
    </row>
    <row r="101">
      <c r="B101" s="61" t="s">
        <v>2261</v>
      </c>
      <c r="C101" s="45" t="s">
        <v>292</v>
      </c>
      <c r="D101" s="61" t="s">
        <v>845</v>
      </c>
      <c r="E101" s="11" t="s">
        <v>9</v>
      </c>
    </row>
    <row r="102">
      <c r="B102" s="61" t="s">
        <v>2263</v>
      </c>
      <c r="C102" s="45" t="s">
        <v>324</v>
      </c>
      <c r="D102" s="61" t="s">
        <v>2262</v>
      </c>
      <c r="E102" s="11" t="s">
        <v>13</v>
      </c>
    </row>
    <row r="103">
      <c r="B103" s="61" t="s">
        <v>845</v>
      </c>
      <c r="C103" s="45" t="s">
        <v>162</v>
      </c>
      <c r="D103" s="61" t="s">
        <v>1076</v>
      </c>
      <c r="E103" s="11" t="s">
        <v>9</v>
      </c>
    </row>
    <row r="104">
      <c r="B104" s="61" t="s">
        <v>2261</v>
      </c>
      <c r="C104" s="45" t="s">
        <v>239</v>
      </c>
      <c r="D104" s="61" t="s">
        <v>2262</v>
      </c>
      <c r="E104" s="11" t="s">
        <v>13</v>
      </c>
    </row>
    <row r="105">
      <c r="B105" s="61" t="s">
        <v>2263</v>
      </c>
      <c r="C105" s="45" t="s">
        <v>181</v>
      </c>
      <c r="D105" s="61" t="s">
        <v>1076</v>
      </c>
      <c r="E105" s="11" t="s">
        <v>9</v>
      </c>
    </row>
    <row r="106">
      <c r="B106" s="61" t="s">
        <v>845</v>
      </c>
      <c r="C106" s="45" t="s">
        <v>248</v>
      </c>
      <c r="D106" s="61" t="s">
        <v>2262</v>
      </c>
      <c r="E106" s="11" t="s">
        <v>13</v>
      </c>
    </row>
    <row r="107">
      <c r="B107" s="61" t="s">
        <v>2261</v>
      </c>
      <c r="C107" s="45" t="s">
        <v>334</v>
      </c>
      <c r="D107" s="61" t="s">
        <v>1076</v>
      </c>
      <c r="E107" s="11" t="s">
        <v>9</v>
      </c>
    </row>
    <row r="108">
      <c r="B108" s="61" t="s">
        <v>845</v>
      </c>
      <c r="C108" s="45" t="s">
        <v>163</v>
      </c>
      <c r="D108" s="61" t="s">
        <v>2263</v>
      </c>
      <c r="E108" s="11" t="s">
        <v>13</v>
      </c>
    </row>
    <row r="109">
      <c r="B109" s="61" t="s">
        <v>2262</v>
      </c>
      <c r="C109" s="45" t="s">
        <v>383</v>
      </c>
      <c r="D109" s="61" t="s">
        <v>1076</v>
      </c>
      <c r="E109" s="11" t="s">
        <v>9</v>
      </c>
    </row>
    <row r="110">
      <c r="B110" s="61" t="s">
        <v>2261</v>
      </c>
      <c r="C110" s="45" t="s">
        <v>2265</v>
      </c>
      <c r="D110" s="61" t="s">
        <v>2263</v>
      </c>
      <c r="E110" s="11" t="s">
        <v>13</v>
      </c>
    </row>
    <row r="111">
      <c r="B111" s="1" t="s">
        <v>2266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317</v>
      </c>
      <c r="C113" s="57" t="s">
        <v>158</v>
      </c>
      <c r="D113" s="61" t="s">
        <v>2267</v>
      </c>
      <c r="E113" s="11" t="s">
        <v>9</v>
      </c>
    </row>
    <row r="114">
      <c r="B114" s="61" t="s">
        <v>800</v>
      </c>
      <c r="C114" s="57" t="s">
        <v>155</v>
      </c>
      <c r="D114" s="61" t="s">
        <v>2268</v>
      </c>
      <c r="E114" s="11" t="s">
        <v>13</v>
      </c>
    </row>
    <row r="115">
      <c r="B115" s="61" t="s">
        <v>2269</v>
      </c>
      <c r="C115" s="57" t="s">
        <v>23</v>
      </c>
      <c r="D115" s="61" t="s">
        <v>317</v>
      </c>
      <c r="E115" s="11" t="s">
        <v>9</v>
      </c>
    </row>
    <row r="116">
      <c r="B116" s="61" t="s">
        <v>800</v>
      </c>
      <c r="C116" s="57" t="s">
        <v>159</v>
      </c>
      <c r="D116" s="61" t="s">
        <v>2267</v>
      </c>
      <c r="E116" s="11" t="s">
        <v>13</v>
      </c>
    </row>
    <row r="117">
      <c r="B117" s="61" t="s">
        <v>2269</v>
      </c>
      <c r="C117" s="57" t="s">
        <v>158</v>
      </c>
      <c r="D117" s="61" t="s">
        <v>2268</v>
      </c>
      <c r="E117" s="11" t="s">
        <v>9</v>
      </c>
    </row>
    <row r="118">
      <c r="B118" s="61" t="s">
        <v>800</v>
      </c>
      <c r="C118" s="57" t="s">
        <v>220</v>
      </c>
      <c r="D118" s="61" t="s">
        <v>317</v>
      </c>
      <c r="E118" s="11" t="s">
        <v>13</v>
      </c>
    </row>
    <row r="119">
      <c r="B119" s="61" t="s">
        <v>2269</v>
      </c>
      <c r="C119" s="57" t="s">
        <v>165</v>
      </c>
      <c r="D119" s="61" t="s">
        <v>2267</v>
      </c>
      <c r="E119" s="11" t="s">
        <v>9</v>
      </c>
    </row>
    <row r="120">
      <c r="B120" s="61" t="s">
        <v>2268</v>
      </c>
      <c r="C120" s="57" t="s">
        <v>1590</v>
      </c>
      <c r="D120" s="61" t="s">
        <v>317</v>
      </c>
      <c r="E120" s="11" t="s">
        <v>13</v>
      </c>
    </row>
    <row r="121">
      <c r="B121" s="61" t="s">
        <v>2269</v>
      </c>
      <c r="C121" s="57" t="s">
        <v>257</v>
      </c>
      <c r="D121" s="61" t="s">
        <v>800</v>
      </c>
      <c r="E121" s="11" t="s">
        <v>9</v>
      </c>
    </row>
    <row r="122">
      <c r="B122" s="61" t="s">
        <v>2268</v>
      </c>
      <c r="C122" s="57" t="s">
        <v>292</v>
      </c>
      <c r="D122" s="61" t="s">
        <v>2267</v>
      </c>
      <c r="E122" s="11" t="s">
        <v>13</v>
      </c>
    </row>
    <row r="123">
      <c r="B123" s="61" t="s">
        <v>2267</v>
      </c>
      <c r="C123" s="57" t="s">
        <v>195</v>
      </c>
      <c r="D123" s="61" t="s">
        <v>317</v>
      </c>
      <c r="E123" s="11" t="s">
        <v>9</v>
      </c>
    </row>
    <row r="124">
      <c r="B124" s="61" t="s">
        <v>2268</v>
      </c>
      <c r="C124" s="57" t="s">
        <v>181</v>
      </c>
      <c r="D124" s="61" t="s">
        <v>800</v>
      </c>
      <c r="E124" s="11" t="s">
        <v>13</v>
      </c>
    </row>
    <row r="125">
      <c r="B125" s="61" t="s">
        <v>317</v>
      </c>
      <c r="C125" s="45" t="s">
        <v>17</v>
      </c>
      <c r="D125" s="61" t="s">
        <v>2269</v>
      </c>
      <c r="E125" s="11" t="s">
        <v>9</v>
      </c>
    </row>
    <row r="126">
      <c r="B126" s="61" t="s">
        <v>2267</v>
      </c>
      <c r="C126" s="45" t="s">
        <v>442</v>
      </c>
      <c r="D126" s="61" t="s">
        <v>800</v>
      </c>
      <c r="E126" s="11" t="s">
        <v>13</v>
      </c>
    </row>
    <row r="127">
      <c r="B127" s="61" t="s">
        <v>2268</v>
      </c>
      <c r="C127" s="45" t="s">
        <v>193</v>
      </c>
      <c r="D127" s="61" t="s">
        <v>2269</v>
      </c>
      <c r="E127" s="11" t="s">
        <v>9</v>
      </c>
    </row>
    <row r="128">
      <c r="B128" s="61" t="s">
        <v>317</v>
      </c>
      <c r="C128" s="45" t="s">
        <v>196</v>
      </c>
      <c r="D128" s="61" t="s">
        <v>800</v>
      </c>
      <c r="E128" s="11" t="s">
        <v>13</v>
      </c>
    </row>
    <row r="129">
      <c r="B129" s="61" t="s">
        <v>2267</v>
      </c>
      <c r="C129" s="45" t="s">
        <v>248</v>
      </c>
      <c r="D129" s="61" t="s">
        <v>2269</v>
      </c>
      <c r="E129" s="11" t="s">
        <v>9</v>
      </c>
    </row>
    <row r="130">
      <c r="B130" s="61" t="s">
        <v>317</v>
      </c>
      <c r="C130" s="45" t="s">
        <v>162</v>
      </c>
      <c r="D130" s="61" t="s">
        <v>2268</v>
      </c>
      <c r="E130" s="11" t="s">
        <v>13</v>
      </c>
    </row>
    <row r="131">
      <c r="B131" s="61" t="s">
        <v>800</v>
      </c>
      <c r="C131" s="45" t="s">
        <v>232</v>
      </c>
      <c r="D131" s="61" t="s">
        <v>2269</v>
      </c>
      <c r="E131" s="11" t="s">
        <v>9</v>
      </c>
    </row>
    <row r="132">
      <c r="B132" s="61" t="s">
        <v>2267</v>
      </c>
      <c r="C132" s="45" t="s">
        <v>229</v>
      </c>
      <c r="D132" s="61" t="s">
        <v>2268</v>
      </c>
      <c r="E132" s="11" t="s">
        <v>13</v>
      </c>
    </row>
    <row r="133">
      <c r="B133" s="96" t="s">
        <v>2270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1405</v>
      </c>
      <c r="C135" s="57" t="s">
        <v>20</v>
      </c>
      <c r="D135" s="61" t="s">
        <v>2271</v>
      </c>
      <c r="E135" s="11" t="s">
        <v>29</v>
      </c>
    </row>
    <row r="136">
      <c r="B136" s="61" t="s">
        <v>859</v>
      </c>
      <c r="C136" s="57" t="s">
        <v>425</v>
      </c>
      <c r="D136" s="61" t="s">
        <v>1067</v>
      </c>
      <c r="E136" s="11" t="s">
        <v>33</v>
      </c>
    </row>
    <row r="137">
      <c r="B137" s="61" t="s">
        <v>2272</v>
      </c>
      <c r="C137" s="57" t="s">
        <v>302</v>
      </c>
      <c r="D137" s="61" t="s">
        <v>1405</v>
      </c>
      <c r="E137" s="11" t="s">
        <v>29</v>
      </c>
    </row>
    <row r="138">
      <c r="B138" s="61" t="s">
        <v>859</v>
      </c>
      <c r="C138" s="57" t="s">
        <v>17</v>
      </c>
      <c r="D138" s="61" t="s">
        <v>2271</v>
      </c>
      <c r="E138" s="11" t="s">
        <v>33</v>
      </c>
    </row>
    <row r="139">
      <c r="B139" s="61" t="s">
        <v>2272</v>
      </c>
      <c r="C139" s="57" t="s">
        <v>162</v>
      </c>
      <c r="D139" s="61" t="s">
        <v>1067</v>
      </c>
      <c r="E139" s="11" t="s">
        <v>29</v>
      </c>
    </row>
    <row r="140">
      <c r="B140" s="61" t="s">
        <v>859</v>
      </c>
      <c r="C140" s="57" t="s">
        <v>182</v>
      </c>
      <c r="D140" s="61" t="s">
        <v>1405</v>
      </c>
      <c r="E140" s="11" t="s">
        <v>33</v>
      </c>
    </row>
    <row r="141">
      <c r="B141" s="61" t="s">
        <v>2272</v>
      </c>
      <c r="C141" s="57" t="s">
        <v>268</v>
      </c>
      <c r="D141" s="61" t="s">
        <v>2271</v>
      </c>
      <c r="E141" s="11" t="s">
        <v>29</v>
      </c>
    </row>
    <row r="142">
      <c r="B142" s="61" t="s">
        <v>1067</v>
      </c>
      <c r="C142" s="57" t="s">
        <v>352</v>
      </c>
      <c r="D142" s="61" t="s">
        <v>1405</v>
      </c>
      <c r="E142" s="11" t="s">
        <v>33</v>
      </c>
    </row>
    <row r="143">
      <c r="B143" s="61" t="s">
        <v>2272</v>
      </c>
      <c r="C143" s="57" t="s">
        <v>291</v>
      </c>
      <c r="D143" s="61" t="s">
        <v>859</v>
      </c>
      <c r="E143" s="11" t="s">
        <v>29</v>
      </c>
    </row>
    <row r="144">
      <c r="B144" s="61" t="s">
        <v>1067</v>
      </c>
      <c r="C144" s="57" t="s">
        <v>237</v>
      </c>
      <c r="D144" s="61" t="s">
        <v>2271</v>
      </c>
      <c r="E144" s="11" t="s">
        <v>33</v>
      </c>
    </row>
    <row r="145">
      <c r="B145" s="61" t="s">
        <v>2271</v>
      </c>
      <c r="C145" s="57" t="s">
        <v>17</v>
      </c>
      <c r="D145" s="61" t="s">
        <v>1405</v>
      </c>
      <c r="E145" s="11" t="s">
        <v>29</v>
      </c>
    </row>
    <row r="146">
      <c r="B146" s="61" t="s">
        <v>1067</v>
      </c>
      <c r="C146" s="57" t="s">
        <v>155</v>
      </c>
      <c r="D146" s="61" t="s">
        <v>859</v>
      </c>
      <c r="E146" s="11" t="s">
        <v>33</v>
      </c>
    </row>
    <row r="147">
      <c r="B147" s="61" t="s">
        <v>1405</v>
      </c>
      <c r="C147" s="45" t="s">
        <v>158</v>
      </c>
      <c r="D147" s="61" t="s">
        <v>2272</v>
      </c>
      <c r="E147" s="11" t="s">
        <v>29</v>
      </c>
    </row>
    <row r="148">
      <c r="B148" s="61" t="s">
        <v>2271</v>
      </c>
      <c r="C148" s="45" t="s">
        <v>19</v>
      </c>
      <c r="D148" s="61" t="s">
        <v>859</v>
      </c>
      <c r="E148" s="11" t="s">
        <v>33</v>
      </c>
    </row>
    <row r="149">
      <c r="B149" s="61" t="s">
        <v>1067</v>
      </c>
      <c r="C149" s="45" t="s">
        <v>23</v>
      </c>
      <c r="D149" s="61" t="s">
        <v>2272</v>
      </c>
      <c r="E149" s="11" t="s">
        <v>29</v>
      </c>
    </row>
    <row r="150">
      <c r="B150" s="61" t="s">
        <v>1405</v>
      </c>
      <c r="C150" s="45" t="s">
        <v>43</v>
      </c>
      <c r="D150" s="61" t="s">
        <v>859</v>
      </c>
      <c r="E150" s="11" t="s">
        <v>33</v>
      </c>
    </row>
    <row r="151">
      <c r="B151" s="61" t="s">
        <v>2271</v>
      </c>
      <c r="C151" s="45" t="s">
        <v>426</v>
      </c>
      <c r="D151" s="61" t="s">
        <v>2272</v>
      </c>
      <c r="E151" s="11" t="s">
        <v>29</v>
      </c>
    </row>
    <row r="152">
      <c r="B152" s="61" t="s">
        <v>1405</v>
      </c>
      <c r="C152" s="45" t="s">
        <v>43</v>
      </c>
      <c r="D152" s="61" t="s">
        <v>1067</v>
      </c>
      <c r="E152" s="11" t="s">
        <v>33</v>
      </c>
    </row>
    <row r="153">
      <c r="B153" s="61" t="s">
        <v>859</v>
      </c>
      <c r="C153" s="45" t="s">
        <v>158</v>
      </c>
      <c r="D153" s="61" t="s">
        <v>2272</v>
      </c>
      <c r="E153" s="11" t="s">
        <v>29</v>
      </c>
    </row>
    <row r="154">
      <c r="B154" s="61" t="s">
        <v>2271</v>
      </c>
      <c r="C154" s="45" t="s">
        <v>155</v>
      </c>
      <c r="D154" s="61" t="s">
        <v>1067</v>
      </c>
      <c r="E154" s="11" t="s">
        <v>33</v>
      </c>
    </row>
    <row r="155">
      <c r="B155" s="1" t="s">
        <v>2152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2273</v>
      </c>
      <c r="C157" s="57" t="s">
        <v>7</v>
      </c>
      <c r="D157" s="61" t="s">
        <v>1557</v>
      </c>
      <c r="E157" s="11" t="s">
        <v>9</v>
      </c>
    </row>
    <row r="158">
      <c r="B158" s="61" t="s">
        <v>2274</v>
      </c>
      <c r="C158" s="57" t="s">
        <v>195</v>
      </c>
      <c r="D158" s="61" t="s">
        <v>2275</v>
      </c>
      <c r="E158" s="11" t="s">
        <v>13</v>
      </c>
    </row>
    <row r="159">
      <c r="B159" s="61" t="s">
        <v>388</v>
      </c>
      <c r="C159" s="57" t="s">
        <v>196</v>
      </c>
      <c r="D159" s="61" t="s">
        <v>2273</v>
      </c>
      <c r="E159" s="11" t="s">
        <v>9</v>
      </c>
    </row>
    <row r="160">
      <c r="B160" s="61" t="s">
        <v>2274</v>
      </c>
      <c r="C160" s="57" t="s">
        <v>43</v>
      </c>
      <c r="D160" s="61" t="s">
        <v>1557</v>
      </c>
      <c r="E160" s="11" t="s">
        <v>13</v>
      </c>
    </row>
    <row r="161">
      <c r="B161" s="61" t="s">
        <v>388</v>
      </c>
      <c r="C161" s="57" t="s">
        <v>20</v>
      </c>
      <c r="D161" s="61" t="s">
        <v>2275</v>
      </c>
      <c r="E161" s="11" t="s">
        <v>9</v>
      </c>
    </row>
    <row r="162">
      <c r="B162" s="61" t="s">
        <v>2274</v>
      </c>
      <c r="C162" s="57" t="s">
        <v>1227</v>
      </c>
      <c r="D162" s="61" t="s">
        <v>2273</v>
      </c>
      <c r="E162" s="11" t="s">
        <v>13</v>
      </c>
    </row>
    <row r="163">
      <c r="B163" s="61" t="s">
        <v>388</v>
      </c>
      <c r="C163" s="57" t="s">
        <v>219</v>
      </c>
      <c r="D163" s="61" t="s">
        <v>1557</v>
      </c>
      <c r="E163" s="11" t="s">
        <v>9</v>
      </c>
    </row>
    <row r="164">
      <c r="B164" s="61" t="s">
        <v>2275</v>
      </c>
      <c r="C164" s="57" t="s">
        <v>155</v>
      </c>
      <c r="D164" s="61" t="s">
        <v>2273</v>
      </c>
      <c r="E164" s="11" t="s">
        <v>13</v>
      </c>
    </row>
    <row r="165">
      <c r="B165" s="61" t="s">
        <v>388</v>
      </c>
      <c r="C165" s="57" t="s">
        <v>344</v>
      </c>
      <c r="D165" s="61" t="s">
        <v>2274</v>
      </c>
      <c r="E165" s="11" t="s">
        <v>9</v>
      </c>
    </row>
    <row r="166">
      <c r="B166" s="61" t="s">
        <v>2275</v>
      </c>
      <c r="C166" s="57" t="s">
        <v>158</v>
      </c>
      <c r="D166" s="61" t="s">
        <v>1557</v>
      </c>
      <c r="E166" s="11" t="s">
        <v>13</v>
      </c>
    </row>
    <row r="167">
      <c r="B167" s="61" t="s">
        <v>1557</v>
      </c>
      <c r="C167" s="57" t="s">
        <v>351</v>
      </c>
      <c r="D167" s="61" t="s">
        <v>2273</v>
      </c>
      <c r="E167" s="11" t="s">
        <v>9</v>
      </c>
    </row>
    <row r="168">
      <c r="B168" s="61" t="s">
        <v>2275</v>
      </c>
      <c r="C168" s="57" t="s">
        <v>193</v>
      </c>
      <c r="D168" s="61" t="s">
        <v>2274</v>
      </c>
      <c r="E168" s="11" t="s">
        <v>13</v>
      </c>
    </row>
    <row r="169">
      <c r="B169" s="61" t="s">
        <v>2273</v>
      </c>
      <c r="C169" s="45" t="s">
        <v>248</v>
      </c>
      <c r="D169" s="61" t="s">
        <v>388</v>
      </c>
      <c r="E169" s="11" t="s">
        <v>9</v>
      </c>
    </row>
    <row r="170">
      <c r="B170" s="61" t="s">
        <v>1557</v>
      </c>
      <c r="C170" s="45" t="s">
        <v>375</v>
      </c>
      <c r="D170" s="61" t="s">
        <v>2274</v>
      </c>
      <c r="E170" s="11" t="s">
        <v>13</v>
      </c>
    </row>
    <row r="171">
      <c r="B171" s="61" t="s">
        <v>2275</v>
      </c>
      <c r="C171" s="45" t="s">
        <v>298</v>
      </c>
      <c r="D171" s="61" t="s">
        <v>388</v>
      </c>
      <c r="E171" s="11" t="s">
        <v>9</v>
      </c>
    </row>
    <row r="172">
      <c r="B172" s="61" t="s">
        <v>2273</v>
      </c>
      <c r="C172" s="45" t="s">
        <v>301</v>
      </c>
      <c r="D172" s="61" t="s">
        <v>2274</v>
      </c>
      <c r="E172" s="11" t="s">
        <v>13</v>
      </c>
    </row>
    <row r="173">
      <c r="B173" s="61" t="s">
        <v>1557</v>
      </c>
      <c r="C173" s="45" t="s">
        <v>36</v>
      </c>
      <c r="D173" s="61" t="s">
        <v>388</v>
      </c>
      <c r="E173" s="11" t="s">
        <v>9</v>
      </c>
    </row>
    <row r="174">
      <c r="B174" s="61" t="s">
        <v>2273</v>
      </c>
      <c r="C174" s="45" t="s">
        <v>18</v>
      </c>
      <c r="D174" s="61" t="s">
        <v>2275</v>
      </c>
      <c r="E174" s="11" t="s">
        <v>13</v>
      </c>
    </row>
    <row r="175">
      <c r="B175" s="61" t="s">
        <v>2274</v>
      </c>
      <c r="C175" s="45" t="s">
        <v>181</v>
      </c>
      <c r="D175" s="61" t="s">
        <v>388</v>
      </c>
      <c r="E175" s="11" t="s">
        <v>9</v>
      </c>
    </row>
    <row r="176">
      <c r="B176" s="61" t="s">
        <v>1557</v>
      </c>
      <c r="C176" s="45" t="s">
        <v>264</v>
      </c>
      <c r="D176" s="61" t="s">
        <v>2275</v>
      </c>
      <c r="E176" s="11" t="s">
        <v>13</v>
      </c>
    </row>
    <row r="177">
      <c r="B177" s="96" t="s">
        <v>2276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332</v>
      </c>
      <c r="C179" s="45" t="s">
        <v>220</v>
      </c>
      <c r="D179" s="61" t="s">
        <v>2277</v>
      </c>
      <c r="E179" s="11" t="s">
        <v>29</v>
      </c>
    </row>
    <row r="180">
      <c r="B180" s="61" t="s">
        <v>2278</v>
      </c>
      <c r="C180" s="45" t="s">
        <v>24</v>
      </c>
      <c r="D180" s="61" t="s">
        <v>2279</v>
      </c>
      <c r="E180" s="11" t="s">
        <v>33</v>
      </c>
    </row>
    <row r="181">
      <c r="B181" s="61" t="s">
        <v>2280</v>
      </c>
      <c r="C181" s="45" t="s">
        <v>225</v>
      </c>
      <c r="D181" s="61" t="s">
        <v>332</v>
      </c>
      <c r="E181" s="11" t="s">
        <v>29</v>
      </c>
    </row>
    <row r="182">
      <c r="B182" s="61" t="s">
        <v>2278</v>
      </c>
      <c r="C182" s="45" t="s">
        <v>302</v>
      </c>
      <c r="D182" s="61" t="s">
        <v>2277</v>
      </c>
      <c r="E182" s="11" t="s">
        <v>33</v>
      </c>
    </row>
    <row r="183">
      <c r="B183" s="61" t="s">
        <v>2280</v>
      </c>
      <c r="C183" s="45" t="s">
        <v>248</v>
      </c>
      <c r="D183" s="61" t="s">
        <v>2279</v>
      </c>
      <c r="E183" s="11" t="s">
        <v>29</v>
      </c>
    </row>
    <row r="184">
      <c r="B184" s="61" t="s">
        <v>2278</v>
      </c>
      <c r="C184" s="45" t="s">
        <v>271</v>
      </c>
      <c r="D184" s="61" t="s">
        <v>332</v>
      </c>
      <c r="E184" s="11" t="s">
        <v>33</v>
      </c>
    </row>
    <row r="185">
      <c r="B185" s="61" t="s">
        <v>2280</v>
      </c>
      <c r="C185" s="45" t="s">
        <v>549</v>
      </c>
      <c r="D185" s="61" t="s">
        <v>2277</v>
      </c>
      <c r="E185" s="11" t="s">
        <v>29</v>
      </c>
    </row>
    <row r="186">
      <c r="B186" s="61" t="s">
        <v>2279</v>
      </c>
      <c r="C186" s="45" t="s">
        <v>158</v>
      </c>
      <c r="D186" s="61" t="s">
        <v>332</v>
      </c>
      <c r="E186" s="11" t="s">
        <v>33</v>
      </c>
    </row>
    <row r="187">
      <c r="B187" s="61" t="s">
        <v>2280</v>
      </c>
      <c r="C187" s="45" t="s">
        <v>2281</v>
      </c>
      <c r="D187" s="61" t="s">
        <v>2278</v>
      </c>
      <c r="E187" s="11" t="s">
        <v>29</v>
      </c>
    </row>
    <row r="188">
      <c r="B188" s="61" t="s">
        <v>2279</v>
      </c>
      <c r="C188" s="45" t="s">
        <v>193</v>
      </c>
      <c r="D188" s="61" t="s">
        <v>2277</v>
      </c>
      <c r="E188" s="11" t="s">
        <v>33</v>
      </c>
    </row>
    <row r="189">
      <c r="B189" s="61" t="s">
        <v>2277</v>
      </c>
      <c r="C189" s="45" t="s">
        <v>327</v>
      </c>
      <c r="D189" s="61" t="s">
        <v>332</v>
      </c>
      <c r="E189" s="11" t="s">
        <v>29</v>
      </c>
    </row>
    <row r="190">
      <c r="B190" s="61" t="s">
        <v>2279</v>
      </c>
      <c r="C190" s="45" t="s">
        <v>517</v>
      </c>
      <c r="D190" s="61" t="s">
        <v>2278</v>
      </c>
      <c r="E190" s="11" t="s">
        <v>33</v>
      </c>
    </row>
    <row r="191">
      <c r="B191" s="61" t="s">
        <v>332</v>
      </c>
      <c r="C191" s="45" t="s">
        <v>194</v>
      </c>
      <c r="D191" s="61" t="s">
        <v>2280</v>
      </c>
      <c r="E191" s="11" t="s">
        <v>29</v>
      </c>
    </row>
    <row r="192">
      <c r="B192" s="61" t="s">
        <v>2277</v>
      </c>
      <c r="C192" s="45" t="s">
        <v>36</v>
      </c>
      <c r="D192" s="61" t="s">
        <v>2278</v>
      </c>
      <c r="E192" s="11" t="s">
        <v>33</v>
      </c>
    </row>
    <row r="193">
      <c r="B193" s="61" t="s">
        <v>2279</v>
      </c>
      <c r="C193" s="45" t="s">
        <v>366</v>
      </c>
      <c r="D193" s="61" t="s">
        <v>2280</v>
      </c>
      <c r="E193" s="11" t="s">
        <v>29</v>
      </c>
    </row>
    <row r="194">
      <c r="B194" s="61" t="s">
        <v>332</v>
      </c>
      <c r="C194" s="45" t="s">
        <v>20</v>
      </c>
      <c r="D194" s="61" t="s">
        <v>2278</v>
      </c>
      <c r="E194" s="11" t="s">
        <v>33</v>
      </c>
    </row>
    <row r="195">
      <c r="B195" s="61" t="s">
        <v>2277</v>
      </c>
      <c r="C195" s="45" t="s">
        <v>222</v>
      </c>
      <c r="D195" s="61" t="s">
        <v>2280</v>
      </c>
      <c r="E195" s="11" t="s">
        <v>29</v>
      </c>
    </row>
    <row r="196">
      <c r="B196" s="61" t="s">
        <v>332</v>
      </c>
      <c r="C196" s="45" t="s">
        <v>41</v>
      </c>
      <c r="D196" s="61" t="s">
        <v>2279</v>
      </c>
      <c r="E196" s="11" t="s">
        <v>33</v>
      </c>
    </row>
    <row r="197">
      <c r="B197" s="61" t="s">
        <v>2278</v>
      </c>
      <c r="C197" s="45" t="s">
        <v>18</v>
      </c>
      <c r="D197" s="61" t="s">
        <v>2280</v>
      </c>
      <c r="E197" s="11" t="s">
        <v>29</v>
      </c>
    </row>
    <row r="198">
      <c r="B198" s="61" t="s">
        <v>2277</v>
      </c>
      <c r="C198" s="45" t="s">
        <v>301</v>
      </c>
      <c r="D198" s="61" t="s">
        <v>2279</v>
      </c>
      <c r="E198" s="11" t="s">
        <v>33</v>
      </c>
    </row>
    <row r="199">
      <c r="B199" s="96" t="s">
        <v>2282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1694</v>
      </c>
      <c r="C201" s="45" t="s">
        <v>193</v>
      </c>
      <c r="D201" s="61" t="s">
        <v>2283</v>
      </c>
      <c r="E201" s="11" t="s">
        <v>29</v>
      </c>
    </row>
    <row r="202">
      <c r="B202" s="61" t="s">
        <v>1697</v>
      </c>
      <c r="C202" s="45" t="s">
        <v>219</v>
      </c>
      <c r="D202" s="61" t="s">
        <v>1622</v>
      </c>
      <c r="E202" s="11" t="s">
        <v>33</v>
      </c>
    </row>
    <row r="203">
      <c r="B203" s="61" t="s">
        <v>2284</v>
      </c>
      <c r="C203" s="45" t="s">
        <v>158</v>
      </c>
      <c r="D203" s="61" t="s">
        <v>1694</v>
      </c>
      <c r="E203" s="11" t="s">
        <v>29</v>
      </c>
    </row>
    <row r="204">
      <c r="B204" s="61" t="s">
        <v>1697</v>
      </c>
      <c r="C204" s="45" t="s">
        <v>225</v>
      </c>
      <c r="D204" s="61" t="s">
        <v>2283</v>
      </c>
      <c r="E204" s="11" t="s">
        <v>33</v>
      </c>
    </row>
    <row r="205">
      <c r="B205" s="61" t="s">
        <v>2284</v>
      </c>
      <c r="C205" s="45" t="s">
        <v>173</v>
      </c>
      <c r="D205" s="61" t="s">
        <v>1622</v>
      </c>
      <c r="E205" s="11" t="s">
        <v>29</v>
      </c>
    </row>
    <row r="206">
      <c r="B206" s="61" t="s">
        <v>1697</v>
      </c>
      <c r="C206" s="45" t="s">
        <v>209</v>
      </c>
      <c r="D206" s="61" t="s">
        <v>1694</v>
      </c>
      <c r="E206" s="11" t="s">
        <v>33</v>
      </c>
    </row>
    <row r="207">
      <c r="B207" s="61" t="s">
        <v>2284</v>
      </c>
      <c r="C207" s="45" t="s">
        <v>43</v>
      </c>
      <c r="D207" s="61" t="s">
        <v>2283</v>
      </c>
      <c r="E207" s="11" t="s">
        <v>29</v>
      </c>
    </row>
    <row r="208">
      <c r="B208" s="61" t="s">
        <v>1622</v>
      </c>
      <c r="C208" s="45" t="s">
        <v>173</v>
      </c>
      <c r="D208" s="61" t="s">
        <v>1694</v>
      </c>
      <c r="E208" s="11" t="s">
        <v>33</v>
      </c>
    </row>
    <row r="209">
      <c r="B209" s="61" t="s">
        <v>2284</v>
      </c>
      <c r="C209" s="45" t="s">
        <v>2285</v>
      </c>
      <c r="D209" s="61" t="s">
        <v>1697</v>
      </c>
      <c r="E209" s="11" t="s">
        <v>29</v>
      </c>
    </row>
    <row r="210">
      <c r="B210" s="61" t="s">
        <v>1622</v>
      </c>
      <c r="C210" s="45" t="s">
        <v>210</v>
      </c>
      <c r="D210" s="61" t="s">
        <v>2283</v>
      </c>
      <c r="E210" s="11" t="s">
        <v>33</v>
      </c>
    </row>
    <row r="211">
      <c r="B211" s="61" t="s">
        <v>2283</v>
      </c>
      <c r="C211" s="45" t="s">
        <v>281</v>
      </c>
      <c r="D211" s="61" t="s">
        <v>1694</v>
      </c>
      <c r="E211" s="11" t="s">
        <v>29</v>
      </c>
    </row>
    <row r="212">
      <c r="B212" s="61" t="s">
        <v>1622</v>
      </c>
      <c r="C212" s="45" t="s">
        <v>23</v>
      </c>
      <c r="D212" s="61" t="s">
        <v>1697</v>
      </c>
      <c r="E212" s="11" t="s">
        <v>33</v>
      </c>
    </row>
    <row r="213">
      <c r="B213" s="61" t="s">
        <v>1694</v>
      </c>
      <c r="C213" s="45" t="s">
        <v>18</v>
      </c>
      <c r="D213" s="61" t="s">
        <v>2284</v>
      </c>
      <c r="E213" s="11" t="s">
        <v>29</v>
      </c>
    </row>
    <row r="214">
      <c r="B214" s="61" t="s">
        <v>2283</v>
      </c>
      <c r="C214" s="45" t="s">
        <v>36</v>
      </c>
      <c r="D214" s="61" t="s">
        <v>1697</v>
      </c>
      <c r="E214" s="11" t="s">
        <v>33</v>
      </c>
    </row>
    <row r="215">
      <c r="B215" s="61" t="s">
        <v>1622</v>
      </c>
      <c r="C215" s="45" t="s">
        <v>18</v>
      </c>
      <c r="D215" s="61" t="s">
        <v>2284</v>
      </c>
      <c r="E215" s="11" t="s">
        <v>29</v>
      </c>
    </row>
    <row r="216">
      <c r="B216" s="61" t="s">
        <v>1694</v>
      </c>
      <c r="C216" s="45" t="s">
        <v>433</v>
      </c>
      <c r="D216" s="61" t="s">
        <v>1697</v>
      </c>
      <c r="E216" s="11" t="s">
        <v>33</v>
      </c>
    </row>
    <row r="217">
      <c r="B217" s="61" t="s">
        <v>2283</v>
      </c>
      <c r="C217" s="45" t="s">
        <v>23</v>
      </c>
      <c r="D217" s="61" t="s">
        <v>2284</v>
      </c>
      <c r="E217" s="11" t="s">
        <v>29</v>
      </c>
    </row>
    <row r="218">
      <c r="B218" s="61" t="s">
        <v>1694</v>
      </c>
      <c r="C218" s="45" t="s">
        <v>193</v>
      </c>
      <c r="D218" s="61" t="s">
        <v>1622</v>
      </c>
      <c r="E218" s="11" t="s">
        <v>33</v>
      </c>
    </row>
    <row r="219">
      <c r="B219" s="61" t="s">
        <v>1697</v>
      </c>
      <c r="C219" s="45" t="s">
        <v>41</v>
      </c>
      <c r="D219" s="61" t="s">
        <v>2284</v>
      </c>
      <c r="E219" s="11" t="s">
        <v>29</v>
      </c>
    </row>
    <row r="220">
      <c r="B220" s="61" t="s">
        <v>2283</v>
      </c>
      <c r="C220" s="45" t="s">
        <v>940</v>
      </c>
      <c r="D220" s="61" t="s">
        <v>1622</v>
      </c>
      <c r="E220" s="11" t="s">
        <v>33</v>
      </c>
    </row>
    <row r="221">
      <c r="B221" s="52" t="s">
        <v>1803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1229</v>
      </c>
      <c r="C223" s="57" t="s">
        <v>23</v>
      </c>
      <c r="D223" s="62" t="s">
        <v>2286</v>
      </c>
      <c r="E223" s="11" t="s">
        <v>9</v>
      </c>
    </row>
    <row r="224">
      <c r="B224" s="62" t="s">
        <v>1230</v>
      </c>
      <c r="C224" s="57" t="s">
        <v>181</v>
      </c>
      <c r="D224" s="62" t="s">
        <v>2287</v>
      </c>
      <c r="E224" s="11" t="s">
        <v>13</v>
      </c>
    </row>
    <row r="225">
      <c r="B225" s="62" t="s">
        <v>2288</v>
      </c>
      <c r="C225" s="57" t="s">
        <v>218</v>
      </c>
      <c r="D225" s="62" t="s">
        <v>1229</v>
      </c>
      <c r="E225" s="11" t="s">
        <v>9</v>
      </c>
    </row>
    <row r="226">
      <c r="B226" s="62" t="s">
        <v>1230</v>
      </c>
      <c r="C226" s="57" t="s">
        <v>425</v>
      </c>
      <c r="D226" s="62" t="s">
        <v>2286</v>
      </c>
      <c r="E226" s="11" t="s">
        <v>13</v>
      </c>
    </row>
    <row r="227">
      <c r="B227" s="62" t="s">
        <v>2288</v>
      </c>
      <c r="C227" s="57" t="s">
        <v>301</v>
      </c>
      <c r="D227" s="62" t="s">
        <v>2287</v>
      </c>
      <c r="E227" s="11" t="s">
        <v>9</v>
      </c>
    </row>
    <row r="228">
      <c r="B228" s="62" t="s">
        <v>1230</v>
      </c>
      <c r="C228" s="57" t="s">
        <v>7</v>
      </c>
      <c r="D228" s="62" t="s">
        <v>1229</v>
      </c>
      <c r="E228" s="11" t="s">
        <v>13</v>
      </c>
    </row>
    <row r="229">
      <c r="B229" s="62" t="s">
        <v>2288</v>
      </c>
      <c r="C229" s="57" t="s">
        <v>18</v>
      </c>
      <c r="D229" s="62" t="s">
        <v>2286</v>
      </c>
      <c r="E229" s="11" t="s">
        <v>9</v>
      </c>
    </row>
    <row r="230">
      <c r="B230" s="62" t="s">
        <v>2287</v>
      </c>
      <c r="C230" s="57" t="s">
        <v>545</v>
      </c>
      <c r="D230" s="62" t="s">
        <v>1229</v>
      </c>
      <c r="E230" s="11" t="s">
        <v>13</v>
      </c>
    </row>
    <row r="231">
      <c r="B231" s="62" t="s">
        <v>2288</v>
      </c>
      <c r="C231" s="57" t="s">
        <v>43</v>
      </c>
      <c r="D231" s="62" t="s">
        <v>1230</v>
      </c>
      <c r="E231" s="11" t="s">
        <v>9</v>
      </c>
    </row>
    <row r="232">
      <c r="B232" s="62" t="s">
        <v>2287</v>
      </c>
      <c r="C232" s="57" t="s">
        <v>158</v>
      </c>
      <c r="D232" s="62" t="s">
        <v>2286</v>
      </c>
      <c r="E232" s="11" t="s">
        <v>13</v>
      </c>
    </row>
    <row r="233">
      <c r="B233" s="62" t="s">
        <v>2286</v>
      </c>
      <c r="C233" s="57" t="s">
        <v>233</v>
      </c>
      <c r="D233" s="62" t="s">
        <v>1229</v>
      </c>
      <c r="E233" s="11" t="s">
        <v>9</v>
      </c>
    </row>
    <row r="234">
      <c r="B234" s="62" t="s">
        <v>2287</v>
      </c>
      <c r="C234" s="57" t="s">
        <v>43</v>
      </c>
      <c r="D234" s="62" t="s">
        <v>1230</v>
      </c>
      <c r="E234" s="11" t="s">
        <v>13</v>
      </c>
    </row>
    <row r="235">
      <c r="B235" s="62" t="s">
        <v>1229</v>
      </c>
      <c r="C235" s="45" t="s">
        <v>155</v>
      </c>
      <c r="D235" s="62" t="s">
        <v>2288</v>
      </c>
      <c r="E235" s="11" t="s">
        <v>9</v>
      </c>
    </row>
    <row r="236">
      <c r="B236" s="62" t="s">
        <v>2286</v>
      </c>
      <c r="C236" s="45" t="s">
        <v>302</v>
      </c>
      <c r="D236" s="62" t="s">
        <v>1230</v>
      </c>
      <c r="E236" s="11" t="s">
        <v>13</v>
      </c>
    </row>
    <row r="237">
      <c r="B237" s="62" t="s">
        <v>2287</v>
      </c>
      <c r="C237" s="45" t="s">
        <v>163</v>
      </c>
      <c r="D237" s="62" t="s">
        <v>2288</v>
      </c>
      <c r="E237" s="11" t="s">
        <v>9</v>
      </c>
    </row>
    <row r="238">
      <c r="B238" s="62" t="s">
        <v>1229</v>
      </c>
      <c r="C238" s="45" t="s">
        <v>158</v>
      </c>
      <c r="D238" s="62" t="s">
        <v>1230</v>
      </c>
      <c r="E238" s="11" t="s">
        <v>13</v>
      </c>
    </row>
    <row r="239">
      <c r="B239" s="62" t="s">
        <v>2286</v>
      </c>
      <c r="C239" s="45" t="s">
        <v>212</v>
      </c>
      <c r="D239" s="62" t="s">
        <v>2288</v>
      </c>
      <c r="E239" s="11" t="s">
        <v>9</v>
      </c>
    </row>
    <row r="240">
      <c r="B240" s="62" t="s">
        <v>1229</v>
      </c>
      <c r="C240" s="45" t="s">
        <v>18</v>
      </c>
      <c r="D240" s="62" t="s">
        <v>2287</v>
      </c>
      <c r="E240" s="11" t="s">
        <v>13</v>
      </c>
    </row>
    <row r="241">
      <c r="B241" s="62" t="s">
        <v>1230</v>
      </c>
      <c r="C241" s="45" t="s">
        <v>19</v>
      </c>
      <c r="D241" s="62" t="s">
        <v>2288</v>
      </c>
      <c r="E241" s="11" t="s">
        <v>9</v>
      </c>
    </row>
    <row r="242">
      <c r="B242" s="62" t="s">
        <v>2286</v>
      </c>
      <c r="C242" s="45" t="s">
        <v>301</v>
      </c>
      <c r="D242" s="62" t="s">
        <v>2287</v>
      </c>
      <c r="E242" s="11" t="s">
        <v>13</v>
      </c>
    </row>
    <row r="243">
      <c r="B243" s="52" t="s">
        <v>1566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2289</v>
      </c>
      <c r="C245" s="45" t="s">
        <v>181</v>
      </c>
      <c r="D245" s="62" t="s">
        <v>2290</v>
      </c>
      <c r="E245" s="11" t="s">
        <v>9</v>
      </c>
    </row>
    <row r="246">
      <c r="B246" s="62" t="s">
        <v>1692</v>
      </c>
      <c r="C246" s="45" t="s">
        <v>251</v>
      </c>
      <c r="D246" s="62" t="s">
        <v>2291</v>
      </c>
      <c r="E246" s="11" t="s">
        <v>13</v>
      </c>
    </row>
    <row r="247">
      <c r="B247" s="62" t="s">
        <v>2292</v>
      </c>
      <c r="C247" s="45" t="s">
        <v>162</v>
      </c>
      <c r="D247" s="62" t="s">
        <v>2289</v>
      </c>
      <c r="E247" s="11" t="s">
        <v>9</v>
      </c>
    </row>
    <row r="248">
      <c r="B248" s="62" t="s">
        <v>1692</v>
      </c>
      <c r="C248" s="45" t="s">
        <v>362</v>
      </c>
      <c r="D248" s="62" t="s">
        <v>2290</v>
      </c>
      <c r="E248" s="11" t="s">
        <v>13</v>
      </c>
    </row>
    <row r="249">
      <c r="B249" s="62" t="s">
        <v>2292</v>
      </c>
      <c r="C249" s="45" t="s">
        <v>23</v>
      </c>
      <c r="D249" s="62" t="s">
        <v>2291</v>
      </c>
      <c r="E249" s="11" t="s">
        <v>9</v>
      </c>
    </row>
    <row r="250">
      <c r="B250" s="62" t="s">
        <v>1692</v>
      </c>
      <c r="C250" s="45" t="s">
        <v>203</v>
      </c>
      <c r="D250" s="62" t="s">
        <v>2289</v>
      </c>
      <c r="E250" s="11" t="s">
        <v>13</v>
      </c>
    </row>
    <row r="251">
      <c r="B251" s="62" t="s">
        <v>2292</v>
      </c>
      <c r="C251" s="45" t="s">
        <v>155</v>
      </c>
      <c r="D251" s="62" t="s">
        <v>2290</v>
      </c>
      <c r="E251" s="11" t="s">
        <v>9</v>
      </c>
    </row>
    <row r="252">
      <c r="B252" s="62" t="s">
        <v>2291</v>
      </c>
      <c r="C252" s="45" t="s">
        <v>394</v>
      </c>
      <c r="D252" s="62" t="s">
        <v>2289</v>
      </c>
      <c r="E252" s="11" t="s">
        <v>13</v>
      </c>
    </row>
    <row r="253">
      <c r="B253" s="62" t="s">
        <v>2292</v>
      </c>
      <c r="C253" s="45" t="s">
        <v>181</v>
      </c>
      <c r="D253" s="62" t="s">
        <v>1692</v>
      </c>
      <c r="E253" s="11" t="s">
        <v>9</v>
      </c>
    </row>
    <row r="254">
      <c r="B254" s="62" t="s">
        <v>2291</v>
      </c>
      <c r="C254" s="45" t="s">
        <v>164</v>
      </c>
      <c r="D254" s="62" t="s">
        <v>2290</v>
      </c>
      <c r="E254" s="11" t="s">
        <v>13</v>
      </c>
    </row>
    <row r="255">
      <c r="B255" s="62" t="s">
        <v>2290</v>
      </c>
      <c r="C255" s="45" t="s">
        <v>22</v>
      </c>
      <c r="D255" s="62" t="s">
        <v>2289</v>
      </c>
      <c r="E255" s="11" t="s">
        <v>9</v>
      </c>
    </row>
    <row r="256">
      <c r="B256" s="62" t="s">
        <v>2291</v>
      </c>
      <c r="C256" s="45" t="s">
        <v>651</v>
      </c>
      <c r="D256" s="62" t="s">
        <v>1692</v>
      </c>
      <c r="E256" s="11" t="s">
        <v>13</v>
      </c>
    </row>
    <row r="257">
      <c r="B257" s="62" t="s">
        <v>2289</v>
      </c>
      <c r="C257" s="45" t="s">
        <v>158</v>
      </c>
      <c r="D257" s="62" t="s">
        <v>2292</v>
      </c>
      <c r="E257" s="11" t="s">
        <v>9</v>
      </c>
    </row>
    <row r="258">
      <c r="B258" s="62" t="s">
        <v>2290</v>
      </c>
      <c r="C258" s="45" t="s">
        <v>2293</v>
      </c>
      <c r="D258" s="62" t="s">
        <v>1692</v>
      </c>
      <c r="E258" s="11" t="s">
        <v>13</v>
      </c>
    </row>
    <row r="259">
      <c r="B259" s="62" t="s">
        <v>2291</v>
      </c>
      <c r="C259" s="45" t="s">
        <v>173</v>
      </c>
      <c r="D259" s="62" t="s">
        <v>2292</v>
      </c>
      <c r="E259" s="11" t="s">
        <v>9</v>
      </c>
    </row>
    <row r="260">
      <c r="B260" s="62" t="s">
        <v>2289</v>
      </c>
      <c r="C260" s="45" t="s">
        <v>573</v>
      </c>
      <c r="D260" s="62" t="s">
        <v>1692</v>
      </c>
      <c r="E260" s="11" t="s">
        <v>13</v>
      </c>
    </row>
    <row r="261">
      <c r="B261" s="62" t="s">
        <v>2290</v>
      </c>
      <c r="C261" s="45" t="s">
        <v>203</v>
      </c>
      <c r="D261" s="62" t="s">
        <v>2292</v>
      </c>
      <c r="E261" s="11" t="s">
        <v>9</v>
      </c>
    </row>
    <row r="262">
      <c r="B262" s="62" t="s">
        <v>2289</v>
      </c>
      <c r="C262" s="45" t="s">
        <v>357</v>
      </c>
      <c r="D262" s="62" t="s">
        <v>2291</v>
      </c>
      <c r="E262" s="11" t="s">
        <v>13</v>
      </c>
    </row>
    <row r="263">
      <c r="B263" s="62" t="s">
        <v>1692</v>
      </c>
      <c r="C263" s="45" t="s">
        <v>218</v>
      </c>
      <c r="D263" s="62" t="s">
        <v>2292</v>
      </c>
      <c r="E263" s="11" t="s">
        <v>9</v>
      </c>
    </row>
    <row r="264">
      <c r="B264" s="62" t="s">
        <v>2290</v>
      </c>
      <c r="C264" s="45" t="s">
        <v>958</v>
      </c>
      <c r="D264" s="62" t="s">
        <v>2291</v>
      </c>
      <c r="E264" s="11" t="s">
        <v>13</v>
      </c>
    </row>
    <row r="265">
      <c r="B265" s="52" t="s">
        <v>2294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2295</v>
      </c>
      <c r="C267" s="45" t="s">
        <v>155</v>
      </c>
      <c r="D267" s="62" t="s">
        <v>2296</v>
      </c>
      <c r="E267" s="11" t="s">
        <v>29</v>
      </c>
    </row>
    <row r="268">
      <c r="B268" s="62" t="s">
        <v>1796</v>
      </c>
      <c r="C268" s="45" t="s">
        <v>164</v>
      </c>
      <c r="D268" s="62" t="s">
        <v>2008</v>
      </c>
      <c r="E268" s="11" t="s">
        <v>33</v>
      </c>
    </row>
    <row r="269">
      <c r="B269" s="62" t="s">
        <v>2297</v>
      </c>
      <c r="C269" s="45" t="s">
        <v>166</v>
      </c>
      <c r="D269" s="62" t="s">
        <v>2295</v>
      </c>
      <c r="E269" s="11" t="s">
        <v>29</v>
      </c>
    </row>
    <row r="270">
      <c r="B270" s="62" t="s">
        <v>1796</v>
      </c>
      <c r="C270" s="45" t="s">
        <v>171</v>
      </c>
      <c r="D270" s="62" t="s">
        <v>2296</v>
      </c>
      <c r="E270" s="11" t="s">
        <v>33</v>
      </c>
    </row>
    <row r="271">
      <c r="B271" s="62" t="s">
        <v>2297</v>
      </c>
      <c r="C271" s="45" t="s">
        <v>182</v>
      </c>
      <c r="D271" s="62" t="s">
        <v>2008</v>
      </c>
      <c r="E271" s="11" t="s">
        <v>29</v>
      </c>
    </row>
    <row r="272">
      <c r="B272" s="62" t="s">
        <v>1796</v>
      </c>
      <c r="C272" s="45" t="s">
        <v>362</v>
      </c>
      <c r="D272" s="62" t="s">
        <v>2295</v>
      </c>
      <c r="E272" s="11" t="s">
        <v>33</v>
      </c>
    </row>
    <row r="273">
      <c r="B273" s="62" t="s">
        <v>2297</v>
      </c>
      <c r="C273" s="45" t="s">
        <v>271</v>
      </c>
      <c r="D273" s="62" t="s">
        <v>2296</v>
      </c>
      <c r="E273" s="11" t="s">
        <v>29</v>
      </c>
    </row>
    <row r="274">
      <c r="B274" s="62" t="s">
        <v>2008</v>
      </c>
      <c r="C274" s="45" t="s">
        <v>163</v>
      </c>
      <c r="D274" s="62" t="s">
        <v>2295</v>
      </c>
      <c r="E274" s="11" t="s">
        <v>33</v>
      </c>
    </row>
    <row r="275">
      <c r="B275" s="62" t="s">
        <v>2297</v>
      </c>
      <c r="C275" s="45" t="s">
        <v>160</v>
      </c>
      <c r="D275" s="62" t="s">
        <v>1796</v>
      </c>
      <c r="E275" s="11" t="s">
        <v>29</v>
      </c>
    </row>
    <row r="276">
      <c r="B276" s="62" t="s">
        <v>2008</v>
      </c>
      <c r="C276" s="45" t="s">
        <v>160</v>
      </c>
      <c r="D276" s="62" t="s">
        <v>2296</v>
      </c>
      <c r="E276" s="11" t="s">
        <v>33</v>
      </c>
    </row>
    <row r="277">
      <c r="B277" s="62" t="s">
        <v>2296</v>
      </c>
      <c r="C277" s="45" t="s">
        <v>375</v>
      </c>
      <c r="D277" s="62" t="s">
        <v>2295</v>
      </c>
      <c r="E277" s="11" t="s">
        <v>29</v>
      </c>
    </row>
    <row r="278">
      <c r="B278" s="62" t="s">
        <v>2008</v>
      </c>
      <c r="C278" s="45" t="s">
        <v>233</v>
      </c>
      <c r="D278" s="62" t="s">
        <v>1796</v>
      </c>
      <c r="E278" s="11" t="s">
        <v>33</v>
      </c>
    </row>
    <row r="279">
      <c r="B279" s="62" t="s">
        <v>2295</v>
      </c>
      <c r="C279" s="45" t="s">
        <v>41</v>
      </c>
      <c r="D279" s="62" t="s">
        <v>2297</v>
      </c>
      <c r="E279" s="11" t="s">
        <v>29</v>
      </c>
    </row>
    <row r="280">
      <c r="B280" s="62" t="s">
        <v>2296</v>
      </c>
      <c r="C280" s="45" t="s">
        <v>264</v>
      </c>
      <c r="D280" s="62" t="s">
        <v>1796</v>
      </c>
      <c r="E280" s="11" t="s">
        <v>33</v>
      </c>
    </row>
    <row r="281">
      <c r="B281" s="62" t="s">
        <v>2008</v>
      </c>
      <c r="C281" s="45" t="s">
        <v>196</v>
      </c>
      <c r="D281" s="62" t="s">
        <v>2297</v>
      </c>
      <c r="E281" s="11" t="s">
        <v>29</v>
      </c>
    </row>
    <row r="282">
      <c r="B282" s="62" t="s">
        <v>2295</v>
      </c>
      <c r="C282" s="45" t="s">
        <v>43</v>
      </c>
      <c r="D282" s="62" t="s">
        <v>1796</v>
      </c>
      <c r="E282" s="11" t="s">
        <v>33</v>
      </c>
    </row>
    <row r="283">
      <c r="B283" s="62" t="s">
        <v>2296</v>
      </c>
      <c r="C283" s="45" t="s">
        <v>18</v>
      </c>
      <c r="D283" s="62" t="s">
        <v>2297</v>
      </c>
      <c r="E283" s="11" t="s">
        <v>29</v>
      </c>
    </row>
    <row r="284">
      <c r="B284" s="62" t="s">
        <v>2295</v>
      </c>
      <c r="C284" s="45" t="s">
        <v>23</v>
      </c>
      <c r="D284" s="62" t="s">
        <v>2008</v>
      </c>
      <c r="E284" s="11" t="s">
        <v>33</v>
      </c>
    </row>
    <row r="285">
      <c r="B285" s="62" t="s">
        <v>1796</v>
      </c>
      <c r="C285" s="45" t="s">
        <v>37</v>
      </c>
      <c r="D285" s="62" t="s">
        <v>2297</v>
      </c>
      <c r="E285" s="11" t="s">
        <v>29</v>
      </c>
    </row>
    <row r="286">
      <c r="B286" s="62" t="s">
        <v>2296</v>
      </c>
      <c r="C286" s="45" t="s">
        <v>158</v>
      </c>
      <c r="D286" s="62" t="s">
        <v>2008</v>
      </c>
      <c r="E286" s="11" t="s">
        <v>33</v>
      </c>
    </row>
    <row r="287">
      <c r="B287" s="52" t="s">
        <v>2298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2299</v>
      </c>
      <c r="C289" s="45" t="s">
        <v>18</v>
      </c>
      <c r="D289" s="62" t="s">
        <v>2300</v>
      </c>
      <c r="E289" s="11" t="s">
        <v>29</v>
      </c>
    </row>
    <row r="290">
      <c r="B290" s="62" t="s">
        <v>2301</v>
      </c>
      <c r="C290" s="45" t="s">
        <v>292</v>
      </c>
      <c r="D290" s="62" t="s">
        <v>2302</v>
      </c>
      <c r="E290" s="11" t="s">
        <v>33</v>
      </c>
    </row>
    <row r="291">
      <c r="B291" s="62" t="s">
        <v>2303</v>
      </c>
      <c r="C291" s="45" t="s">
        <v>219</v>
      </c>
      <c r="D291" s="62" t="s">
        <v>2299</v>
      </c>
      <c r="E291" s="11" t="s">
        <v>29</v>
      </c>
    </row>
    <row r="292">
      <c r="B292" s="62" t="s">
        <v>2301</v>
      </c>
      <c r="C292" s="45" t="s">
        <v>440</v>
      </c>
      <c r="D292" s="62" t="s">
        <v>2300</v>
      </c>
      <c r="E292" s="11" t="s">
        <v>33</v>
      </c>
    </row>
    <row r="293">
      <c r="B293" s="62" t="s">
        <v>2303</v>
      </c>
      <c r="C293" s="45" t="s">
        <v>27</v>
      </c>
      <c r="D293" s="62" t="s">
        <v>2302</v>
      </c>
      <c r="E293" s="11" t="s">
        <v>29</v>
      </c>
    </row>
    <row r="294">
      <c r="B294" s="62" t="s">
        <v>2301</v>
      </c>
      <c r="C294" s="45" t="s">
        <v>155</v>
      </c>
      <c r="D294" s="62" t="s">
        <v>2299</v>
      </c>
      <c r="E294" s="11" t="s">
        <v>33</v>
      </c>
    </row>
    <row r="295">
      <c r="B295" s="62" t="s">
        <v>2303</v>
      </c>
      <c r="C295" s="45" t="s">
        <v>271</v>
      </c>
      <c r="D295" s="62" t="s">
        <v>2300</v>
      </c>
      <c r="E295" s="11" t="s">
        <v>29</v>
      </c>
    </row>
    <row r="296">
      <c r="B296" s="62" t="s">
        <v>2302</v>
      </c>
      <c r="C296" s="45" t="s">
        <v>219</v>
      </c>
      <c r="D296" s="62" t="s">
        <v>2299</v>
      </c>
      <c r="E296" s="11" t="s">
        <v>33</v>
      </c>
    </row>
    <row r="297">
      <c r="B297" s="62" t="s">
        <v>2303</v>
      </c>
      <c r="C297" s="45" t="s">
        <v>44</v>
      </c>
      <c r="D297" s="62" t="s">
        <v>2301</v>
      </c>
      <c r="E297" s="11" t="s">
        <v>29</v>
      </c>
    </row>
    <row r="298">
      <c r="B298" s="62" t="s">
        <v>2302</v>
      </c>
      <c r="C298" s="45" t="s">
        <v>17</v>
      </c>
      <c r="D298" s="62" t="s">
        <v>2300</v>
      </c>
      <c r="E298" s="11" t="s">
        <v>33</v>
      </c>
    </row>
    <row r="299">
      <c r="B299" s="62" t="s">
        <v>2300</v>
      </c>
      <c r="C299" s="45" t="s">
        <v>173</v>
      </c>
      <c r="D299" s="62" t="s">
        <v>2299</v>
      </c>
      <c r="E299" s="11" t="s">
        <v>29</v>
      </c>
    </row>
    <row r="300">
      <c r="B300" s="62" t="s">
        <v>2302</v>
      </c>
      <c r="C300" s="45" t="s">
        <v>237</v>
      </c>
      <c r="D300" s="62" t="s">
        <v>2301</v>
      </c>
      <c r="E300" s="11" t="s">
        <v>33</v>
      </c>
    </row>
    <row r="301">
      <c r="B301" s="62" t="s">
        <v>2299</v>
      </c>
      <c r="C301" s="45" t="s">
        <v>208</v>
      </c>
      <c r="D301" s="62" t="s">
        <v>2303</v>
      </c>
      <c r="E301" s="11" t="s">
        <v>29</v>
      </c>
    </row>
    <row r="302">
      <c r="B302" s="62" t="s">
        <v>2300</v>
      </c>
      <c r="C302" s="45" t="s">
        <v>209</v>
      </c>
      <c r="D302" s="62" t="s">
        <v>2301</v>
      </c>
      <c r="E302" s="11" t="s">
        <v>33</v>
      </c>
    </row>
    <row r="303">
      <c r="B303" s="62" t="s">
        <v>2302</v>
      </c>
      <c r="C303" s="45" t="s">
        <v>665</v>
      </c>
      <c r="D303" s="62" t="s">
        <v>2303</v>
      </c>
      <c r="E303" s="11" t="s">
        <v>29</v>
      </c>
    </row>
    <row r="304">
      <c r="B304" s="62" t="s">
        <v>2299</v>
      </c>
      <c r="C304" s="45" t="s">
        <v>41</v>
      </c>
      <c r="D304" s="62" t="s">
        <v>2301</v>
      </c>
      <c r="E304" s="11" t="s">
        <v>33</v>
      </c>
    </row>
    <row r="305">
      <c r="B305" s="62" t="s">
        <v>2300</v>
      </c>
      <c r="C305" s="45" t="s">
        <v>239</v>
      </c>
      <c r="D305" s="62" t="s">
        <v>2303</v>
      </c>
      <c r="E305" s="11" t="s">
        <v>29</v>
      </c>
    </row>
    <row r="306">
      <c r="B306" s="62" t="s">
        <v>2299</v>
      </c>
      <c r="C306" s="45" t="s">
        <v>173</v>
      </c>
      <c r="D306" s="62" t="s">
        <v>2302</v>
      </c>
      <c r="E306" s="11" t="s">
        <v>33</v>
      </c>
    </row>
    <row r="307">
      <c r="B307" s="62" t="s">
        <v>2301</v>
      </c>
      <c r="C307" s="45" t="s">
        <v>1444</v>
      </c>
      <c r="D307" s="62" t="s">
        <v>2303</v>
      </c>
      <c r="E307" s="11" t="s">
        <v>29</v>
      </c>
    </row>
    <row r="308">
      <c r="B308" s="62" t="s">
        <v>2300</v>
      </c>
      <c r="C308" s="45" t="s">
        <v>357</v>
      </c>
      <c r="D308" s="62" t="s">
        <v>2302</v>
      </c>
      <c r="E308" s="11" t="s">
        <v>33</v>
      </c>
    </row>
    <row r="309">
      <c r="B309" s="52" t="s">
        <v>2304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2305</v>
      </c>
      <c r="C311" s="45" t="s">
        <v>301</v>
      </c>
      <c r="D311" s="62" t="s">
        <v>2306</v>
      </c>
      <c r="E311" s="11" t="s">
        <v>9</v>
      </c>
    </row>
    <row r="312">
      <c r="B312" s="62" t="s">
        <v>2307</v>
      </c>
      <c r="C312" s="45" t="s">
        <v>327</v>
      </c>
      <c r="D312" s="62" t="s">
        <v>2308</v>
      </c>
      <c r="E312" s="11" t="s">
        <v>13</v>
      </c>
    </row>
    <row r="313">
      <c r="B313" s="62" t="s">
        <v>2309</v>
      </c>
      <c r="C313" s="45" t="s">
        <v>185</v>
      </c>
      <c r="D313" s="62" t="s">
        <v>2305</v>
      </c>
      <c r="E313" s="11" t="s">
        <v>9</v>
      </c>
    </row>
    <row r="314">
      <c r="B314" s="62" t="s">
        <v>2307</v>
      </c>
      <c r="C314" s="45" t="s">
        <v>173</v>
      </c>
      <c r="D314" s="62" t="s">
        <v>2306</v>
      </c>
      <c r="E314" s="11" t="s">
        <v>13</v>
      </c>
    </row>
    <row r="315">
      <c r="B315" s="62" t="s">
        <v>2309</v>
      </c>
      <c r="C315" s="45" t="s">
        <v>248</v>
      </c>
      <c r="D315" s="62" t="s">
        <v>2308</v>
      </c>
      <c r="E315" s="11" t="s">
        <v>9</v>
      </c>
    </row>
    <row r="316">
      <c r="B316" s="62" t="s">
        <v>2307</v>
      </c>
      <c r="C316" s="45" t="s">
        <v>302</v>
      </c>
      <c r="D316" s="62" t="s">
        <v>2305</v>
      </c>
      <c r="E316" s="11" t="s">
        <v>13</v>
      </c>
    </row>
    <row r="317">
      <c r="B317" s="62" t="s">
        <v>2309</v>
      </c>
      <c r="C317" s="45" t="s">
        <v>193</v>
      </c>
      <c r="D317" s="62" t="s">
        <v>2306</v>
      </c>
      <c r="E317" s="11" t="s">
        <v>9</v>
      </c>
    </row>
    <row r="318">
      <c r="B318" s="62" t="s">
        <v>2308</v>
      </c>
      <c r="C318" s="45" t="s">
        <v>245</v>
      </c>
      <c r="D318" s="62" t="s">
        <v>2305</v>
      </c>
      <c r="E318" s="11" t="s">
        <v>13</v>
      </c>
    </row>
    <row r="319">
      <c r="B319" s="62" t="s">
        <v>2309</v>
      </c>
      <c r="C319" s="45" t="s">
        <v>640</v>
      </c>
      <c r="D319" s="62" t="s">
        <v>2307</v>
      </c>
      <c r="E319" s="11" t="s">
        <v>9</v>
      </c>
    </row>
    <row r="320">
      <c r="B320" s="62" t="s">
        <v>2308</v>
      </c>
      <c r="C320" s="45" t="s">
        <v>195</v>
      </c>
      <c r="D320" s="62" t="s">
        <v>2306</v>
      </c>
      <c r="E320" s="11" t="s">
        <v>13</v>
      </c>
    </row>
    <row r="321">
      <c r="B321" s="62" t="s">
        <v>2306</v>
      </c>
      <c r="C321" s="45" t="s">
        <v>18</v>
      </c>
      <c r="D321" s="62" t="s">
        <v>2305</v>
      </c>
      <c r="E321" s="11" t="s">
        <v>9</v>
      </c>
    </row>
    <row r="322">
      <c r="B322" s="62" t="s">
        <v>2308</v>
      </c>
      <c r="C322" s="45" t="s">
        <v>19</v>
      </c>
      <c r="D322" s="62" t="s">
        <v>2307</v>
      </c>
      <c r="E322" s="55" t="s">
        <v>13</v>
      </c>
    </row>
    <row r="323">
      <c r="B323" s="62" t="s">
        <v>2305</v>
      </c>
      <c r="C323" s="45" t="s">
        <v>220</v>
      </c>
      <c r="D323" s="62" t="s">
        <v>2309</v>
      </c>
      <c r="E323" s="11" t="s">
        <v>9</v>
      </c>
    </row>
    <row r="324">
      <c r="B324" s="62" t="s">
        <v>2306</v>
      </c>
      <c r="C324" s="45" t="s">
        <v>245</v>
      </c>
      <c r="D324" s="62" t="s">
        <v>2307</v>
      </c>
      <c r="E324" s="11" t="s">
        <v>13</v>
      </c>
    </row>
    <row r="325">
      <c r="B325" s="62" t="s">
        <v>2308</v>
      </c>
      <c r="C325" s="45" t="s">
        <v>158</v>
      </c>
      <c r="D325" s="62" t="s">
        <v>2309</v>
      </c>
      <c r="E325" s="11" t="s">
        <v>9</v>
      </c>
    </row>
    <row r="326">
      <c r="B326" s="62" t="s">
        <v>2305</v>
      </c>
      <c r="C326" s="45" t="s">
        <v>271</v>
      </c>
      <c r="D326" s="62" t="s">
        <v>2307</v>
      </c>
      <c r="E326" s="11" t="s">
        <v>13</v>
      </c>
    </row>
    <row r="327">
      <c r="B327" s="62" t="s">
        <v>2306</v>
      </c>
      <c r="C327" s="45" t="s">
        <v>324</v>
      </c>
      <c r="D327" s="62" t="s">
        <v>2309</v>
      </c>
      <c r="E327" s="11" t="s">
        <v>9</v>
      </c>
    </row>
    <row r="328">
      <c r="B328" s="62" t="s">
        <v>2305</v>
      </c>
      <c r="C328" s="45" t="s">
        <v>220</v>
      </c>
      <c r="D328" s="62" t="s">
        <v>2308</v>
      </c>
      <c r="E328" s="11" t="s">
        <v>13</v>
      </c>
    </row>
    <row r="329">
      <c r="B329" s="62" t="s">
        <v>2307</v>
      </c>
      <c r="C329" s="45" t="s">
        <v>43</v>
      </c>
      <c r="D329" s="62" t="s">
        <v>2309</v>
      </c>
      <c r="E329" s="11" t="s">
        <v>9</v>
      </c>
    </row>
    <row r="330">
      <c r="B330" s="62" t="s">
        <v>2306</v>
      </c>
      <c r="C330" s="45" t="s">
        <v>158</v>
      </c>
      <c r="D330" s="62" t="s">
        <v>2308</v>
      </c>
      <c r="E330" s="11" t="s">
        <v>13</v>
      </c>
    </row>
    <row r="331">
      <c r="B331" s="52" t="s">
        <v>2184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1411</v>
      </c>
      <c r="C333" s="45" t="s">
        <v>227</v>
      </c>
      <c r="D333" s="62" t="s">
        <v>2310</v>
      </c>
      <c r="E333" s="11" t="s">
        <v>29</v>
      </c>
    </row>
    <row r="334">
      <c r="B334" s="62" t="s">
        <v>2311</v>
      </c>
      <c r="C334" s="45" t="s">
        <v>376</v>
      </c>
      <c r="D334" s="62" t="s">
        <v>933</v>
      </c>
      <c r="E334" s="11" t="s">
        <v>33</v>
      </c>
    </row>
    <row r="335">
      <c r="B335" s="62" t="s">
        <v>2312</v>
      </c>
      <c r="C335" s="45" t="s">
        <v>38</v>
      </c>
      <c r="D335" s="62" t="s">
        <v>1411</v>
      </c>
      <c r="E335" s="11" t="s">
        <v>29</v>
      </c>
    </row>
    <row r="336">
      <c r="B336" s="62" t="s">
        <v>2311</v>
      </c>
      <c r="C336" s="45" t="s">
        <v>977</v>
      </c>
      <c r="D336" s="62" t="s">
        <v>2310</v>
      </c>
      <c r="E336" s="11" t="s">
        <v>33</v>
      </c>
    </row>
    <row r="337">
      <c r="B337" s="62" t="s">
        <v>2312</v>
      </c>
      <c r="C337" s="45" t="s">
        <v>158</v>
      </c>
      <c r="D337" s="62" t="s">
        <v>933</v>
      </c>
      <c r="E337" s="11" t="s">
        <v>29</v>
      </c>
    </row>
    <row r="338">
      <c r="B338" s="62" t="s">
        <v>2311</v>
      </c>
      <c r="C338" s="45" t="s">
        <v>23</v>
      </c>
      <c r="D338" s="62" t="s">
        <v>1411</v>
      </c>
      <c r="E338" s="11" t="s">
        <v>33</v>
      </c>
    </row>
    <row r="339">
      <c r="B339" s="62" t="s">
        <v>2312</v>
      </c>
      <c r="C339" s="45" t="s">
        <v>203</v>
      </c>
      <c r="D339" s="62" t="s">
        <v>2310</v>
      </c>
      <c r="E339" s="11" t="s">
        <v>29</v>
      </c>
    </row>
    <row r="340">
      <c r="B340" s="62" t="s">
        <v>933</v>
      </c>
      <c r="C340" s="45" t="s">
        <v>383</v>
      </c>
      <c r="D340" s="62" t="s">
        <v>1411</v>
      </c>
      <c r="E340" s="11" t="s">
        <v>33</v>
      </c>
    </row>
    <row r="341">
      <c r="B341" s="62" t="s">
        <v>2312</v>
      </c>
      <c r="C341" s="45" t="s">
        <v>264</v>
      </c>
      <c r="D341" s="62" t="s">
        <v>2311</v>
      </c>
      <c r="E341" s="11" t="s">
        <v>29</v>
      </c>
    </row>
    <row r="342">
      <c r="B342" s="62" t="s">
        <v>933</v>
      </c>
      <c r="C342" s="45" t="s">
        <v>168</v>
      </c>
      <c r="D342" s="62" t="s">
        <v>2310</v>
      </c>
      <c r="E342" s="11" t="s">
        <v>33</v>
      </c>
    </row>
    <row r="343">
      <c r="B343" s="62" t="s">
        <v>2310</v>
      </c>
      <c r="C343" s="45" t="s">
        <v>162</v>
      </c>
      <c r="D343" s="62" t="s">
        <v>1411</v>
      </c>
      <c r="E343" s="11" t="s">
        <v>29</v>
      </c>
    </row>
    <row r="344">
      <c r="B344" s="62" t="s">
        <v>933</v>
      </c>
      <c r="C344" s="45" t="s">
        <v>233</v>
      </c>
      <c r="D344" s="62" t="s">
        <v>2311</v>
      </c>
      <c r="E344" s="11" t="s">
        <v>33</v>
      </c>
    </row>
    <row r="345">
      <c r="B345" s="62" t="s">
        <v>1411</v>
      </c>
      <c r="C345" s="45" t="s">
        <v>327</v>
      </c>
      <c r="D345" s="62" t="s">
        <v>2312</v>
      </c>
      <c r="E345" s="11" t="s">
        <v>29</v>
      </c>
    </row>
    <row r="346">
      <c r="B346" s="62" t="s">
        <v>2310</v>
      </c>
      <c r="C346" s="45" t="s">
        <v>177</v>
      </c>
      <c r="D346" s="62" t="s">
        <v>2311</v>
      </c>
      <c r="E346" s="11" t="s">
        <v>33</v>
      </c>
    </row>
    <row r="347">
      <c r="B347" s="62" t="s">
        <v>933</v>
      </c>
      <c r="C347" s="45" t="s">
        <v>162</v>
      </c>
      <c r="D347" s="62" t="s">
        <v>2312</v>
      </c>
      <c r="E347" s="11" t="s">
        <v>29</v>
      </c>
    </row>
    <row r="348">
      <c r="B348" s="62" t="s">
        <v>1411</v>
      </c>
      <c r="C348" s="45" t="s">
        <v>162</v>
      </c>
      <c r="D348" s="62" t="s">
        <v>2311</v>
      </c>
      <c r="E348" s="11" t="s">
        <v>33</v>
      </c>
    </row>
    <row r="349">
      <c r="B349" s="62" t="s">
        <v>2310</v>
      </c>
      <c r="C349" s="45" t="s">
        <v>507</v>
      </c>
      <c r="D349" s="62" t="s">
        <v>2312</v>
      </c>
      <c r="E349" s="11" t="s">
        <v>29</v>
      </c>
    </row>
    <row r="350">
      <c r="B350" s="62" t="s">
        <v>1411</v>
      </c>
      <c r="C350" s="45" t="s">
        <v>195</v>
      </c>
      <c r="D350" s="62" t="s">
        <v>933</v>
      </c>
      <c r="E350" s="11" t="s">
        <v>33</v>
      </c>
    </row>
    <row r="351">
      <c r="B351" s="62" t="s">
        <v>2311</v>
      </c>
      <c r="C351" s="45" t="s">
        <v>193</v>
      </c>
      <c r="D351" s="62" t="s">
        <v>2312</v>
      </c>
      <c r="E351" s="11" t="s">
        <v>29</v>
      </c>
    </row>
    <row r="352">
      <c r="B352" s="62" t="s">
        <v>2310</v>
      </c>
      <c r="C352" s="45" t="s">
        <v>41</v>
      </c>
      <c r="D352" s="62" t="s">
        <v>933</v>
      </c>
      <c r="E352" s="11" t="s">
        <v>33</v>
      </c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2130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794</v>
      </c>
      <c r="C3" s="57" t="s">
        <v>354</v>
      </c>
      <c r="D3" s="62" t="s">
        <v>2313</v>
      </c>
      <c r="E3" s="11" t="s">
        <v>29</v>
      </c>
    </row>
    <row r="4">
      <c r="A4" s="90"/>
      <c r="B4" s="61" t="s">
        <v>2314</v>
      </c>
      <c r="C4" s="57" t="s">
        <v>16</v>
      </c>
      <c r="D4" s="61" t="s">
        <v>2012</v>
      </c>
      <c r="E4" s="11" t="s">
        <v>33</v>
      </c>
    </row>
    <row r="5">
      <c r="A5" s="90"/>
      <c r="B5" s="62" t="s">
        <v>2315</v>
      </c>
      <c r="C5" s="57" t="s">
        <v>155</v>
      </c>
      <c r="D5" s="61" t="s">
        <v>794</v>
      </c>
      <c r="E5" s="11" t="s">
        <v>29</v>
      </c>
    </row>
    <row r="6">
      <c r="A6" s="90"/>
      <c r="B6" s="61" t="s">
        <v>2314</v>
      </c>
      <c r="C6" s="57" t="s">
        <v>696</v>
      </c>
      <c r="D6" s="62" t="s">
        <v>2313</v>
      </c>
      <c r="E6" s="11" t="s">
        <v>33</v>
      </c>
    </row>
    <row r="7">
      <c r="A7" s="90"/>
      <c r="B7" s="62" t="s">
        <v>2315</v>
      </c>
      <c r="C7" s="57" t="s">
        <v>210</v>
      </c>
      <c r="D7" s="61" t="s">
        <v>2012</v>
      </c>
      <c r="E7" s="11" t="s">
        <v>29</v>
      </c>
      <c r="J7" s="50" t="s">
        <v>861</v>
      </c>
      <c r="M7" s="50" t="s">
        <v>861</v>
      </c>
    </row>
    <row r="8">
      <c r="A8" s="90"/>
      <c r="B8" s="61" t="s">
        <v>2314</v>
      </c>
      <c r="C8" s="57" t="s">
        <v>264</v>
      </c>
      <c r="D8" s="61" t="s">
        <v>794</v>
      </c>
      <c r="E8" s="11" t="s">
        <v>33</v>
      </c>
    </row>
    <row r="9">
      <c r="A9" s="90"/>
      <c r="B9" s="62" t="s">
        <v>2315</v>
      </c>
      <c r="C9" s="57" t="s">
        <v>23</v>
      </c>
      <c r="D9" s="62" t="s">
        <v>2313</v>
      </c>
      <c r="E9" s="11" t="s">
        <v>29</v>
      </c>
    </row>
    <row r="10">
      <c r="A10" s="90"/>
      <c r="B10" s="61" t="s">
        <v>2012</v>
      </c>
      <c r="C10" s="57" t="s">
        <v>18</v>
      </c>
      <c r="D10" s="61" t="s">
        <v>794</v>
      </c>
      <c r="E10" s="11" t="s">
        <v>33</v>
      </c>
    </row>
    <row r="11">
      <c r="A11" s="90"/>
      <c r="B11" s="62" t="s">
        <v>2315</v>
      </c>
      <c r="C11" s="57" t="s">
        <v>620</v>
      </c>
      <c r="D11" s="61" t="s">
        <v>2314</v>
      </c>
      <c r="E11" s="11" t="s">
        <v>29</v>
      </c>
    </row>
    <row r="12">
      <c r="A12" s="90"/>
      <c r="B12" s="61" t="s">
        <v>2012</v>
      </c>
      <c r="C12" s="57" t="s">
        <v>709</v>
      </c>
      <c r="D12" s="62" t="s">
        <v>2313</v>
      </c>
      <c r="E12" s="11" t="s">
        <v>33</v>
      </c>
    </row>
    <row r="13">
      <c r="A13" s="90"/>
      <c r="B13" s="62" t="s">
        <v>2313</v>
      </c>
      <c r="C13" s="57" t="s">
        <v>281</v>
      </c>
      <c r="D13" s="61" t="s">
        <v>794</v>
      </c>
      <c r="E13" s="11" t="s">
        <v>29</v>
      </c>
    </row>
    <row r="14">
      <c r="A14" s="90"/>
      <c r="B14" s="61" t="s">
        <v>2012</v>
      </c>
      <c r="C14" s="57" t="s">
        <v>176</v>
      </c>
      <c r="D14" s="61" t="s">
        <v>2314</v>
      </c>
      <c r="E14" s="11" t="s">
        <v>33</v>
      </c>
    </row>
    <row r="15">
      <c r="A15" s="90"/>
      <c r="B15" s="61" t="s">
        <v>794</v>
      </c>
      <c r="C15" s="57" t="s">
        <v>17</v>
      </c>
      <c r="D15" s="62" t="s">
        <v>2315</v>
      </c>
      <c r="E15" s="11" t="s">
        <v>29</v>
      </c>
    </row>
    <row r="16">
      <c r="A16" s="90"/>
      <c r="B16" s="62" t="s">
        <v>2313</v>
      </c>
      <c r="C16" s="57" t="s">
        <v>433</v>
      </c>
      <c r="D16" s="61" t="s">
        <v>2314</v>
      </c>
      <c r="E16" s="11" t="s">
        <v>33</v>
      </c>
    </row>
    <row r="17">
      <c r="A17" s="90"/>
      <c r="B17" s="61" t="s">
        <v>2012</v>
      </c>
      <c r="C17" s="57" t="s">
        <v>394</v>
      </c>
      <c r="D17" s="62" t="s">
        <v>2315</v>
      </c>
      <c r="E17" s="11" t="s">
        <v>29</v>
      </c>
    </row>
    <row r="18">
      <c r="A18" s="90"/>
      <c r="B18" s="61" t="s">
        <v>794</v>
      </c>
      <c r="C18" s="57" t="s">
        <v>278</v>
      </c>
      <c r="D18" s="61" t="s">
        <v>2314</v>
      </c>
      <c r="E18" s="11" t="s">
        <v>33</v>
      </c>
    </row>
    <row r="19">
      <c r="A19" s="90"/>
      <c r="B19" s="62" t="s">
        <v>2313</v>
      </c>
      <c r="C19" s="57" t="s">
        <v>208</v>
      </c>
      <c r="D19" s="62" t="s">
        <v>2315</v>
      </c>
      <c r="E19" s="11" t="s">
        <v>29</v>
      </c>
    </row>
    <row r="20">
      <c r="A20" s="90"/>
      <c r="B20" s="61" t="s">
        <v>794</v>
      </c>
      <c r="C20" s="57" t="s">
        <v>718</v>
      </c>
      <c r="D20" s="61" t="s">
        <v>2012</v>
      </c>
      <c r="E20" s="11" t="s">
        <v>33</v>
      </c>
    </row>
    <row r="21">
      <c r="A21" s="90"/>
      <c r="B21" s="61" t="s">
        <v>2314</v>
      </c>
      <c r="C21" s="57" t="s">
        <v>7</v>
      </c>
      <c r="D21" s="62" t="s">
        <v>2315</v>
      </c>
      <c r="E21" s="11" t="s">
        <v>29</v>
      </c>
    </row>
    <row r="22">
      <c r="A22" s="90"/>
      <c r="B22" s="62" t="s">
        <v>2313</v>
      </c>
      <c r="C22" s="57" t="s">
        <v>16</v>
      </c>
      <c r="D22" s="61" t="s">
        <v>2012</v>
      </c>
      <c r="E22" s="11" t="s">
        <v>33</v>
      </c>
    </row>
    <row r="23">
      <c r="A23" s="90"/>
      <c r="B23" s="1" t="s">
        <v>2316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2317</v>
      </c>
      <c r="C25" s="57" t="s">
        <v>158</v>
      </c>
      <c r="D25" s="62" t="s">
        <v>2318</v>
      </c>
      <c r="E25" s="11" t="s">
        <v>9</v>
      </c>
    </row>
    <row r="26">
      <c r="A26" s="90"/>
      <c r="B26" s="61" t="s">
        <v>2140</v>
      </c>
      <c r="C26" s="57" t="s">
        <v>227</v>
      </c>
      <c r="D26" s="61" t="s">
        <v>2319</v>
      </c>
      <c r="E26" s="11" t="s">
        <v>13</v>
      </c>
    </row>
    <row r="27">
      <c r="A27" s="90"/>
      <c r="B27" s="62" t="s">
        <v>2141</v>
      </c>
      <c r="C27" s="57" t="s">
        <v>336</v>
      </c>
      <c r="D27" s="62" t="s">
        <v>2317</v>
      </c>
      <c r="E27" s="11" t="s">
        <v>9</v>
      </c>
    </row>
    <row r="28">
      <c r="A28" s="90"/>
      <c r="B28" s="61" t="s">
        <v>2140</v>
      </c>
      <c r="C28" s="57" t="s">
        <v>17</v>
      </c>
      <c r="D28" s="62" t="s">
        <v>2318</v>
      </c>
      <c r="E28" s="11" t="s">
        <v>13</v>
      </c>
    </row>
    <row r="29">
      <c r="A29" s="90"/>
      <c r="B29" s="62" t="s">
        <v>2141</v>
      </c>
      <c r="C29" s="57" t="s">
        <v>185</v>
      </c>
      <c r="D29" s="61" t="s">
        <v>2319</v>
      </c>
      <c r="E29" s="11" t="s">
        <v>9</v>
      </c>
    </row>
    <row r="30">
      <c r="A30" s="90"/>
      <c r="B30" s="61" t="s">
        <v>2140</v>
      </c>
      <c r="C30" s="57" t="s">
        <v>16</v>
      </c>
      <c r="D30" s="62" t="s">
        <v>2317</v>
      </c>
      <c r="E30" s="11" t="s">
        <v>13</v>
      </c>
    </row>
    <row r="31">
      <c r="A31" s="90"/>
      <c r="B31" s="62" t="s">
        <v>2141</v>
      </c>
      <c r="C31" s="57" t="s">
        <v>17</v>
      </c>
      <c r="D31" s="62" t="s">
        <v>2318</v>
      </c>
      <c r="E31" s="11" t="s">
        <v>9</v>
      </c>
    </row>
    <row r="32">
      <c r="A32" s="90"/>
      <c r="B32" s="61" t="s">
        <v>2319</v>
      </c>
      <c r="C32" s="57" t="s">
        <v>41</v>
      </c>
      <c r="D32" s="62" t="s">
        <v>2317</v>
      </c>
      <c r="E32" s="11" t="s">
        <v>13</v>
      </c>
    </row>
    <row r="33">
      <c r="A33" s="90"/>
      <c r="B33" s="62" t="s">
        <v>2141</v>
      </c>
      <c r="C33" s="57" t="s">
        <v>43</v>
      </c>
      <c r="D33" s="61" t="s">
        <v>2140</v>
      </c>
      <c r="E33" s="11" t="s">
        <v>9</v>
      </c>
    </row>
    <row r="34">
      <c r="A34" s="90"/>
      <c r="B34" s="61" t="s">
        <v>2319</v>
      </c>
      <c r="C34" s="57" t="s">
        <v>164</v>
      </c>
      <c r="D34" s="62" t="s">
        <v>2318</v>
      </c>
      <c r="E34" s="11" t="s">
        <v>13</v>
      </c>
    </row>
    <row r="35">
      <c r="A35" s="90"/>
      <c r="B35" s="62" t="s">
        <v>2318</v>
      </c>
      <c r="C35" s="57" t="s">
        <v>251</v>
      </c>
      <c r="D35" s="62" t="s">
        <v>2317</v>
      </c>
      <c r="E35" s="11" t="s">
        <v>9</v>
      </c>
    </row>
    <row r="36">
      <c r="A36" s="90"/>
      <c r="B36" s="61" t="s">
        <v>2319</v>
      </c>
      <c r="C36" s="57" t="s">
        <v>1419</v>
      </c>
      <c r="D36" s="61" t="s">
        <v>2140</v>
      </c>
      <c r="E36" s="11" t="s">
        <v>13</v>
      </c>
    </row>
    <row r="37">
      <c r="A37" s="90"/>
      <c r="B37" s="62" t="s">
        <v>2317</v>
      </c>
      <c r="C37" s="57" t="s">
        <v>233</v>
      </c>
      <c r="D37" s="62" t="s">
        <v>2141</v>
      </c>
      <c r="E37" s="11" t="s">
        <v>9</v>
      </c>
    </row>
    <row r="38">
      <c r="A38" s="90"/>
      <c r="B38" s="62" t="s">
        <v>2318</v>
      </c>
      <c r="C38" s="57" t="s">
        <v>193</v>
      </c>
      <c r="D38" s="61" t="s">
        <v>2140</v>
      </c>
      <c r="E38" s="11" t="s">
        <v>13</v>
      </c>
    </row>
    <row r="39">
      <c r="A39" s="90"/>
      <c r="B39" s="61" t="s">
        <v>2319</v>
      </c>
      <c r="C39" s="57" t="s">
        <v>205</v>
      </c>
      <c r="D39" s="62" t="s">
        <v>2141</v>
      </c>
      <c r="E39" s="11" t="s">
        <v>9</v>
      </c>
    </row>
    <row r="40">
      <c r="A40" s="90"/>
      <c r="B40" s="62" t="s">
        <v>2317</v>
      </c>
      <c r="C40" s="57" t="s">
        <v>24</v>
      </c>
      <c r="D40" s="61" t="s">
        <v>2140</v>
      </c>
      <c r="E40" s="11" t="s">
        <v>13</v>
      </c>
    </row>
    <row r="41">
      <c r="A41" s="90"/>
      <c r="B41" s="62" t="s">
        <v>2318</v>
      </c>
      <c r="C41" s="57" t="s">
        <v>163</v>
      </c>
      <c r="D41" s="62" t="s">
        <v>2141</v>
      </c>
      <c r="E41" s="11" t="s">
        <v>9</v>
      </c>
    </row>
    <row r="42">
      <c r="A42" s="90"/>
      <c r="B42" s="62" t="s">
        <v>2317</v>
      </c>
      <c r="C42" s="57" t="s">
        <v>17</v>
      </c>
      <c r="D42" s="61" t="s">
        <v>2319</v>
      </c>
      <c r="E42" s="11" t="s">
        <v>13</v>
      </c>
    </row>
    <row r="43">
      <c r="A43" s="90"/>
      <c r="B43" s="61" t="s">
        <v>2140</v>
      </c>
      <c r="C43" s="57" t="s">
        <v>16</v>
      </c>
      <c r="D43" s="62" t="s">
        <v>2141</v>
      </c>
      <c r="E43" s="11" t="s">
        <v>9</v>
      </c>
    </row>
    <row r="44">
      <c r="A44" s="91"/>
      <c r="B44" s="62" t="s">
        <v>2318</v>
      </c>
      <c r="C44" s="57" t="s">
        <v>248</v>
      </c>
      <c r="D44" s="61" t="s">
        <v>2319</v>
      </c>
      <c r="E44" s="11" t="s">
        <v>13</v>
      </c>
    </row>
    <row r="45">
      <c r="B45" s="1" t="s">
        <v>2320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2321</v>
      </c>
      <c r="C47" s="57" t="s">
        <v>244</v>
      </c>
      <c r="D47" s="61" t="s">
        <v>2013</v>
      </c>
      <c r="E47" s="11" t="s">
        <v>29</v>
      </c>
    </row>
    <row r="48">
      <c r="B48" s="61" t="s">
        <v>1710</v>
      </c>
      <c r="C48" s="57" t="s">
        <v>507</v>
      </c>
      <c r="D48" s="61" t="s">
        <v>2322</v>
      </c>
      <c r="E48" s="11" t="s">
        <v>33</v>
      </c>
    </row>
    <row r="49">
      <c r="B49" s="61" t="s">
        <v>2323</v>
      </c>
      <c r="C49" s="57" t="s">
        <v>155</v>
      </c>
      <c r="D49" s="61" t="s">
        <v>2321</v>
      </c>
      <c r="E49" s="11" t="s">
        <v>29</v>
      </c>
    </row>
    <row r="50">
      <c r="B50" s="61" t="s">
        <v>1710</v>
      </c>
      <c r="C50" s="57" t="s">
        <v>549</v>
      </c>
      <c r="D50" s="61" t="s">
        <v>2013</v>
      </c>
      <c r="E50" s="11" t="s">
        <v>33</v>
      </c>
    </row>
    <row r="51">
      <c r="B51" s="61" t="s">
        <v>2323</v>
      </c>
      <c r="C51" s="57" t="s">
        <v>302</v>
      </c>
      <c r="D51" s="61" t="s">
        <v>2322</v>
      </c>
      <c r="E51" s="11" t="s">
        <v>29</v>
      </c>
    </row>
    <row r="52">
      <c r="B52" s="61" t="s">
        <v>1710</v>
      </c>
      <c r="C52" s="57" t="s">
        <v>218</v>
      </c>
      <c r="D52" s="61" t="s">
        <v>2321</v>
      </c>
      <c r="E52" s="11" t="s">
        <v>33</v>
      </c>
    </row>
    <row r="53">
      <c r="B53" s="61" t="s">
        <v>2323</v>
      </c>
      <c r="C53" s="57" t="s">
        <v>209</v>
      </c>
      <c r="D53" s="61" t="s">
        <v>2013</v>
      </c>
      <c r="E53" s="11" t="s">
        <v>29</v>
      </c>
    </row>
    <row r="54">
      <c r="B54" s="61" t="s">
        <v>2322</v>
      </c>
      <c r="C54" s="57" t="s">
        <v>43</v>
      </c>
      <c r="D54" s="61" t="s">
        <v>2321</v>
      </c>
      <c r="E54" s="11" t="s">
        <v>33</v>
      </c>
    </row>
    <row r="55">
      <c r="B55" s="61" t="s">
        <v>2323</v>
      </c>
      <c r="C55" s="57" t="s">
        <v>291</v>
      </c>
      <c r="D55" s="61" t="s">
        <v>1710</v>
      </c>
      <c r="E55" s="11" t="s">
        <v>29</v>
      </c>
    </row>
    <row r="56">
      <c r="B56" s="61" t="s">
        <v>2322</v>
      </c>
      <c r="C56" s="57" t="s">
        <v>610</v>
      </c>
      <c r="D56" s="61" t="s">
        <v>2013</v>
      </c>
      <c r="E56" s="11" t="s">
        <v>33</v>
      </c>
    </row>
    <row r="57">
      <c r="B57" s="61" t="s">
        <v>2013</v>
      </c>
      <c r="C57" s="57" t="s">
        <v>245</v>
      </c>
      <c r="D57" s="61" t="s">
        <v>2321</v>
      </c>
      <c r="E57" s="11" t="s">
        <v>29</v>
      </c>
    </row>
    <row r="58">
      <c r="B58" s="61" t="s">
        <v>2322</v>
      </c>
      <c r="C58" s="57" t="s">
        <v>19</v>
      </c>
      <c r="D58" s="61" t="s">
        <v>1710</v>
      </c>
      <c r="E58" s="11" t="s">
        <v>33</v>
      </c>
    </row>
    <row r="59">
      <c r="B59" s="61" t="s">
        <v>2321</v>
      </c>
      <c r="C59" s="45" t="s">
        <v>462</v>
      </c>
      <c r="D59" s="61" t="s">
        <v>2323</v>
      </c>
      <c r="E59" s="11" t="s">
        <v>29</v>
      </c>
      <c r="K59" s="50"/>
    </row>
    <row r="60">
      <c r="B60" s="61" t="s">
        <v>2013</v>
      </c>
      <c r="C60" s="45" t="s">
        <v>464</v>
      </c>
      <c r="D60" s="61" t="s">
        <v>1710</v>
      </c>
      <c r="E60" s="11" t="s">
        <v>33</v>
      </c>
    </row>
    <row r="61">
      <c r="B61" s="61" t="s">
        <v>2322</v>
      </c>
      <c r="C61" s="45" t="s">
        <v>208</v>
      </c>
      <c r="D61" s="61" t="s">
        <v>2323</v>
      </c>
      <c r="E61" s="11" t="s">
        <v>29</v>
      </c>
      <c r="M61" s="50" t="s">
        <v>514</v>
      </c>
    </row>
    <row r="62">
      <c r="B62" s="61" t="s">
        <v>2321</v>
      </c>
      <c r="C62" s="45" t="s">
        <v>7</v>
      </c>
      <c r="D62" s="61" t="s">
        <v>1710</v>
      </c>
      <c r="E62" s="11" t="s">
        <v>33</v>
      </c>
    </row>
    <row r="63">
      <c r="B63" s="61" t="s">
        <v>2013</v>
      </c>
      <c r="C63" s="45" t="s">
        <v>421</v>
      </c>
      <c r="D63" s="61" t="s">
        <v>2323</v>
      </c>
      <c r="E63" s="11" t="s">
        <v>29</v>
      </c>
    </row>
    <row r="64">
      <c r="B64" s="61" t="s">
        <v>2321</v>
      </c>
      <c r="C64" s="45" t="s">
        <v>39</v>
      </c>
      <c r="D64" s="61" t="s">
        <v>2322</v>
      </c>
      <c r="E64" s="11" t="s">
        <v>33</v>
      </c>
    </row>
    <row r="65">
      <c r="B65" s="61" t="s">
        <v>1710</v>
      </c>
      <c r="C65" s="45" t="s">
        <v>37</v>
      </c>
      <c r="D65" s="61" t="s">
        <v>2323</v>
      </c>
      <c r="E65" s="11" t="s">
        <v>29</v>
      </c>
    </row>
    <row r="66">
      <c r="B66" s="61" t="s">
        <v>2013</v>
      </c>
      <c r="C66" s="45" t="s">
        <v>210</v>
      </c>
      <c r="D66" s="61" t="s">
        <v>2322</v>
      </c>
      <c r="E66" s="11" t="s">
        <v>33</v>
      </c>
    </row>
    <row r="67">
      <c r="B67" s="1" t="s">
        <v>2324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2325</v>
      </c>
      <c r="C69" s="57" t="s">
        <v>790</v>
      </c>
      <c r="D69" s="61" t="s">
        <v>2326</v>
      </c>
      <c r="E69" s="11" t="s">
        <v>9</v>
      </c>
    </row>
    <row r="70">
      <c r="B70" s="61" t="s">
        <v>339</v>
      </c>
      <c r="C70" s="57" t="s">
        <v>849</v>
      </c>
      <c r="D70" s="61" t="s">
        <v>2327</v>
      </c>
      <c r="E70" s="11" t="s">
        <v>13</v>
      </c>
    </row>
    <row r="71">
      <c r="B71" s="61" t="s">
        <v>2328</v>
      </c>
      <c r="C71" s="57" t="s">
        <v>158</v>
      </c>
      <c r="D71" s="61" t="s">
        <v>2325</v>
      </c>
      <c r="E71" s="11" t="s">
        <v>9</v>
      </c>
    </row>
    <row r="72">
      <c r="B72" s="61" t="s">
        <v>339</v>
      </c>
      <c r="C72" s="57" t="s">
        <v>225</v>
      </c>
      <c r="D72" s="61" t="s">
        <v>2326</v>
      </c>
      <c r="E72" s="11" t="s">
        <v>13</v>
      </c>
    </row>
    <row r="73">
      <c r="B73" s="61" t="s">
        <v>2328</v>
      </c>
      <c r="C73" s="57" t="s">
        <v>157</v>
      </c>
      <c r="D73" s="61" t="s">
        <v>2327</v>
      </c>
      <c r="E73" s="11" t="s">
        <v>9</v>
      </c>
    </row>
    <row r="74">
      <c r="B74" s="61" t="s">
        <v>339</v>
      </c>
      <c r="C74" s="57" t="s">
        <v>463</v>
      </c>
      <c r="D74" s="61" t="s">
        <v>2325</v>
      </c>
      <c r="E74" s="11" t="s">
        <v>13</v>
      </c>
    </row>
    <row r="75">
      <c r="B75" s="61" t="s">
        <v>2328</v>
      </c>
      <c r="C75" s="57" t="s">
        <v>219</v>
      </c>
      <c r="D75" s="61" t="s">
        <v>2326</v>
      </c>
      <c r="E75" s="11" t="s">
        <v>9</v>
      </c>
    </row>
    <row r="76">
      <c r="B76" s="61" t="s">
        <v>2327</v>
      </c>
      <c r="C76" s="57" t="s">
        <v>830</v>
      </c>
      <c r="D76" s="61" t="s">
        <v>2325</v>
      </c>
      <c r="E76" s="11" t="s">
        <v>13</v>
      </c>
    </row>
    <row r="77">
      <c r="B77" s="61" t="s">
        <v>2328</v>
      </c>
      <c r="C77" s="57" t="s">
        <v>14</v>
      </c>
      <c r="D77" s="61" t="s">
        <v>339</v>
      </c>
      <c r="E77" s="11" t="s">
        <v>9</v>
      </c>
    </row>
    <row r="78">
      <c r="B78" s="61" t="s">
        <v>2327</v>
      </c>
      <c r="C78" s="57" t="s">
        <v>162</v>
      </c>
      <c r="D78" s="61" t="s">
        <v>2326</v>
      </c>
      <c r="E78" s="11" t="s">
        <v>13</v>
      </c>
    </row>
    <row r="79">
      <c r="B79" s="61" t="s">
        <v>2326</v>
      </c>
      <c r="C79" s="57" t="s">
        <v>19</v>
      </c>
      <c r="D79" s="61" t="s">
        <v>2325</v>
      </c>
      <c r="E79" s="11" t="s">
        <v>9</v>
      </c>
    </row>
    <row r="80">
      <c r="B80" s="61" t="s">
        <v>2327</v>
      </c>
      <c r="C80" s="57" t="s">
        <v>574</v>
      </c>
      <c r="D80" s="61" t="s">
        <v>339</v>
      </c>
      <c r="E80" s="11" t="s">
        <v>13</v>
      </c>
    </row>
    <row r="81">
      <c r="B81" s="61" t="s">
        <v>2325</v>
      </c>
      <c r="C81" s="57" t="s">
        <v>16</v>
      </c>
      <c r="D81" s="61" t="s">
        <v>2328</v>
      </c>
      <c r="E81" s="11" t="s">
        <v>9</v>
      </c>
    </row>
    <row r="82">
      <c r="B82" s="61" t="s">
        <v>2326</v>
      </c>
      <c r="C82" s="57" t="s">
        <v>14</v>
      </c>
      <c r="D82" s="61" t="s">
        <v>339</v>
      </c>
      <c r="E82" s="11" t="s">
        <v>13</v>
      </c>
    </row>
    <row r="83">
      <c r="B83" s="61" t="s">
        <v>2327</v>
      </c>
      <c r="C83" s="57" t="s">
        <v>14</v>
      </c>
      <c r="D83" s="61" t="s">
        <v>2328</v>
      </c>
      <c r="E83" s="11" t="s">
        <v>9</v>
      </c>
    </row>
    <row r="84">
      <c r="B84" s="61" t="s">
        <v>2325</v>
      </c>
      <c r="C84" s="57" t="s">
        <v>18</v>
      </c>
      <c r="D84" s="61" t="s">
        <v>339</v>
      </c>
      <c r="E84" s="11" t="s">
        <v>13</v>
      </c>
    </row>
    <row r="85">
      <c r="B85" s="61" t="s">
        <v>2326</v>
      </c>
      <c r="C85" s="57" t="s">
        <v>239</v>
      </c>
      <c r="D85" s="61" t="s">
        <v>2328</v>
      </c>
      <c r="E85" s="11" t="s">
        <v>9</v>
      </c>
    </row>
    <row r="86">
      <c r="B86" s="61" t="s">
        <v>2325</v>
      </c>
      <c r="C86" s="57" t="s">
        <v>232</v>
      </c>
      <c r="D86" s="61" t="s">
        <v>2327</v>
      </c>
      <c r="E86" s="11" t="s">
        <v>13</v>
      </c>
    </row>
    <row r="87">
      <c r="B87" s="61" t="s">
        <v>339</v>
      </c>
      <c r="C87" s="57" t="s">
        <v>248</v>
      </c>
      <c r="D87" s="61" t="s">
        <v>2328</v>
      </c>
      <c r="E87" s="11" t="s">
        <v>9</v>
      </c>
    </row>
    <row r="88">
      <c r="B88" s="61" t="s">
        <v>2326</v>
      </c>
      <c r="C88" s="57" t="s">
        <v>181</v>
      </c>
      <c r="D88" s="61" t="s">
        <v>2327</v>
      </c>
      <c r="E88" s="11" t="s">
        <v>13</v>
      </c>
    </row>
    <row r="89">
      <c r="B89" s="1" t="s">
        <v>1526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922</v>
      </c>
      <c r="C91" s="45" t="s">
        <v>157</v>
      </c>
      <c r="D91" s="61" t="s">
        <v>921</v>
      </c>
      <c r="E91" s="11" t="s">
        <v>9</v>
      </c>
    </row>
    <row r="92">
      <c r="B92" s="61" t="s">
        <v>2153</v>
      </c>
      <c r="C92" s="45" t="s">
        <v>744</v>
      </c>
      <c r="D92" s="61" t="s">
        <v>619</v>
      </c>
      <c r="E92" s="11" t="s">
        <v>13</v>
      </c>
    </row>
    <row r="93">
      <c r="B93" s="61" t="s">
        <v>2329</v>
      </c>
      <c r="C93" s="45" t="s">
        <v>158</v>
      </c>
      <c r="D93" s="61" t="s">
        <v>922</v>
      </c>
      <c r="E93" s="11" t="s">
        <v>9</v>
      </c>
    </row>
    <row r="94">
      <c r="B94" s="61" t="s">
        <v>2153</v>
      </c>
      <c r="C94" s="45" t="s">
        <v>24</v>
      </c>
      <c r="D94" s="61" t="s">
        <v>921</v>
      </c>
      <c r="E94" s="11" t="s">
        <v>13</v>
      </c>
    </row>
    <row r="95">
      <c r="B95" s="61" t="s">
        <v>2329</v>
      </c>
      <c r="C95" s="45" t="s">
        <v>271</v>
      </c>
      <c r="D95" s="61" t="s">
        <v>619</v>
      </c>
      <c r="E95" s="11" t="s">
        <v>9</v>
      </c>
    </row>
    <row r="96">
      <c r="B96" s="61" t="s">
        <v>2153</v>
      </c>
      <c r="C96" s="45" t="s">
        <v>43</v>
      </c>
      <c r="D96" s="61" t="s">
        <v>922</v>
      </c>
      <c r="E96" s="11" t="s">
        <v>13</v>
      </c>
    </row>
    <row r="97">
      <c r="B97" s="61" t="s">
        <v>2329</v>
      </c>
      <c r="C97" s="45" t="s">
        <v>302</v>
      </c>
      <c r="D97" s="61" t="s">
        <v>921</v>
      </c>
      <c r="E97" s="11" t="s">
        <v>9</v>
      </c>
    </row>
    <row r="98">
      <c r="B98" s="61" t="s">
        <v>619</v>
      </c>
      <c r="C98" s="45" t="s">
        <v>357</v>
      </c>
      <c r="D98" s="61" t="s">
        <v>922</v>
      </c>
      <c r="E98" s="11" t="s">
        <v>13</v>
      </c>
    </row>
    <row r="99">
      <c r="B99" s="61" t="s">
        <v>2329</v>
      </c>
      <c r="C99" s="45" t="s">
        <v>16</v>
      </c>
      <c r="D99" s="61" t="s">
        <v>2153</v>
      </c>
      <c r="E99" s="11" t="s">
        <v>9</v>
      </c>
    </row>
    <row r="100">
      <c r="B100" s="61" t="s">
        <v>619</v>
      </c>
      <c r="C100" s="45" t="s">
        <v>334</v>
      </c>
      <c r="D100" s="61" t="s">
        <v>921</v>
      </c>
      <c r="E100" s="11" t="s">
        <v>13</v>
      </c>
    </row>
    <row r="101">
      <c r="B101" s="61" t="s">
        <v>921</v>
      </c>
      <c r="C101" s="45" t="s">
        <v>301</v>
      </c>
      <c r="D101" s="61" t="s">
        <v>922</v>
      </c>
      <c r="E101" s="11" t="s">
        <v>9</v>
      </c>
    </row>
    <row r="102">
      <c r="B102" s="61" t="s">
        <v>619</v>
      </c>
      <c r="C102" s="45" t="s">
        <v>16</v>
      </c>
      <c r="D102" s="61" t="s">
        <v>2153</v>
      </c>
      <c r="E102" s="11" t="s">
        <v>13</v>
      </c>
    </row>
    <row r="103">
      <c r="B103" s="61" t="s">
        <v>922</v>
      </c>
      <c r="C103" s="45" t="s">
        <v>248</v>
      </c>
      <c r="D103" s="61" t="s">
        <v>2329</v>
      </c>
      <c r="E103" s="11" t="s">
        <v>9</v>
      </c>
    </row>
    <row r="104">
      <c r="B104" s="61" t="s">
        <v>921</v>
      </c>
      <c r="C104" s="45" t="s">
        <v>155</v>
      </c>
      <c r="D104" s="61" t="s">
        <v>2153</v>
      </c>
      <c r="E104" s="11" t="s">
        <v>13</v>
      </c>
    </row>
    <row r="105">
      <c r="B105" s="61" t="s">
        <v>619</v>
      </c>
      <c r="C105" s="45" t="s">
        <v>18</v>
      </c>
      <c r="D105" s="61" t="s">
        <v>2329</v>
      </c>
      <c r="E105" s="11" t="s">
        <v>9</v>
      </c>
    </row>
    <row r="106">
      <c r="B106" s="61" t="s">
        <v>922</v>
      </c>
      <c r="C106" s="45" t="s">
        <v>335</v>
      </c>
      <c r="D106" s="61" t="s">
        <v>2153</v>
      </c>
      <c r="E106" s="11" t="s">
        <v>13</v>
      </c>
    </row>
    <row r="107">
      <c r="B107" s="61" t="s">
        <v>921</v>
      </c>
      <c r="C107" s="45" t="s">
        <v>158</v>
      </c>
      <c r="D107" s="61" t="s">
        <v>2329</v>
      </c>
      <c r="E107" s="11" t="s">
        <v>9</v>
      </c>
    </row>
    <row r="108">
      <c r="B108" s="61" t="s">
        <v>922</v>
      </c>
      <c r="C108" s="45" t="s">
        <v>433</v>
      </c>
      <c r="D108" s="61" t="s">
        <v>619</v>
      </c>
      <c r="E108" s="11" t="s">
        <v>13</v>
      </c>
    </row>
    <row r="109">
      <c r="B109" s="61" t="s">
        <v>2153</v>
      </c>
      <c r="C109" s="45" t="s">
        <v>43</v>
      </c>
      <c r="D109" s="61" t="s">
        <v>2329</v>
      </c>
      <c r="E109" s="11" t="s">
        <v>9</v>
      </c>
    </row>
    <row r="110">
      <c r="B110" s="61" t="s">
        <v>921</v>
      </c>
      <c r="C110" s="45" t="s">
        <v>162</v>
      </c>
      <c r="D110" s="61" t="s">
        <v>619</v>
      </c>
      <c r="E110" s="11" t="s">
        <v>13</v>
      </c>
    </row>
    <row r="111">
      <c r="B111" s="1" t="s">
        <v>2330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2331</v>
      </c>
      <c r="C113" s="57" t="s">
        <v>185</v>
      </c>
      <c r="D113" s="61" t="s">
        <v>2332</v>
      </c>
      <c r="E113" s="11" t="s">
        <v>29</v>
      </c>
    </row>
    <row r="114">
      <c r="B114" s="61" t="s">
        <v>1156</v>
      </c>
      <c r="C114" s="57" t="s">
        <v>7</v>
      </c>
      <c r="D114" s="61" t="s">
        <v>2333</v>
      </c>
      <c r="E114" s="11" t="s">
        <v>33</v>
      </c>
    </row>
    <row r="115">
      <c r="B115" s="61" t="s">
        <v>2334</v>
      </c>
      <c r="C115" s="57" t="s">
        <v>239</v>
      </c>
      <c r="D115" s="61" t="s">
        <v>2331</v>
      </c>
      <c r="E115" s="11" t="s">
        <v>29</v>
      </c>
    </row>
    <row r="116">
      <c r="B116" s="61" t="s">
        <v>1156</v>
      </c>
      <c r="C116" s="57" t="s">
        <v>244</v>
      </c>
      <c r="D116" s="61" t="s">
        <v>2332</v>
      </c>
      <c r="E116" s="11" t="s">
        <v>33</v>
      </c>
    </row>
    <row r="117">
      <c r="B117" s="61" t="s">
        <v>2334</v>
      </c>
      <c r="C117" s="57" t="s">
        <v>209</v>
      </c>
      <c r="D117" s="61" t="s">
        <v>2333</v>
      </c>
      <c r="E117" s="11" t="s">
        <v>29</v>
      </c>
    </row>
    <row r="118">
      <c r="B118" s="61" t="s">
        <v>1156</v>
      </c>
      <c r="C118" s="57" t="s">
        <v>218</v>
      </c>
      <c r="D118" s="61" t="s">
        <v>2331</v>
      </c>
      <c r="E118" s="11" t="s">
        <v>33</v>
      </c>
    </row>
    <row r="119">
      <c r="B119" s="61" t="s">
        <v>2334</v>
      </c>
      <c r="C119" s="57" t="s">
        <v>211</v>
      </c>
      <c r="D119" s="61" t="s">
        <v>2332</v>
      </c>
      <c r="E119" s="11" t="s">
        <v>29</v>
      </c>
    </row>
    <row r="120">
      <c r="B120" s="61" t="s">
        <v>2333</v>
      </c>
      <c r="C120" s="57" t="s">
        <v>173</v>
      </c>
      <c r="D120" s="61" t="s">
        <v>2331</v>
      </c>
      <c r="E120" s="11" t="s">
        <v>33</v>
      </c>
    </row>
    <row r="121">
      <c r="B121" s="61" t="s">
        <v>2334</v>
      </c>
      <c r="C121" s="57" t="s">
        <v>196</v>
      </c>
      <c r="D121" s="61" t="s">
        <v>1156</v>
      </c>
      <c r="E121" s="11" t="s">
        <v>29</v>
      </c>
    </row>
    <row r="122">
      <c r="B122" s="61" t="s">
        <v>2333</v>
      </c>
      <c r="C122" s="57" t="s">
        <v>319</v>
      </c>
      <c r="D122" s="61" t="s">
        <v>2332</v>
      </c>
      <c r="E122" s="11" t="s">
        <v>33</v>
      </c>
    </row>
    <row r="123">
      <c r="B123" s="61" t="s">
        <v>2332</v>
      </c>
      <c r="C123" s="57" t="s">
        <v>1107</v>
      </c>
      <c r="D123" s="61" t="s">
        <v>2331</v>
      </c>
      <c r="E123" s="11" t="s">
        <v>29</v>
      </c>
    </row>
    <row r="124">
      <c r="B124" s="61" t="s">
        <v>2333</v>
      </c>
      <c r="C124" s="57" t="s">
        <v>449</v>
      </c>
      <c r="D124" s="61" t="s">
        <v>1156</v>
      </c>
      <c r="E124" s="11" t="s">
        <v>33</v>
      </c>
    </row>
    <row r="125">
      <c r="B125" s="61" t="s">
        <v>2331</v>
      </c>
      <c r="C125" s="45" t="s">
        <v>357</v>
      </c>
      <c r="D125" s="61" t="s">
        <v>2334</v>
      </c>
      <c r="E125" s="11" t="s">
        <v>29</v>
      </c>
    </row>
    <row r="126">
      <c r="B126" s="61" t="s">
        <v>2332</v>
      </c>
      <c r="C126" s="45" t="s">
        <v>549</v>
      </c>
      <c r="D126" s="61" t="s">
        <v>1156</v>
      </c>
      <c r="E126" s="11" t="s">
        <v>33</v>
      </c>
    </row>
    <row r="127">
      <c r="B127" s="61" t="s">
        <v>2333</v>
      </c>
      <c r="C127" s="45" t="s">
        <v>246</v>
      </c>
      <c r="D127" s="61" t="s">
        <v>2334</v>
      </c>
      <c r="E127" s="11" t="s">
        <v>29</v>
      </c>
    </row>
    <row r="128">
      <c r="B128" s="61" t="s">
        <v>2331</v>
      </c>
      <c r="C128" s="45" t="s">
        <v>203</v>
      </c>
      <c r="D128" s="61" t="s">
        <v>1156</v>
      </c>
      <c r="E128" s="11" t="s">
        <v>33</v>
      </c>
    </row>
    <row r="129">
      <c r="B129" s="61" t="s">
        <v>2332</v>
      </c>
      <c r="C129" s="45" t="s">
        <v>433</v>
      </c>
      <c r="D129" s="61" t="s">
        <v>2334</v>
      </c>
      <c r="E129" s="11" t="s">
        <v>29</v>
      </c>
    </row>
    <row r="130">
      <c r="B130" s="61" t="s">
        <v>2331</v>
      </c>
      <c r="C130" s="45" t="s">
        <v>162</v>
      </c>
      <c r="D130" s="61" t="s">
        <v>2333</v>
      </c>
      <c r="E130" s="11" t="s">
        <v>33</v>
      </c>
    </row>
    <row r="131">
      <c r="B131" s="61" t="s">
        <v>1156</v>
      </c>
      <c r="C131" s="45" t="s">
        <v>194</v>
      </c>
      <c r="D131" s="61" t="s">
        <v>2334</v>
      </c>
      <c r="E131" s="11" t="s">
        <v>29</v>
      </c>
    </row>
    <row r="132">
      <c r="B132" s="61" t="s">
        <v>2332</v>
      </c>
      <c r="C132" s="45" t="s">
        <v>14</v>
      </c>
      <c r="D132" s="61" t="s">
        <v>2333</v>
      </c>
      <c r="E132" s="11" t="s">
        <v>33</v>
      </c>
    </row>
    <row r="133">
      <c r="B133" s="1" t="s">
        <v>2335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2336</v>
      </c>
      <c r="C135" s="57" t="s">
        <v>251</v>
      </c>
      <c r="D135" s="61" t="s">
        <v>2337</v>
      </c>
      <c r="E135" s="11" t="s">
        <v>9</v>
      </c>
    </row>
    <row r="136">
      <c r="B136" s="61" t="s">
        <v>2338</v>
      </c>
      <c r="C136" s="57" t="s">
        <v>20</v>
      </c>
      <c r="D136" s="61" t="s">
        <v>2339</v>
      </c>
      <c r="E136" s="11" t="s">
        <v>13</v>
      </c>
    </row>
    <row r="137">
      <c r="B137" s="61" t="s">
        <v>2340</v>
      </c>
      <c r="C137" s="57" t="s">
        <v>7</v>
      </c>
      <c r="D137" s="61" t="s">
        <v>2336</v>
      </c>
      <c r="E137" s="11" t="s">
        <v>9</v>
      </c>
    </row>
    <row r="138">
      <c r="B138" s="61" t="s">
        <v>2338</v>
      </c>
      <c r="C138" s="57" t="s">
        <v>158</v>
      </c>
      <c r="D138" s="61" t="s">
        <v>2337</v>
      </c>
      <c r="E138" s="11" t="s">
        <v>13</v>
      </c>
    </row>
    <row r="139">
      <c r="B139" s="61" t="s">
        <v>2340</v>
      </c>
      <c r="C139" s="57" t="s">
        <v>342</v>
      </c>
      <c r="D139" s="61" t="s">
        <v>2339</v>
      </c>
      <c r="E139" s="11" t="s">
        <v>9</v>
      </c>
    </row>
    <row r="140">
      <c r="B140" s="61" t="s">
        <v>2338</v>
      </c>
      <c r="C140" s="57" t="s">
        <v>251</v>
      </c>
      <c r="D140" s="61" t="s">
        <v>2336</v>
      </c>
      <c r="E140" s="11" t="s">
        <v>13</v>
      </c>
    </row>
    <row r="141">
      <c r="B141" s="61" t="s">
        <v>2340</v>
      </c>
      <c r="C141" s="57" t="s">
        <v>525</v>
      </c>
      <c r="D141" s="61" t="s">
        <v>2337</v>
      </c>
      <c r="E141" s="11" t="s">
        <v>9</v>
      </c>
    </row>
    <row r="142">
      <c r="B142" s="61" t="s">
        <v>2339</v>
      </c>
      <c r="C142" s="57" t="s">
        <v>210</v>
      </c>
      <c r="D142" s="61" t="s">
        <v>2336</v>
      </c>
      <c r="E142" s="11" t="s">
        <v>13</v>
      </c>
    </row>
    <row r="143">
      <c r="B143" s="61" t="s">
        <v>2340</v>
      </c>
      <c r="C143" s="57" t="s">
        <v>888</v>
      </c>
      <c r="D143" s="61" t="s">
        <v>2338</v>
      </c>
      <c r="E143" s="11" t="s">
        <v>9</v>
      </c>
    </row>
    <row r="144">
      <c r="B144" s="61" t="s">
        <v>2339</v>
      </c>
      <c r="C144" s="57" t="s">
        <v>162</v>
      </c>
      <c r="D144" s="61" t="s">
        <v>2337</v>
      </c>
      <c r="E144" s="11" t="s">
        <v>13</v>
      </c>
    </row>
    <row r="145">
      <c r="B145" s="61" t="s">
        <v>2337</v>
      </c>
      <c r="C145" s="57" t="s">
        <v>17</v>
      </c>
      <c r="D145" s="61" t="s">
        <v>2336</v>
      </c>
      <c r="E145" s="11" t="s">
        <v>9</v>
      </c>
    </row>
    <row r="146">
      <c r="B146" s="61" t="s">
        <v>2339</v>
      </c>
      <c r="C146" s="57" t="s">
        <v>218</v>
      </c>
      <c r="D146" s="61" t="s">
        <v>2338</v>
      </c>
      <c r="E146" s="11" t="s">
        <v>13</v>
      </c>
    </row>
    <row r="147">
      <c r="B147" s="61" t="s">
        <v>2336</v>
      </c>
      <c r="C147" s="45" t="s">
        <v>610</v>
      </c>
      <c r="D147" s="61" t="s">
        <v>2340</v>
      </c>
      <c r="E147" s="11" t="s">
        <v>9</v>
      </c>
    </row>
    <row r="148">
      <c r="B148" s="61" t="s">
        <v>2337</v>
      </c>
      <c r="C148" s="45" t="s">
        <v>302</v>
      </c>
      <c r="D148" s="61" t="s">
        <v>2338</v>
      </c>
      <c r="E148" s="11" t="s">
        <v>13</v>
      </c>
    </row>
    <row r="149">
      <c r="B149" s="61" t="s">
        <v>2339</v>
      </c>
      <c r="C149" s="45" t="s">
        <v>165</v>
      </c>
      <c r="D149" s="61" t="s">
        <v>2340</v>
      </c>
      <c r="E149" s="11" t="s">
        <v>9</v>
      </c>
    </row>
    <row r="150">
      <c r="B150" s="61" t="s">
        <v>2336</v>
      </c>
      <c r="C150" s="45" t="s">
        <v>545</v>
      </c>
      <c r="D150" s="61" t="s">
        <v>2338</v>
      </c>
      <c r="E150" s="11" t="s">
        <v>13</v>
      </c>
    </row>
    <row r="151">
      <c r="B151" s="61" t="s">
        <v>2337</v>
      </c>
      <c r="C151" s="45" t="s">
        <v>155</v>
      </c>
      <c r="D151" s="61" t="s">
        <v>2340</v>
      </c>
      <c r="E151" s="11" t="s">
        <v>9</v>
      </c>
    </row>
    <row r="152">
      <c r="B152" s="61" t="s">
        <v>2336</v>
      </c>
      <c r="C152" s="45" t="s">
        <v>315</v>
      </c>
      <c r="D152" s="61" t="s">
        <v>2339</v>
      </c>
      <c r="E152" s="11" t="s">
        <v>13</v>
      </c>
    </row>
    <row r="153">
      <c r="B153" s="61" t="s">
        <v>2338</v>
      </c>
      <c r="C153" s="45" t="s">
        <v>547</v>
      </c>
      <c r="D153" s="61" t="s">
        <v>2340</v>
      </c>
      <c r="E153" s="11" t="s">
        <v>9</v>
      </c>
    </row>
    <row r="154">
      <c r="B154" s="61" t="s">
        <v>2337</v>
      </c>
      <c r="C154" s="45" t="s">
        <v>301</v>
      </c>
      <c r="D154" s="61" t="s">
        <v>2339</v>
      </c>
      <c r="E154" s="11" t="s">
        <v>13</v>
      </c>
    </row>
    <row r="155">
      <c r="B155" s="1" t="s">
        <v>2341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2342</v>
      </c>
      <c r="C157" s="57" t="s">
        <v>264</v>
      </c>
      <c r="D157" s="61" t="s">
        <v>2343</v>
      </c>
      <c r="E157" s="11" t="s">
        <v>29</v>
      </c>
    </row>
    <row r="158">
      <c r="B158" s="61" t="s">
        <v>2344</v>
      </c>
      <c r="C158" s="57" t="s">
        <v>443</v>
      </c>
      <c r="D158" s="61" t="s">
        <v>2345</v>
      </c>
      <c r="E158" s="11" t="s">
        <v>33</v>
      </c>
    </row>
    <row r="159">
      <c r="B159" s="61" t="s">
        <v>2346</v>
      </c>
      <c r="C159" s="57" t="s">
        <v>244</v>
      </c>
      <c r="D159" s="61" t="s">
        <v>2342</v>
      </c>
      <c r="E159" s="11" t="s">
        <v>29</v>
      </c>
    </row>
    <row r="160">
      <c r="B160" s="61" t="s">
        <v>2344</v>
      </c>
      <c r="C160" s="57" t="s">
        <v>352</v>
      </c>
      <c r="D160" s="61" t="s">
        <v>2343</v>
      </c>
      <c r="E160" s="11" t="s">
        <v>33</v>
      </c>
    </row>
    <row r="161">
      <c r="B161" s="61" t="s">
        <v>2346</v>
      </c>
      <c r="C161" s="57" t="s">
        <v>264</v>
      </c>
      <c r="D161" s="61" t="s">
        <v>2345</v>
      </c>
      <c r="E161" s="11" t="s">
        <v>29</v>
      </c>
    </row>
    <row r="162">
      <c r="B162" s="61" t="s">
        <v>2344</v>
      </c>
      <c r="C162" s="57" t="s">
        <v>219</v>
      </c>
      <c r="D162" s="61" t="s">
        <v>2342</v>
      </c>
      <c r="E162" s="11" t="s">
        <v>33</v>
      </c>
    </row>
    <row r="163">
      <c r="B163" s="61" t="s">
        <v>2346</v>
      </c>
      <c r="C163" s="57" t="s">
        <v>311</v>
      </c>
      <c r="D163" s="61" t="s">
        <v>2343</v>
      </c>
      <c r="E163" s="11" t="s">
        <v>29</v>
      </c>
    </row>
    <row r="164">
      <c r="B164" s="61" t="s">
        <v>2345</v>
      </c>
      <c r="C164" s="57" t="s">
        <v>244</v>
      </c>
      <c r="D164" s="61" t="s">
        <v>2342</v>
      </c>
      <c r="E164" s="11" t="s">
        <v>33</v>
      </c>
    </row>
    <row r="165">
      <c r="B165" s="61" t="s">
        <v>2346</v>
      </c>
      <c r="C165" s="57" t="s">
        <v>280</v>
      </c>
      <c r="D165" s="61" t="s">
        <v>2344</v>
      </c>
      <c r="E165" s="11" t="s">
        <v>29</v>
      </c>
    </row>
    <row r="166">
      <c r="B166" s="61" t="s">
        <v>2345</v>
      </c>
      <c r="C166" s="57" t="s">
        <v>165</v>
      </c>
      <c r="D166" s="61" t="s">
        <v>2343</v>
      </c>
      <c r="E166" s="11" t="s">
        <v>33</v>
      </c>
    </row>
    <row r="167">
      <c r="B167" s="61" t="s">
        <v>2343</v>
      </c>
      <c r="C167" s="57" t="s">
        <v>225</v>
      </c>
      <c r="D167" s="61" t="s">
        <v>2342</v>
      </c>
      <c r="E167" s="11" t="s">
        <v>29</v>
      </c>
    </row>
    <row r="168">
      <c r="B168" s="61" t="s">
        <v>2345</v>
      </c>
      <c r="C168" s="57" t="s">
        <v>573</v>
      </c>
      <c r="D168" s="61" t="s">
        <v>2344</v>
      </c>
      <c r="E168" s="11" t="s">
        <v>33</v>
      </c>
    </row>
    <row r="169">
      <c r="B169" s="61" t="s">
        <v>2342</v>
      </c>
      <c r="C169" s="45" t="s">
        <v>173</v>
      </c>
      <c r="D169" s="61" t="s">
        <v>2346</v>
      </c>
      <c r="E169" s="11" t="s">
        <v>29</v>
      </c>
    </row>
    <row r="170">
      <c r="B170" s="61" t="s">
        <v>2343</v>
      </c>
      <c r="C170" s="45" t="s">
        <v>229</v>
      </c>
      <c r="D170" s="61" t="s">
        <v>2344</v>
      </c>
      <c r="E170" s="11" t="s">
        <v>33</v>
      </c>
    </row>
    <row r="171">
      <c r="B171" s="61" t="s">
        <v>2345</v>
      </c>
      <c r="C171" s="45" t="s">
        <v>24</v>
      </c>
      <c r="D171" s="61" t="s">
        <v>2346</v>
      </c>
      <c r="E171" s="11" t="s">
        <v>29</v>
      </c>
    </row>
    <row r="172">
      <c r="B172" s="61" t="s">
        <v>2342</v>
      </c>
      <c r="C172" s="45" t="s">
        <v>574</v>
      </c>
      <c r="D172" s="61" t="s">
        <v>2344</v>
      </c>
      <c r="E172" s="11" t="s">
        <v>33</v>
      </c>
    </row>
    <row r="173">
      <c r="B173" s="61" t="s">
        <v>2343</v>
      </c>
      <c r="C173" s="45" t="s">
        <v>231</v>
      </c>
      <c r="D173" s="61" t="s">
        <v>2346</v>
      </c>
      <c r="E173" s="11" t="s">
        <v>29</v>
      </c>
    </row>
    <row r="174">
      <c r="B174" s="61" t="s">
        <v>2342</v>
      </c>
      <c r="C174" s="45" t="s">
        <v>7</v>
      </c>
      <c r="D174" s="61" t="s">
        <v>2345</v>
      </c>
      <c r="E174" s="11" t="s">
        <v>33</v>
      </c>
    </row>
    <row r="175">
      <c r="B175" s="61" t="s">
        <v>2344</v>
      </c>
      <c r="C175" s="45" t="s">
        <v>940</v>
      </c>
      <c r="D175" s="61" t="s">
        <v>2346</v>
      </c>
      <c r="E175" s="11" t="s">
        <v>29</v>
      </c>
    </row>
    <row r="176">
      <c r="B176" s="61" t="s">
        <v>2343</v>
      </c>
      <c r="C176" s="45" t="s">
        <v>286</v>
      </c>
      <c r="D176" s="61" t="s">
        <v>2345</v>
      </c>
      <c r="E176" s="11" t="s">
        <v>33</v>
      </c>
    </row>
    <row r="177">
      <c r="B177" s="1" t="s">
        <v>1544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2071</v>
      </c>
      <c r="C179" s="57" t="s">
        <v>998</v>
      </c>
      <c r="D179" s="61" t="s">
        <v>2347</v>
      </c>
      <c r="E179" s="11" t="s">
        <v>9</v>
      </c>
    </row>
    <row r="180">
      <c r="B180" s="61" t="s">
        <v>2348</v>
      </c>
      <c r="C180" s="57" t="s">
        <v>44</v>
      </c>
      <c r="D180" s="61" t="s">
        <v>1174</v>
      </c>
      <c r="E180" s="11" t="s">
        <v>13</v>
      </c>
    </row>
    <row r="181">
      <c r="B181" s="61" t="s">
        <v>2349</v>
      </c>
      <c r="C181" s="57" t="s">
        <v>849</v>
      </c>
      <c r="D181" s="61" t="s">
        <v>2071</v>
      </c>
      <c r="E181" s="11" t="s">
        <v>9</v>
      </c>
    </row>
    <row r="182">
      <c r="B182" s="61" t="s">
        <v>2348</v>
      </c>
      <c r="C182" s="57" t="s">
        <v>43</v>
      </c>
      <c r="D182" s="61" t="s">
        <v>2347</v>
      </c>
      <c r="E182" s="11" t="s">
        <v>13</v>
      </c>
    </row>
    <row r="183">
      <c r="B183" s="61" t="s">
        <v>2349</v>
      </c>
      <c r="C183" s="57" t="s">
        <v>181</v>
      </c>
      <c r="D183" s="61" t="s">
        <v>1174</v>
      </c>
      <c r="E183" s="11" t="s">
        <v>9</v>
      </c>
    </row>
    <row r="184">
      <c r="B184" s="61" t="s">
        <v>2348</v>
      </c>
      <c r="C184" s="57" t="s">
        <v>281</v>
      </c>
      <c r="D184" s="61" t="s">
        <v>2071</v>
      </c>
      <c r="E184" s="11" t="s">
        <v>13</v>
      </c>
    </row>
    <row r="185">
      <c r="B185" s="61" t="s">
        <v>2349</v>
      </c>
      <c r="C185" s="57" t="s">
        <v>1162</v>
      </c>
      <c r="D185" s="61" t="s">
        <v>2347</v>
      </c>
      <c r="E185" s="11" t="s">
        <v>9</v>
      </c>
    </row>
    <row r="186">
      <c r="B186" s="61" t="s">
        <v>1174</v>
      </c>
      <c r="C186" s="57" t="s">
        <v>177</v>
      </c>
      <c r="D186" s="70" t="s">
        <v>2071</v>
      </c>
      <c r="E186" s="11" t="s">
        <v>13</v>
      </c>
    </row>
    <row r="187">
      <c r="B187" s="61" t="s">
        <v>2349</v>
      </c>
      <c r="C187" s="57" t="s">
        <v>229</v>
      </c>
      <c r="D187" s="61" t="s">
        <v>2348</v>
      </c>
      <c r="E187" s="11" t="s">
        <v>9</v>
      </c>
    </row>
    <row r="188">
      <c r="B188" s="61" t="s">
        <v>1174</v>
      </c>
      <c r="C188" s="57" t="s">
        <v>638</v>
      </c>
      <c r="D188" s="61" t="s">
        <v>2347</v>
      </c>
      <c r="E188" s="11" t="s">
        <v>13</v>
      </c>
    </row>
    <row r="189">
      <c r="B189" s="61" t="s">
        <v>2347</v>
      </c>
      <c r="C189" s="57" t="s">
        <v>233</v>
      </c>
      <c r="D189" s="61" t="s">
        <v>2071</v>
      </c>
      <c r="E189" s="11" t="s">
        <v>9</v>
      </c>
    </row>
    <row r="190">
      <c r="B190" s="61" t="s">
        <v>1174</v>
      </c>
      <c r="C190" s="57" t="s">
        <v>233</v>
      </c>
      <c r="D190" s="61" t="s">
        <v>2348</v>
      </c>
      <c r="E190" s="11" t="s">
        <v>13</v>
      </c>
    </row>
    <row r="191">
      <c r="B191" s="61" t="s">
        <v>2071</v>
      </c>
      <c r="C191" s="45" t="s">
        <v>293</v>
      </c>
      <c r="D191" s="61" t="s">
        <v>2349</v>
      </c>
      <c r="E191" s="11" t="s">
        <v>9</v>
      </c>
    </row>
    <row r="192">
      <c r="B192" s="61" t="s">
        <v>2347</v>
      </c>
      <c r="C192" s="45" t="s">
        <v>545</v>
      </c>
      <c r="D192" s="61" t="s">
        <v>2348</v>
      </c>
      <c r="E192" s="11" t="s">
        <v>13</v>
      </c>
    </row>
    <row r="193">
      <c r="B193" s="61" t="s">
        <v>1174</v>
      </c>
      <c r="C193" s="45" t="s">
        <v>209</v>
      </c>
      <c r="D193" s="61" t="s">
        <v>2349</v>
      </c>
      <c r="E193" s="11" t="s">
        <v>9</v>
      </c>
    </row>
    <row r="194">
      <c r="B194" s="61" t="s">
        <v>2071</v>
      </c>
      <c r="C194" s="45" t="s">
        <v>290</v>
      </c>
      <c r="D194" s="61" t="s">
        <v>2348</v>
      </c>
      <c r="E194" s="11" t="s">
        <v>13</v>
      </c>
    </row>
    <row r="195">
      <c r="B195" s="61" t="s">
        <v>2347</v>
      </c>
      <c r="C195" s="45" t="s">
        <v>38</v>
      </c>
      <c r="D195" s="61" t="s">
        <v>2349</v>
      </c>
      <c r="E195" s="11" t="s">
        <v>9</v>
      </c>
    </row>
    <row r="196">
      <c r="B196" s="61" t="s">
        <v>2071</v>
      </c>
      <c r="C196" s="45" t="s">
        <v>210</v>
      </c>
      <c r="D196" s="61" t="s">
        <v>1174</v>
      </c>
      <c r="E196" s="11" t="s">
        <v>13</v>
      </c>
    </row>
    <row r="197">
      <c r="B197" s="61" t="s">
        <v>2348</v>
      </c>
      <c r="C197" s="45" t="s">
        <v>1419</v>
      </c>
      <c r="D197" s="61" t="s">
        <v>2349</v>
      </c>
      <c r="E197" s="11" t="s">
        <v>9</v>
      </c>
    </row>
    <row r="198">
      <c r="B198" s="61" t="s">
        <v>2347</v>
      </c>
      <c r="C198" s="45" t="s">
        <v>157</v>
      </c>
      <c r="D198" s="61" t="s">
        <v>1174</v>
      </c>
      <c r="E198" s="11" t="s">
        <v>13</v>
      </c>
    </row>
    <row r="199">
      <c r="B199" s="1" t="s">
        <v>2350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2351</v>
      </c>
      <c r="C201" s="57" t="s">
        <v>281</v>
      </c>
      <c r="D201" s="61" t="s">
        <v>2352</v>
      </c>
      <c r="E201" s="11" t="s">
        <v>29</v>
      </c>
    </row>
    <row r="202">
      <c r="B202" s="61" t="s">
        <v>2177</v>
      </c>
      <c r="C202" s="45" t="s">
        <v>1120</v>
      </c>
      <c r="D202" s="61" t="s">
        <v>834</v>
      </c>
      <c r="E202" s="11" t="s">
        <v>33</v>
      </c>
    </row>
    <row r="203">
      <c r="B203" s="61" t="s">
        <v>2353</v>
      </c>
      <c r="C203" s="45" t="s">
        <v>225</v>
      </c>
      <c r="D203" s="61" t="s">
        <v>2351</v>
      </c>
      <c r="E203" s="11" t="s">
        <v>29</v>
      </c>
    </row>
    <row r="204">
      <c r="B204" s="61" t="s">
        <v>2177</v>
      </c>
      <c r="C204" s="45" t="s">
        <v>16</v>
      </c>
      <c r="D204" s="61" t="s">
        <v>2352</v>
      </c>
      <c r="E204" s="11" t="s">
        <v>33</v>
      </c>
    </row>
    <row r="205">
      <c r="B205" s="61" t="s">
        <v>2353</v>
      </c>
      <c r="C205" s="45" t="s">
        <v>209</v>
      </c>
      <c r="D205" s="61" t="s">
        <v>834</v>
      </c>
      <c r="E205" s="11" t="s">
        <v>29</v>
      </c>
    </row>
    <row r="206">
      <c r="B206" s="61" t="s">
        <v>2177</v>
      </c>
      <c r="C206" s="45" t="s">
        <v>376</v>
      </c>
      <c r="D206" s="61" t="s">
        <v>2351</v>
      </c>
      <c r="E206" s="11" t="s">
        <v>33</v>
      </c>
    </row>
    <row r="207">
      <c r="B207" s="61" t="s">
        <v>2353</v>
      </c>
      <c r="C207" s="45" t="s">
        <v>205</v>
      </c>
      <c r="D207" s="61" t="s">
        <v>2352</v>
      </c>
      <c r="E207" s="11" t="s">
        <v>29</v>
      </c>
    </row>
    <row r="208">
      <c r="B208" s="61" t="s">
        <v>834</v>
      </c>
      <c r="C208" s="45" t="s">
        <v>278</v>
      </c>
      <c r="D208" s="61" t="s">
        <v>2351</v>
      </c>
      <c r="E208" s="11" t="s">
        <v>33</v>
      </c>
    </row>
    <row r="209">
      <c r="B209" s="61" t="s">
        <v>2353</v>
      </c>
      <c r="C209" s="45" t="s">
        <v>344</v>
      </c>
      <c r="D209" s="61" t="s">
        <v>2177</v>
      </c>
      <c r="E209" s="11" t="s">
        <v>29</v>
      </c>
    </row>
    <row r="210">
      <c r="B210" s="61" t="s">
        <v>834</v>
      </c>
      <c r="C210" s="45" t="s">
        <v>352</v>
      </c>
      <c r="D210" s="61" t="s">
        <v>2352</v>
      </c>
      <c r="E210" s="11" t="s">
        <v>33</v>
      </c>
    </row>
    <row r="211">
      <c r="B211" s="61" t="s">
        <v>2352</v>
      </c>
      <c r="C211" s="45" t="s">
        <v>291</v>
      </c>
      <c r="D211" s="61" t="s">
        <v>2351</v>
      </c>
      <c r="E211" s="11" t="s">
        <v>29</v>
      </c>
    </row>
    <row r="212">
      <c r="B212" s="61" t="s">
        <v>834</v>
      </c>
      <c r="C212" s="45" t="s">
        <v>176</v>
      </c>
      <c r="D212" s="61" t="s">
        <v>2177</v>
      </c>
      <c r="E212" s="11" t="s">
        <v>33</v>
      </c>
    </row>
    <row r="213">
      <c r="B213" s="61" t="s">
        <v>2351</v>
      </c>
      <c r="C213" s="45" t="s">
        <v>22</v>
      </c>
      <c r="D213" s="61" t="s">
        <v>2353</v>
      </c>
      <c r="E213" s="11" t="s">
        <v>29</v>
      </c>
    </row>
    <row r="214">
      <c r="B214" s="61" t="s">
        <v>2352</v>
      </c>
      <c r="C214" s="45" t="s">
        <v>17</v>
      </c>
      <c r="D214" s="61" t="s">
        <v>2177</v>
      </c>
      <c r="E214" s="11" t="s">
        <v>33</v>
      </c>
    </row>
    <row r="215">
      <c r="B215" s="61" t="s">
        <v>834</v>
      </c>
      <c r="C215" s="45" t="s">
        <v>181</v>
      </c>
      <c r="D215" s="61" t="s">
        <v>2353</v>
      </c>
      <c r="E215" s="11" t="s">
        <v>29</v>
      </c>
    </row>
    <row r="216">
      <c r="B216" s="61" t="s">
        <v>2351</v>
      </c>
      <c r="C216" s="45" t="s">
        <v>1059</v>
      </c>
      <c r="D216" s="61" t="s">
        <v>2177</v>
      </c>
      <c r="E216" s="11" t="s">
        <v>33</v>
      </c>
    </row>
    <row r="217">
      <c r="B217" s="61" t="s">
        <v>2352</v>
      </c>
      <c r="C217" s="45" t="s">
        <v>464</v>
      </c>
      <c r="D217" s="61" t="s">
        <v>2353</v>
      </c>
      <c r="E217" s="11" t="s">
        <v>29</v>
      </c>
    </row>
    <row r="218">
      <c r="B218" s="61" t="s">
        <v>2351</v>
      </c>
      <c r="C218" s="45" t="s">
        <v>442</v>
      </c>
      <c r="D218" s="61" t="s">
        <v>834</v>
      </c>
      <c r="E218" s="11" t="s">
        <v>33</v>
      </c>
    </row>
    <row r="219">
      <c r="B219" s="61" t="s">
        <v>2177</v>
      </c>
      <c r="C219" s="45" t="s">
        <v>525</v>
      </c>
      <c r="D219" s="61" t="s">
        <v>2353</v>
      </c>
      <c r="E219" s="11" t="s">
        <v>29</v>
      </c>
    </row>
    <row r="220">
      <c r="B220" s="61" t="s">
        <v>2352</v>
      </c>
      <c r="C220" s="45" t="s">
        <v>292</v>
      </c>
      <c r="D220" s="61" t="s">
        <v>834</v>
      </c>
      <c r="E220" s="11" t="s">
        <v>33</v>
      </c>
    </row>
    <row r="221">
      <c r="B221" s="52" t="s">
        <v>89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1855</v>
      </c>
      <c r="C223" s="45" t="s">
        <v>162</v>
      </c>
      <c r="D223" s="62" t="s">
        <v>2354</v>
      </c>
      <c r="E223" s="11" t="s">
        <v>29</v>
      </c>
    </row>
    <row r="224">
      <c r="B224" s="62" t="s">
        <v>2355</v>
      </c>
      <c r="C224" s="45" t="s">
        <v>248</v>
      </c>
      <c r="D224" s="62" t="s">
        <v>1693</v>
      </c>
      <c r="E224" s="11" t="s">
        <v>33</v>
      </c>
    </row>
    <row r="225">
      <c r="B225" s="62" t="s">
        <v>539</v>
      </c>
      <c r="C225" s="45" t="s">
        <v>225</v>
      </c>
      <c r="D225" s="62" t="s">
        <v>1855</v>
      </c>
      <c r="E225" s="11" t="s">
        <v>29</v>
      </c>
    </row>
    <row r="226">
      <c r="B226" s="62" t="s">
        <v>2355</v>
      </c>
      <c r="C226" s="45" t="s">
        <v>173</v>
      </c>
      <c r="D226" s="62" t="s">
        <v>2354</v>
      </c>
      <c r="E226" s="11" t="s">
        <v>33</v>
      </c>
    </row>
    <row r="227">
      <c r="B227" s="62" t="s">
        <v>539</v>
      </c>
      <c r="C227" s="45" t="s">
        <v>17</v>
      </c>
      <c r="D227" s="62" t="s">
        <v>1693</v>
      </c>
      <c r="E227" s="11" t="s">
        <v>29</v>
      </c>
    </row>
    <row r="228">
      <c r="B228" s="62" t="s">
        <v>2355</v>
      </c>
      <c r="C228" s="45" t="s">
        <v>344</v>
      </c>
      <c r="D228" s="62" t="s">
        <v>1855</v>
      </c>
      <c r="E228" s="11" t="s">
        <v>33</v>
      </c>
    </row>
    <row r="229">
      <c r="B229" s="62" t="s">
        <v>539</v>
      </c>
      <c r="C229" s="45" t="s">
        <v>525</v>
      </c>
      <c r="D229" s="62" t="s">
        <v>2354</v>
      </c>
      <c r="E229" s="11" t="s">
        <v>29</v>
      </c>
    </row>
    <row r="230">
      <c r="B230" s="62" t="s">
        <v>1693</v>
      </c>
      <c r="C230" s="45" t="s">
        <v>344</v>
      </c>
      <c r="D230" s="62" t="s">
        <v>1855</v>
      </c>
      <c r="E230" s="11" t="s">
        <v>33</v>
      </c>
    </row>
    <row r="231">
      <c r="B231" s="62" t="s">
        <v>539</v>
      </c>
      <c r="C231" s="45" t="s">
        <v>173</v>
      </c>
      <c r="D231" s="62" t="s">
        <v>2355</v>
      </c>
      <c r="E231" s="11" t="s">
        <v>29</v>
      </c>
    </row>
    <row r="232">
      <c r="B232" s="62" t="s">
        <v>1693</v>
      </c>
      <c r="C232" s="45" t="s">
        <v>21</v>
      </c>
      <c r="D232" s="62" t="s">
        <v>2354</v>
      </c>
      <c r="E232" s="11" t="s">
        <v>33</v>
      </c>
    </row>
    <row r="233">
      <c r="B233" s="62" t="s">
        <v>2354</v>
      </c>
      <c r="C233" s="45" t="s">
        <v>23</v>
      </c>
      <c r="D233" s="62" t="s">
        <v>1855</v>
      </c>
      <c r="E233" s="11" t="s">
        <v>29</v>
      </c>
    </row>
    <row r="234">
      <c r="B234" s="62" t="s">
        <v>1693</v>
      </c>
      <c r="C234" s="45" t="s">
        <v>233</v>
      </c>
      <c r="D234" s="62" t="s">
        <v>2355</v>
      </c>
      <c r="E234" s="11" t="s">
        <v>33</v>
      </c>
    </row>
    <row r="235">
      <c r="B235" s="62" t="s">
        <v>1855</v>
      </c>
      <c r="C235" s="45" t="s">
        <v>38</v>
      </c>
      <c r="D235" s="62" t="s">
        <v>539</v>
      </c>
      <c r="E235" s="11" t="s">
        <v>29</v>
      </c>
    </row>
    <row r="236">
      <c r="B236" s="62" t="s">
        <v>2354</v>
      </c>
      <c r="C236" s="45" t="s">
        <v>19</v>
      </c>
      <c r="D236" s="62" t="s">
        <v>2355</v>
      </c>
      <c r="E236" s="11" t="s">
        <v>33</v>
      </c>
    </row>
    <row r="237">
      <c r="B237" s="62" t="s">
        <v>1693</v>
      </c>
      <c r="C237" s="45" t="s">
        <v>2356</v>
      </c>
      <c r="D237" s="62" t="s">
        <v>539</v>
      </c>
      <c r="E237" s="11" t="s">
        <v>29</v>
      </c>
    </row>
    <row r="238">
      <c r="B238" s="62" t="s">
        <v>1855</v>
      </c>
      <c r="C238" s="45" t="s">
        <v>24</v>
      </c>
      <c r="D238" s="62" t="s">
        <v>2355</v>
      </c>
      <c r="E238" s="11" t="s">
        <v>33</v>
      </c>
    </row>
    <row r="239">
      <c r="B239" s="62" t="s">
        <v>2354</v>
      </c>
      <c r="C239" s="45" t="s">
        <v>507</v>
      </c>
      <c r="D239" s="62" t="s">
        <v>539</v>
      </c>
      <c r="E239" s="11" t="s">
        <v>29</v>
      </c>
    </row>
    <row r="240">
      <c r="B240" s="62" t="s">
        <v>1855</v>
      </c>
      <c r="C240" s="45" t="s">
        <v>39</v>
      </c>
      <c r="D240" s="62" t="s">
        <v>1693</v>
      </c>
      <c r="E240" s="11" t="s">
        <v>33</v>
      </c>
    </row>
    <row r="241">
      <c r="B241" s="62" t="s">
        <v>2355</v>
      </c>
      <c r="C241" s="45" t="s">
        <v>203</v>
      </c>
      <c r="D241" s="62" t="s">
        <v>539</v>
      </c>
      <c r="E241" s="11" t="s">
        <v>29</v>
      </c>
    </row>
    <row r="242">
      <c r="B242" s="62" t="s">
        <v>2354</v>
      </c>
      <c r="C242" s="45" t="s">
        <v>16</v>
      </c>
      <c r="D242" s="62" t="s">
        <v>1693</v>
      </c>
      <c r="E242" s="11" t="s">
        <v>33</v>
      </c>
    </row>
    <row r="243">
      <c r="B243" s="52" t="s">
        <v>1803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1851</v>
      </c>
      <c r="C245" s="57" t="s">
        <v>1120</v>
      </c>
      <c r="D245" s="62" t="s">
        <v>2357</v>
      </c>
      <c r="E245" s="11" t="s">
        <v>9</v>
      </c>
    </row>
    <row r="246">
      <c r="B246" s="62" t="s">
        <v>2358</v>
      </c>
      <c r="C246" s="57" t="s">
        <v>157</v>
      </c>
      <c r="D246" s="62" t="s">
        <v>2339</v>
      </c>
      <c r="E246" s="11" t="s">
        <v>13</v>
      </c>
    </row>
    <row r="247">
      <c r="B247" s="62" t="s">
        <v>2359</v>
      </c>
      <c r="C247" s="57" t="s">
        <v>164</v>
      </c>
      <c r="D247" s="62" t="s">
        <v>1851</v>
      </c>
      <c r="E247" s="11" t="s">
        <v>9</v>
      </c>
    </row>
    <row r="248">
      <c r="B248" s="62" t="s">
        <v>2358</v>
      </c>
      <c r="C248" s="57" t="s">
        <v>344</v>
      </c>
      <c r="D248" s="62" t="s">
        <v>2357</v>
      </c>
      <c r="E248" s="11" t="s">
        <v>13</v>
      </c>
    </row>
    <row r="249">
      <c r="B249" s="62" t="s">
        <v>2359</v>
      </c>
      <c r="C249" s="57" t="s">
        <v>173</v>
      </c>
      <c r="D249" s="62" t="s">
        <v>2339</v>
      </c>
      <c r="E249" s="11" t="s">
        <v>9</v>
      </c>
    </row>
    <row r="250">
      <c r="B250" s="62" t="s">
        <v>2358</v>
      </c>
      <c r="C250" s="57" t="s">
        <v>567</v>
      </c>
      <c r="D250" s="62" t="s">
        <v>1851</v>
      </c>
      <c r="E250" s="11" t="s">
        <v>13</v>
      </c>
    </row>
    <row r="251">
      <c r="B251" s="62" t="s">
        <v>2359</v>
      </c>
      <c r="C251" s="57" t="s">
        <v>219</v>
      </c>
      <c r="D251" s="62" t="s">
        <v>2357</v>
      </c>
      <c r="E251" s="11" t="s">
        <v>9</v>
      </c>
    </row>
    <row r="252">
      <c r="B252" s="62" t="s">
        <v>2339</v>
      </c>
      <c r="C252" s="57" t="s">
        <v>2360</v>
      </c>
      <c r="D252" s="62" t="s">
        <v>1851</v>
      </c>
      <c r="E252" s="11" t="s">
        <v>13</v>
      </c>
    </row>
    <row r="253">
      <c r="B253" s="62" t="s">
        <v>2359</v>
      </c>
      <c r="C253" s="57" t="s">
        <v>210</v>
      </c>
      <c r="D253" s="62" t="s">
        <v>2358</v>
      </c>
      <c r="E253" s="11" t="s">
        <v>9</v>
      </c>
    </row>
    <row r="254">
      <c r="B254" s="62" t="s">
        <v>2339</v>
      </c>
      <c r="C254" s="57" t="s">
        <v>344</v>
      </c>
      <c r="D254" s="62" t="s">
        <v>2357</v>
      </c>
      <c r="E254" s="11" t="s">
        <v>13</v>
      </c>
    </row>
    <row r="255">
      <c r="B255" s="62" t="s">
        <v>2357</v>
      </c>
      <c r="C255" s="57" t="s">
        <v>220</v>
      </c>
      <c r="D255" s="62" t="s">
        <v>1851</v>
      </c>
      <c r="E255" s="11" t="s">
        <v>9</v>
      </c>
    </row>
    <row r="256">
      <c r="B256" s="62" t="s">
        <v>2339</v>
      </c>
      <c r="C256" s="57" t="s">
        <v>352</v>
      </c>
      <c r="D256" s="62" t="s">
        <v>2358</v>
      </c>
      <c r="E256" s="11" t="s">
        <v>13</v>
      </c>
    </row>
    <row r="257">
      <c r="B257" s="62" t="s">
        <v>1851</v>
      </c>
      <c r="C257" s="45" t="s">
        <v>16</v>
      </c>
      <c r="D257" s="62" t="s">
        <v>2359</v>
      </c>
      <c r="E257" s="11" t="s">
        <v>9</v>
      </c>
    </row>
    <row r="258">
      <c r="B258" s="62" t="s">
        <v>2357</v>
      </c>
      <c r="C258" s="45" t="s">
        <v>182</v>
      </c>
      <c r="D258" s="62" t="s">
        <v>2358</v>
      </c>
      <c r="E258" s="11" t="s">
        <v>13</v>
      </c>
    </row>
    <row r="259">
      <c r="B259" s="62" t="s">
        <v>2339</v>
      </c>
      <c r="C259" s="45" t="s">
        <v>357</v>
      </c>
      <c r="D259" s="62" t="s">
        <v>2359</v>
      </c>
      <c r="E259" s="11" t="s">
        <v>9</v>
      </c>
    </row>
    <row r="260">
      <c r="B260" s="62" t="s">
        <v>1851</v>
      </c>
      <c r="C260" s="45" t="s">
        <v>18</v>
      </c>
      <c r="D260" s="62" t="s">
        <v>2358</v>
      </c>
      <c r="E260" s="11" t="s">
        <v>13</v>
      </c>
    </row>
    <row r="261">
      <c r="B261" s="62" t="s">
        <v>2357</v>
      </c>
      <c r="C261" s="45" t="s">
        <v>334</v>
      </c>
      <c r="D261" s="62" t="s">
        <v>2359</v>
      </c>
      <c r="E261" s="11" t="s">
        <v>9</v>
      </c>
    </row>
    <row r="262">
      <c r="B262" s="62" t="s">
        <v>1851</v>
      </c>
      <c r="C262" s="45" t="s">
        <v>20</v>
      </c>
      <c r="D262" s="62" t="s">
        <v>2339</v>
      </c>
      <c r="E262" s="11" t="s">
        <v>13</v>
      </c>
    </row>
    <row r="263">
      <c r="B263" s="62" t="s">
        <v>2358</v>
      </c>
      <c r="C263" s="45" t="s">
        <v>911</v>
      </c>
      <c r="D263" s="62" t="s">
        <v>2359</v>
      </c>
      <c r="E263" s="11" t="s">
        <v>9</v>
      </c>
    </row>
    <row r="264">
      <c r="B264" s="62" t="s">
        <v>2357</v>
      </c>
      <c r="C264" s="45" t="s">
        <v>163</v>
      </c>
      <c r="D264" s="62" t="s">
        <v>2339</v>
      </c>
      <c r="E264" s="11" t="s">
        <v>13</v>
      </c>
    </row>
    <row r="265">
      <c r="B265" s="52" t="s">
        <v>2166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2361</v>
      </c>
      <c r="C267" s="45" t="s">
        <v>251</v>
      </c>
      <c r="D267" s="62" t="s">
        <v>2362</v>
      </c>
      <c r="E267" s="11" t="s">
        <v>9</v>
      </c>
    </row>
    <row r="268">
      <c r="B268" s="62" t="s">
        <v>2363</v>
      </c>
      <c r="C268" s="45" t="s">
        <v>531</v>
      </c>
      <c r="D268" s="62" t="s">
        <v>2364</v>
      </c>
      <c r="E268" s="11" t="s">
        <v>13</v>
      </c>
    </row>
    <row r="269">
      <c r="B269" s="62" t="s">
        <v>2365</v>
      </c>
      <c r="C269" s="45" t="s">
        <v>18</v>
      </c>
      <c r="D269" s="62" t="s">
        <v>2361</v>
      </c>
      <c r="E269" s="11" t="s">
        <v>9</v>
      </c>
    </row>
    <row r="270">
      <c r="B270" s="62" t="s">
        <v>2363</v>
      </c>
      <c r="C270" s="45" t="s">
        <v>940</v>
      </c>
      <c r="D270" s="62" t="s">
        <v>2362</v>
      </c>
      <c r="E270" s="11" t="s">
        <v>13</v>
      </c>
    </row>
    <row r="271">
      <c r="B271" s="62" t="s">
        <v>2365</v>
      </c>
      <c r="C271" s="45" t="s">
        <v>17</v>
      </c>
      <c r="D271" s="62" t="s">
        <v>2364</v>
      </c>
      <c r="E271" s="11" t="s">
        <v>9</v>
      </c>
    </row>
    <row r="272">
      <c r="B272" s="62" t="s">
        <v>2363</v>
      </c>
      <c r="C272" s="45" t="s">
        <v>155</v>
      </c>
      <c r="D272" s="62" t="s">
        <v>2361</v>
      </c>
      <c r="E272" s="11" t="s">
        <v>13</v>
      </c>
    </row>
    <row r="273">
      <c r="B273" s="62" t="s">
        <v>2365</v>
      </c>
      <c r="C273" s="45" t="s">
        <v>155</v>
      </c>
      <c r="D273" s="62" t="s">
        <v>2362</v>
      </c>
      <c r="E273" s="11" t="s">
        <v>9</v>
      </c>
    </row>
    <row r="274">
      <c r="B274" s="62" t="s">
        <v>2364</v>
      </c>
      <c r="C274" s="45" t="s">
        <v>38</v>
      </c>
      <c r="D274" s="62" t="s">
        <v>2361</v>
      </c>
      <c r="E274" s="11" t="s">
        <v>13</v>
      </c>
    </row>
    <row r="275">
      <c r="B275" s="62" t="s">
        <v>2365</v>
      </c>
      <c r="C275" s="45" t="s">
        <v>162</v>
      </c>
      <c r="D275" s="62" t="s">
        <v>2363</v>
      </c>
      <c r="E275" s="11" t="s">
        <v>9</v>
      </c>
    </row>
    <row r="276">
      <c r="B276" s="62" t="s">
        <v>2364</v>
      </c>
      <c r="C276" s="45" t="s">
        <v>193</v>
      </c>
      <c r="D276" s="62" t="s">
        <v>2362</v>
      </c>
      <c r="E276" s="11" t="s">
        <v>13</v>
      </c>
    </row>
    <row r="277">
      <c r="B277" s="62" t="s">
        <v>2362</v>
      </c>
      <c r="C277" s="45" t="s">
        <v>20</v>
      </c>
      <c r="D277" s="62" t="s">
        <v>2361</v>
      </c>
      <c r="E277" s="11" t="s">
        <v>9</v>
      </c>
    </row>
    <row r="278">
      <c r="B278" s="62" t="s">
        <v>2364</v>
      </c>
      <c r="C278" s="45" t="s">
        <v>257</v>
      </c>
      <c r="D278" s="62" t="s">
        <v>2363</v>
      </c>
      <c r="E278" s="11" t="s">
        <v>13</v>
      </c>
    </row>
    <row r="279">
      <c r="B279" s="62" t="s">
        <v>2361</v>
      </c>
      <c r="C279" s="45" t="s">
        <v>16</v>
      </c>
      <c r="D279" s="62" t="s">
        <v>2365</v>
      </c>
      <c r="E279" s="11" t="s">
        <v>9</v>
      </c>
    </row>
    <row r="280">
      <c r="B280" s="62" t="s">
        <v>2362</v>
      </c>
      <c r="C280" s="45" t="s">
        <v>248</v>
      </c>
      <c r="D280" s="62" t="s">
        <v>2363</v>
      </c>
      <c r="E280" s="11" t="s">
        <v>13</v>
      </c>
    </row>
    <row r="281">
      <c r="B281" s="62" t="s">
        <v>2364</v>
      </c>
      <c r="C281" s="45" t="s">
        <v>155</v>
      </c>
      <c r="D281" s="62" t="s">
        <v>2365</v>
      </c>
      <c r="E281" s="11" t="s">
        <v>9</v>
      </c>
    </row>
    <row r="282">
      <c r="B282" s="62" t="s">
        <v>2361</v>
      </c>
      <c r="C282" s="45" t="s">
        <v>1015</v>
      </c>
      <c r="D282" s="62" t="s">
        <v>2363</v>
      </c>
      <c r="E282" s="11" t="s">
        <v>13</v>
      </c>
    </row>
    <row r="283">
      <c r="B283" s="62" t="s">
        <v>2362</v>
      </c>
      <c r="C283" s="45" t="s">
        <v>271</v>
      </c>
      <c r="D283" s="62" t="s">
        <v>2365</v>
      </c>
      <c r="E283" s="11" t="s">
        <v>9</v>
      </c>
    </row>
    <row r="284">
      <c r="B284" s="62" t="s">
        <v>2361</v>
      </c>
      <c r="C284" s="45" t="s">
        <v>250</v>
      </c>
      <c r="D284" s="62" t="s">
        <v>2364</v>
      </c>
      <c r="E284" s="11" t="s">
        <v>13</v>
      </c>
    </row>
    <row r="285">
      <c r="B285" s="62" t="s">
        <v>2363</v>
      </c>
      <c r="C285" s="45" t="s">
        <v>164</v>
      </c>
      <c r="D285" s="62" t="s">
        <v>2365</v>
      </c>
      <c r="E285" s="11" t="s">
        <v>9</v>
      </c>
    </row>
    <row r="286">
      <c r="B286" s="62" t="s">
        <v>2362</v>
      </c>
      <c r="C286" s="45" t="s">
        <v>209</v>
      </c>
      <c r="D286" s="62" t="s">
        <v>2364</v>
      </c>
      <c r="E286" s="11" t="s">
        <v>13</v>
      </c>
    </row>
    <row r="287">
      <c r="B287" s="52" t="s">
        <v>2366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1996</v>
      </c>
      <c r="C289" s="45" t="s">
        <v>181</v>
      </c>
      <c r="D289" s="62" t="s">
        <v>2367</v>
      </c>
      <c r="E289" s="11" t="s">
        <v>29</v>
      </c>
    </row>
    <row r="290">
      <c r="B290" s="62" t="s">
        <v>2368</v>
      </c>
      <c r="C290" s="45" t="s">
        <v>182</v>
      </c>
      <c r="D290" s="62" t="s">
        <v>1993</v>
      </c>
      <c r="E290" s="11" t="s">
        <v>33</v>
      </c>
    </row>
    <row r="291">
      <c r="B291" s="62" t="s">
        <v>2124</v>
      </c>
      <c r="C291" s="45" t="s">
        <v>218</v>
      </c>
      <c r="D291" s="62" t="s">
        <v>1996</v>
      </c>
      <c r="E291" s="11" t="s">
        <v>29</v>
      </c>
    </row>
    <row r="292">
      <c r="B292" s="62" t="s">
        <v>2368</v>
      </c>
      <c r="C292" s="45" t="s">
        <v>910</v>
      </c>
      <c r="D292" s="62" t="s">
        <v>2367</v>
      </c>
      <c r="E292" s="11" t="s">
        <v>33</v>
      </c>
    </row>
    <row r="293">
      <c r="B293" s="62" t="s">
        <v>2124</v>
      </c>
      <c r="C293" s="45" t="s">
        <v>620</v>
      </c>
      <c r="D293" s="62" t="s">
        <v>1993</v>
      </c>
      <c r="E293" s="11" t="s">
        <v>29</v>
      </c>
    </row>
    <row r="294">
      <c r="B294" s="62" t="s">
        <v>2368</v>
      </c>
      <c r="C294" s="45" t="s">
        <v>225</v>
      </c>
      <c r="D294" s="62" t="s">
        <v>1996</v>
      </c>
      <c r="E294" s="11" t="s">
        <v>33</v>
      </c>
    </row>
    <row r="295">
      <c r="B295" s="62" t="s">
        <v>2124</v>
      </c>
      <c r="C295" s="45" t="s">
        <v>239</v>
      </c>
      <c r="D295" s="62" t="s">
        <v>2367</v>
      </c>
      <c r="E295" s="11" t="s">
        <v>29</v>
      </c>
    </row>
    <row r="296">
      <c r="B296" s="62" t="s">
        <v>1993</v>
      </c>
      <c r="C296" s="45" t="s">
        <v>158</v>
      </c>
      <c r="D296" s="62" t="s">
        <v>1996</v>
      </c>
      <c r="E296" s="11" t="s">
        <v>33</v>
      </c>
    </row>
    <row r="297">
      <c r="B297" s="62" t="s">
        <v>2124</v>
      </c>
      <c r="C297" s="45" t="s">
        <v>657</v>
      </c>
      <c r="D297" s="62" t="s">
        <v>2368</v>
      </c>
      <c r="E297" s="11" t="s">
        <v>29</v>
      </c>
    </row>
    <row r="298">
      <c r="B298" s="62" t="s">
        <v>1993</v>
      </c>
      <c r="C298" s="45" t="s">
        <v>19</v>
      </c>
      <c r="D298" s="62" t="s">
        <v>2367</v>
      </c>
      <c r="E298" s="11" t="s">
        <v>33</v>
      </c>
    </row>
    <row r="299">
      <c r="B299" s="62" t="s">
        <v>2367</v>
      </c>
      <c r="C299" s="45" t="s">
        <v>16</v>
      </c>
      <c r="D299" s="62" t="s">
        <v>1996</v>
      </c>
      <c r="E299" s="11" t="s">
        <v>29</v>
      </c>
    </row>
    <row r="300">
      <c r="B300" s="62" t="s">
        <v>1993</v>
      </c>
      <c r="C300" s="45" t="s">
        <v>610</v>
      </c>
      <c r="D300" s="62" t="s">
        <v>2368</v>
      </c>
      <c r="E300" s="11" t="s">
        <v>33</v>
      </c>
    </row>
    <row r="301">
      <c r="B301" s="62" t="s">
        <v>1996</v>
      </c>
      <c r="C301" s="45" t="s">
        <v>2369</v>
      </c>
      <c r="D301" s="62" t="s">
        <v>2124</v>
      </c>
      <c r="E301" s="11" t="s">
        <v>29</v>
      </c>
    </row>
    <row r="302">
      <c r="B302" s="62" t="s">
        <v>2367</v>
      </c>
      <c r="C302" s="45" t="s">
        <v>620</v>
      </c>
      <c r="D302" s="62" t="s">
        <v>2368</v>
      </c>
      <c r="E302" s="11" t="s">
        <v>33</v>
      </c>
    </row>
    <row r="303">
      <c r="B303" s="62" t="s">
        <v>1993</v>
      </c>
      <c r="C303" s="45" t="s">
        <v>2370</v>
      </c>
      <c r="D303" s="62" t="s">
        <v>2124</v>
      </c>
      <c r="E303" s="11" t="s">
        <v>29</v>
      </c>
    </row>
    <row r="304">
      <c r="B304" s="62" t="s">
        <v>1996</v>
      </c>
      <c r="C304" s="45" t="s">
        <v>196</v>
      </c>
      <c r="D304" s="62" t="s">
        <v>2368</v>
      </c>
      <c r="E304" s="11" t="s">
        <v>33</v>
      </c>
    </row>
    <row r="305">
      <c r="B305" s="62" t="s">
        <v>2367</v>
      </c>
      <c r="C305" s="45" t="s">
        <v>665</v>
      </c>
      <c r="D305" s="62" t="s">
        <v>2124</v>
      </c>
      <c r="E305" s="11" t="s">
        <v>29</v>
      </c>
    </row>
    <row r="306">
      <c r="B306" s="62" t="s">
        <v>1996</v>
      </c>
      <c r="C306" s="45" t="s">
        <v>196</v>
      </c>
      <c r="D306" s="62" t="s">
        <v>1993</v>
      </c>
      <c r="E306" s="11" t="s">
        <v>33</v>
      </c>
    </row>
    <row r="307">
      <c r="B307" s="62" t="s">
        <v>2368</v>
      </c>
      <c r="C307" s="45" t="s">
        <v>545</v>
      </c>
      <c r="D307" s="62" t="s">
        <v>2124</v>
      </c>
      <c r="E307" s="11" t="s">
        <v>29</v>
      </c>
    </row>
    <row r="308">
      <c r="B308" s="62" t="s">
        <v>2367</v>
      </c>
      <c r="C308" s="45" t="s">
        <v>302</v>
      </c>
      <c r="D308" s="62" t="s">
        <v>1993</v>
      </c>
      <c r="E308" s="11" t="s">
        <v>33</v>
      </c>
    </row>
    <row r="309">
      <c r="B309" s="52" t="s">
        <v>2371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2372</v>
      </c>
      <c r="C311" s="45" t="s">
        <v>193</v>
      </c>
      <c r="D311" s="62" t="s">
        <v>2277</v>
      </c>
      <c r="E311" s="11" t="s">
        <v>29</v>
      </c>
    </row>
    <row r="312">
      <c r="B312" s="62" t="s">
        <v>2373</v>
      </c>
      <c r="C312" s="45" t="s">
        <v>178</v>
      </c>
      <c r="D312" s="62" t="s">
        <v>1824</v>
      </c>
      <c r="E312" s="11" t="s">
        <v>33</v>
      </c>
    </row>
    <row r="313">
      <c r="B313" s="62" t="s">
        <v>2374</v>
      </c>
      <c r="C313" s="45" t="s">
        <v>20</v>
      </c>
      <c r="D313" s="62" t="s">
        <v>2372</v>
      </c>
      <c r="E313" s="11" t="s">
        <v>29</v>
      </c>
    </row>
    <row r="314">
      <c r="B314" s="62" t="s">
        <v>2373</v>
      </c>
      <c r="C314" s="45" t="s">
        <v>11</v>
      </c>
      <c r="D314" s="62" t="s">
        <v>2277</v>
      </c>
      <c r="E314" s="11" t="s">
        <v>33</v>
      </c>
    </row>
    <row r="315">
      <c r="B315" s="62" t="s">
        <v>2374</v>
      </c>
      <c r="C315" s="45" t="s">
        <v>225</v>
      </c>
      <c r="D315" s="62" t="s">
        <v>1824</v>
      </c>
      <c r="E315" s="11" t="s">
        <v>29</v>
      </c>
    </row>
    <row r="316">
      <c r="B316" s="62" t="s">
        <v>2373</v>
      </c>
      <c r="C316" s="45" t="s">
        <v>250</v>
      </c>
      <c r="D316" s="62" t="s">
        <v>2372</v>
      </c>
      <c r="E316" s="11" t="s">
        <v>33</v>
      </c>
    </row>
    <row r="317">
      <c r="B317" s="62" t="s">
        <v>2374</v>
      </c>
      <c r="C317" s="45" t="s">
        <v>389</v>
      </c>
      <c r="D317" s="62" t="s">
        <v>2277</v>
      </c>
      <c r="E317" s="11" t="s">
        <v>29</v>
      </c>
    </row>
    <row r="318">
      <c r="B318" s="62" t="s">
        <v>1824</v>
      </c>
      <c r="C318" s="45" t="s">
        <v>219</v>
      </c>
      <c r="D318" s="62" t="s">
        <v>2372</v>
      </c>
      <c r="E318" s="11" t="s">
        <v>33</v>
      </c>
    </row>
    <row r="319">
      <c r="B319" s="62" t="s">
        <v>2374</v>
      </c>
      <c r="C319" s="45" t="s">
        <v>953</v>
      </c>
      <c r="D319" s="62" t="s">
        <v>2373</v>
      </c>
      <c r="E319" s="11" t="s">
        <v>29</v>
      </c>
    </row>
    <row r="320">
      <c r="B320" s="62" t="s">
        <v>1824</v>
      </c>
      <c r="C320" s="45" t="s">
        <v>1049</v>
      </c>
      <c r="D320" s="62" t="s">
        <v>2277</v>
      </c>
      <c r="E320" s="11" t="s">
        <v>33</v>
      </c>
    </row>
    <row r="321">
      <c r="B321" s="62" t="s">
        <v>2277</v>
      </c>
      <c r="C321" s="45" t="s">
        <v>248</v>
      </c>
      <c r="D321" s="62" t="s">
        <v>2372</v>
      </c>
      <c r="E321" s="11" t="s">
        <v>29</v>
      </c>
    </row>
    <row r="322">
      <c r="B322" s="62" t="s">
        <v>1824</v>
      </c>
      <c r="C322" s="45" t="s">
        <v>394</v>
      </c>
      <c r="D322" s="62" t="s">
        <v>2373</v>
      </c>
      <c r="E322" s="11" t="s">
        <v>33</v>
      </c>
    </row>
    <row r="323">
      <c r="B323" s="62" t="s">
        <v>2372</v>
      </c>
      <c r="C323" s="45" t="s">
        <v>14</v>
      </c>
      <c r="D323" s="62" t="s">
        <v>2374</v>
      </c>
      <c r="E323" s="11" t="s">
        <v>29</v>
      </c>
    </row>
    <row r="324">
      <c r="B324" s="62" t="s">
        <v>2277</v>
      </c>
      <c r="C324" s="45" t="s">
        <v>14</v>
      </c>
      <c r="D324" s="62" t="s">
        <v>2373</v>
      </c>
      <c r="E324" s="11" t="s">
        <v>33</v>
      </c>
    </row>
    <row r="325">
      <c r="B325" s="62" t="s">
        <v>1824</v>
      </c>
      <c r="C325" s="45" t="s">
        <v>279</v>
      </c>
      <c r="D325" s="62" t="s">
        <v>2374</v>
      </c>
      <c r="E325" s="11" t="s">
        <v>29</v>
      </c>
    </row>
    <row r="326">
      <c r="B326" s="62" t="s">
        <v>2372</v>
      </c>
      <c r="C326" s="45" t="s">
        <v>185</v>
      </c>
      <c r="D326" s="62" t="s">
        <v>2373</v>
      </c>
      <c r="E326" s="11" t="s">
        <v>33</v>
      </c>
    </row>
    <row r="327">
      <c r="B327" s="62" t="s">
        <v>2277</v>
      </c>
      <c r="C327" s="45" t="s">
        <v>18</v>
      </c>
      <c r="D327" s="62" t="s">
        <v>2374</v>
      </c>
      <c r="E327" s="11" t="s">
        <v>29</v>
      </c>
    </row>
    <row r="328">
      <c r="B328" s="62" t="s">
        <v>2372</v>
      </c>
      <c r="C328" s="45" t="s">
        <v>316</v>
      </c>
      <c r="D328" s="62" t="s">
        <v>1824</v>
      </c>
      <c r="E328" s="11" t="s">
        <v>33</v>
      </c>
    </row>
    <row r="329">
      <c r="B329" s="62" t="s">
        <v>2373</v>
      </c>
      <c r="C329" s="45" t="s">
        <v>744</v>
      </c>
      <c r="D329" s="62" t="s">
        <v>2374</v>
      </c>
      <c r="E329" s="11" t="s">
        <v>29</v>
      </c>
    </row>
    <row r="330">
      <c r="B330" s="62" t="s">
        <v>2277</v>
      </c>
      <c r="C330" s="45" t="s">
        <v>251</v>
      </c>
      <c r="D330" s="62" t="s">
        <v>1824</v>
      </c>
      <c r="E330" s="11" t="s">
        <v>33</v>
      </c>
    </row>
    <row r="331">
      <c r="B331" s="52" t="s">
        <v>2375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2376</v>
      </c>
      <c r="C333" s="45" t="s">
        <v>41</v>
      </c>
      <c r="D333" s="62" t="s">
        <v>2377</v>
      </c>
      <c r="E333" s="11" t="s">
        <v>9</v>
      </c>
    </row>
    <row r="334">
      <c r="B334" s="62" t="s">
        <v>2378</v>
      </c>
      <c r="C334" s="45" t="s">
        <v>2379</v>
      </c>
      <c r="D334" s="62" t="s">
        <v>2380</v>
      </c>
      <c r="E334" s="11" t="s">
        <v>13</v>
      </c>
    </row>
    <row r="335">
      <c r="B335" s="62" t="s">
        <v>2381</v>
      </c>
      <c r="C335" s="45" t="s">
        <v>344</v>
      </c>
      <c r="D335" s="62" t="s">
        <v>2376</v>
      </c>
      <c r="E335" s="11" t="s">
        <v>9</v>
      </c>
    </row>
    <row r="336">
      <c r="B336" s="62" t="s">
        <v>2378</v>
      </c>
      <c r="C336" s="45" t="s">
        <v>451</v>
      </c>
      <c r="D336" s="62" t="s">
        <v>2377</v>
      </c>
      <c r="E336" s="11" t="s">
        <v>13</v>
      </c>
    </row>
    <row r="337">
      <c r="B337" s="62" t="s">
        <v>2381</v>
      </c>
      <c r="C337" s="45" t="s">
        <v>218</v>
      </c>
      <c r="D337" s="62" t="s">
        <v>2380</v>
      </c>
      <c r="E337" s="11" t="s">
        <v>9</v>
      </c>
    </row>
    <row r="338">
      <c r="B338" s="62" t="s">
        <v>2378</v>
      </c>
      <c r="C338" s="45" t="s">
        <v>16</v>
      </c>
      <c r="D338" s="62" t="s">
        <v>2376</v>
      </c>
      <c r="E338" s="11" t="s">
        <v>13</v>
      </c>
    </row>
    <row r="339">
      <c r="B339" s="62" t="s">
        <v>2381</v>
      </c>
      <c r="C339" s="45" t="s">
        <v>27</v>
      </c>
      <c r="D339" s="62" t="s">
        <v>2377</v>
      </c>
      <c r="E339" s="11" t="s">
        <v>9</v>
      </c>
    </row>
    <row r="340">
      <c r="B340" s="62" t="s">
        <v>2380</v>
      </c>
      <c r="C340" s="45" t="s">
        <v>290</v>
      </c>
      <c r="D340" s="62" t="s">
        <v>2376</v>
      </c>
      <c r="E340" s="11" t="s">
        <v>13</v>
      </c>
    </row>
    <row r="341">
      <c r="B341" s="62" t="s">
        <v>2381</v>
      </c>
      <c r="C341" s="45" t="s">
        <v>231</v>
      </c>
      <c r="D341" s="62" t="s">
        <v>2378</v>
      </c>
      <c r="E341" s="11" t="s">
        <v>9</v>
      </c>
    </row>
    <row r="342">
      <c r="B342" s="62" t="s">
        <v>2380</v>
      </c>
      <c r="C342" s="45" t="s">
        <v>418</v>
      </c>
      <c r="D342" s="62" t="s">
        <v>2377</v>
      </c>
      <c r="E342" s="11" t="s">
        <v>13</v>
      </c>
    </row>
    <row r="343">
      <c r="B343" s="62" t="s">
        <v>2377</v>
      </c>
      <c r="C343" s="45" t="s">
        <v>225</v>
      </c>
      <c r="D343" s="62" t="s">
        <v>2376</v>
      </c>
      <c r="E343" s="11" t="s">
        <v>9</v>
      </c>
    </row>
    <row r="344">
      <c r="B344" s="62" t="s">
        <v>2380</v>
      </c>
      <c r="C344" s="45" t="s">
        <v>246</v>
      </c>
      <c r="D344" s="62" t="s">
        <v>2378</v>
      </c>
      <c r="E344" s="11" t="s">
        <v>13</v>
      </c>
    </row>
    <row r="345">
      <c r="B345" s="62" t="s">
        <v>2376</v>
      </c>
      <c r="C345" s="45" t="s">
        <v>210</v>
      </c>
      <c r="D345" s="62" t="s">
        <v>2381</v>
      </c>
      <c r="E345" s="11" t="s">
        <v>9</v>
      </c>
    </row>
    <row r="346">
      <c r="B346" s="62" t="s">
        <v>2377</v>
      </c>
      <c r="C346" s="45" t="s">
        <v>161</v>
      </c>
      <c r="D346" s="62" t="s">
        <v>2378</v>
      </c>
      <c r="E346" s="11" t="s">
        <v>13</v>
      </c>
    </row>
    <row r="347">
      <c r="B347" s="62" t="s">
        <v>2380</v>
      </c>
      <c r="C347" s="45" t="s">
        <v>162</v>
      </c>
      <c r="D347" s="62" t="s">
        <v>2381</v>
      </c>
      <c r="E347" s="11" t="s">
        <v>9</v>
      </c>
    </row>
    <row r="348">
      <c r="B348" s="62" t="s">
        <v>2376</v>
      </c>
      <c r="C348" s="45" t="s">
        <v>303</v>
      </c>
      <c r="D348" s="62" t="s">
        <v>2378</v>
      </c>
      <c r="E348" s="11" t="s">
        <v>13</v>
      </c>
      <c r="L348" s="50" t="s">
        <v>861</v>
      </c>
    </row>
    <row r="349">
      <c r="B349" s="62" t="s">
        <v>2377</v>
      </c>
      <c r="C349" s="45" t="s">
        <v>181</v>
      </c>
      <c r="D349" s="62" t="s">
        <v>2381</v>
      </c>
      <c r="E349" s="11" t="s">
        <v>9</v>
      </c>
    </row>
    <row r="350">
      <c r="B350" s="62" t="s">
        <v>2376</v>
      </c>
      <c r="C350" s="45" t="s">
        <v>181</v>
      </c>
      <c r="D350" s="62" t="s">
        <v>2380</v>
      </c>
      <c r="E350" s="11" t="s">
        <v>13</v>
      </c>
    </row>
    <row r="351">
      <c r="B351" s="62" t="s">
        <v>2378</v>
      </c>
      <c r="C351" s="45" t="s">
        <v>290</v>
      </c>
      <c r="D351" s="62" t="s">
        <v>2381</v>
      </c>
      <c r="E351" s="11" t="s">
        <v>9</v>
      </c>
    </row>
    <row r="352">
      <c r="B352" s="62" t="s">
        <v>2377</v>
      </c>
      <c r="C352" s="45" t="s">
        <v>233</v>
      </c>
      <c r="D352" s="62" t="s">
        <v>2380</v>
      </c>
      <c r="E352" s="11" t="s">
        <v>13</v>
      </c>
    </row>
    <row r="353">
      <c r="B353" s="52" t="s">
        <v>2382</v>
      </c>
      <c r="C353" s="2"/>
      <c r="D353" s="3"/>
      <c r="E353" s="53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2" t="s">
        <v>2383</v>
      </c>
      <c r="C355" s="45" t="s">
        <v>7</v>
      </c>
      <c r="D355" s="62" t="s">
        <v>603</v>
      </c>
      <c r="E355" s="11" t="s">
        <v>29</v>
      </c>
    </row>
    <row r="356">
      <c r="B356" s="62" t="s">
        <v>136</v>
      </c>
      <c r="C356" s="45" t="s">
        <v>158</v>
      </c>
      <c r="D356" s="62" t="s">
        <v>1960</v>
      </c>
      <c r="E356" s="11" t="s">
        <v>33</v>
      </c>
    </row>
    <row r="357">
      <c r="B357" s="62" t="s">
        <v>358</v>
      </c>
      <c r="C357" s="45" t="s">
        <v>251</v>
      </c>
      <c r="D357" s="62" t="s">
        <v>2383</v>
      </c>
      <c r="E357" s="11" t="s">
        <v>29</v>
      </c>
    </row>
    <row r="358">
      <c r="B358" s="62" t="s">
        <v>136</v>
      </c>
      <c r="C358" s="45" t="s">
        <v>17</v>
      </c>
      <c r="D358" s="62" t="s">
        <v>603</v>
      </c>
      <c r="E358" s="11" t="s">
        <v>33</v>
      </c>
    </row>
    <row r="359">
      <c r="B359" s="62" t="s">
        <v>358</v>
      </c>
      <c r="C359" s="45" t="s">
        <v>419</v>
      </c>
      <c r="D359" s="62" t="s">
        <v>1960</v>
      </c>
      <c r="E359" s="11" t="s">
        <v>29</v>
      </c>
    </row>
    <row r="360">
      <c r="B360" s="62" t="s">
        <v>136</v>
      </c>
      <c r="C360" s="45" t="s">
        <v>7</v>
      </c>
      <c r="D360" s="62" t="s">
        <v>2383</v>
      </c>
      <c r="E360" s="11" t="s">
        <v>33</v>
      </c>
    </row>
    <row r="361">
      <c r="B361" s="62" t="s">
        <v>358</v>
      </c>
      <c r="C361" s="45" t="s">
        <v>2384</v>
      </c>
      <c r="D361" s="62" t="s">
        <v>603</v>
      </c>
      <c r="E361" s="11" t="s">
        <v>29</v>
      </c>
    </row>
    <row r="362">
      <c r="B362" s="62" t="s">
        <v>1960</v>
      </c>
      <c r="C362" s="45" t="s">
        <v>162</v>
      </c>
      <c r="D362" s="62" t="s">
        <v>2383</v>
      </c>
      <c r="E362" s="11" t="s">
        <v>33</v>
      </c>
    </row>
    <row r="363">
      <c r="B363" s="62" t="s">
        <v>358</v>
      </c>
      <c r="C363" s="45" t="s">
        <v>155</v>
      </c>
      <c r="D363" s="62" t="s">
        <v>136</v>
      </c>
      <c r="E363" s="11" t="s">
        <v>29</v>
      </c>
    </row>
    <row r="364">
      <c r="B364" s="62" t="s">
        <v>1960</v>
      </c>
      <c r="C364" s="45" t="s">
        <v>193</v>
      </c>
      <c r="D364" s="62" t="s">
        <v>603</v>
      </c>
      <c r="E364" s="11" t="s">
        <v>33</v>
      </c>
    </row>
    <row r="365">
      <c r="B365" s="62" t="s">
        <v>603</v>
      </c>
      <c r="C365" s="45" t="s">
        <v>7</v>
      </c>
      <c r="D365" s="62" t="s">
        <v>2383</v>
      </c>
      <c r="E365" s="11" t="s">
        <v>29</v>
      </c>
    </row>
    <row r="366">
      <c r="B366" s="62" t="s">
        <v>1960</v>
      </c>
      <c r="C366" s="45" t="s">
        <v>155</v>
      </c>
      <c r="D366" s="62" t="s">
        <v>136</v>
      </c>
      <c r="E366" s="11" t="s">
        <v>33</v>
      </c>
    </row>
    <row r="367">
      <c r="B367" s="62" t="s">
        <v>2383</v>
      </c>
      <c r="C367" s="45" t="s">
        <v>291</v>
      </c>
      <c r="D367" s="62" t="s">
        <v>358</v>
      </c>
      <c r="E367" s="11" t="s">
        <v>29</v>
      </c>
    </row>
    <row r="368">
      <c r="B368" s="62" t="s">
        <v>603</v>
      </c>
      <c r="C368" s="45" t="s">
        <v>18</v>
      </c>
      <c r="D368" s="62" t="s">
        <v>136</v>
      </c>
      <c r="E368" s="11" t="s">
        <v>33</v>
      </c>
    </row>
    <row r="369">
      <c r="B369" s="62" t="s">
        <v>1960</v>
      </c>
      <c r="C369" s="45" t="s">
        <v>2385</v>
      </c>
      <c r="D369" s="62" t="s">
        <v>358</v>
      </c>
      <c r="E369" s="11" t="s">
        <v>29</v>
      </c>
    </row>
    <row r="370">
      <c r="B370" s="62" t="s">
        <v>2383</v>
      </c>
      <c r="C370" s="45" t="s">
        <v>20</v>
      </c>
      <c r="D370" s="62" t="s">
        <v>136</v>
      </c>
      <c r="E370" s="11" t="s">
        <v>33</v>
      </c>
    </row>
    <row r="371">
      <c r="B371" s="62" t="s">
        <v>603</v>
      </c>
      <c r="C371" s="45" t="s">
        <v>44</v>
      </c>
      <c r="D371" s="62" t="s">
        <v>358</v>
      </c>
      <c r="E371" s="11" t="s">
        <v>29</v>
      </c>
    </row>
    <row r="372">
      <c r="B372" s="62" t="s">
        <v>2383</v>
      </c>
      <c r="C372" s="45" t="s">
        <v>155</v>
      </c>
      <c r="D372" s="62" t="s">
        <v>1960</v>
      </c>
      <c r="E372" s="11" t="s">
        <v>33</v>
      </c>
    </row>
    <row r="373">
      <c r="B373" s="62" t="s">
        <v>136</v>
      </c>
      <c r="C373" s="45" t="s">
        <v>573</v>
      </c>
      <c r="D373" s="62" t="s">
        <v>358</v>
      </c>
      <c r="E373" s="11" t="s">
        <v>29</v>
      </c>
    </row>
    <row r="374">
      <c r="B374" s="62" t="s">
        <v>603</v>
      </c>
      <c r="C374" s="45" t="s">
        <v>225</v>
      </c>
      <c r="D374" s="62" t="s">
        <v>1960</v>
      </c>
      <c r="E374" s="11" t="s">
        <v>33</v>
      </c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2386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275</v>
      </c>
      <c r="C3" s="57" t="s">
        <v>7</v>
      </c>
      <c r="D3" s="62" t="s">
        <v>2387</v>
      </c>
      <c r="E3" s="11" t="s">
        <v>29</v>
      </c>
    </row>
    <row r="4">
      <c r="A4" s="90"/>
      <c r="B4" s="61" t="s">
        <v>2388</v>
      </c>
      <c r="C4" s="57" t="s">
        <v>16</v>
      </c>
      <c r="D4" s="61" t="s">
        <v>2389</v>
      </c>
      <c r="E4" s="11" t="s">
        <v>33</v>
      </c>
    </row>
    <row r="5">
      <c r="A5" s="90"/>
      <c r="B5" s="62" t="s">
        <v>2390</v>
      </c>
      <c r="C5" s="57" t="s">
        <v>41</v>
      </c>
      <c r="D5" s="61" t="s">
        <v>275</v>
      </c>
      <c r="E5" s="11" t="s">
        <v>29</v>
      </c>
    </row>
    <row r="6">
      <c r="A6" s="90"/>
      <c r="B6" s="61" t="s">
        <v>2388</v>
      </c>
      <c r="C6" s="57" t="s">
        <v>756</v>
      </c>
      <c r="D6" s="62" t="s">
        <v>2387</v>
      </c>
      <c r="E6" s="11" t="s">
        <v>33</v>
      </c>
    </row>
    <row r="7">
      <c r="A7" s="90"/>
      <c r="B7" s="62" t="s">
        <v>2390</v>
      </c>
      <c r="C7" s="57" t="s">
        <v>17</v>
      </c>
      <c r="D7" s="61" t="s">
        <v>2389</v>
      </c>
      <c r="E7" s="11" t="s">
        <v>29</v>
      </c>
    </row>
    <row r="8">
      <c r="A8" s="90"/>
      <c r="B8" s="61" t="s">
        <v>2388</v>
      </c>
      <c r="C8" s="57" t="s">
        <v>162</v>
      </c>
      <c r="D8" s="61" t="s">
        <v>275</v>
      </c>
      <c r="E8" s="11" t="s">
        <v>33</v>
      </c>
    </row>
    <row r="9">
      <c r="A9" s="90"/>
      <c r="B9" s="62" t="s">
        <v>2390</v>
      </c>
      <c r="C9" s="57" t="s">
        <v>164</v>
      </c>
      <c r="D9" s="62" t="s">
        <v>2387</v>
      </c>
      <c r="E9" s="11" t="s">
        <v>29</v>
      </c>
    </row>
    <row r="10">
      <c r="A10" s="90"/>
      <c r="B10" s="61" t="s">
        <v>2389</v>
      </c>
      <c r="C10" s="57" t="s">
        <v>165</v>
      </c>
      <c r="D10" s="61" t="s">
        <v>275</v>
      </c>
      <c r="E10" s="11" t="s">
        <v>33</v>
      </c>
      <c r="F10" s="98"/>
    </row>
    <row r="11">
      <c r="A11" s="90"/>
      <c r="B11" s="62" t="s">
        <v>2390</v>
      </c>
      <c r="C11" s="57" t="s">
        <v>1015</v>
      </c>
      <c r="D11" s="61" t="s">
        <v>2388</v>
      </c>
      <c r="E11" s="11" t="s">
        <v>29</v>
      </c>
    </row>
    <row r="12">
      <c r="A12" s="90"/>
      <c r="B12" s="61" t="s">
        <v>2389</v>
      </c>
      <c r="C12" s="57" t="s">
        <v>218</v>
      </c>
      <c r="D12" s="62" t="s">
        <v>2387</v>
      </c>
      <c r="E12" s="11" t="s">
        <v>33</v>
      </c>
    </row>
    <row r="13">
      <c r="A13" s="90"/>
      <c r="B13" s="62" t="s">
        <v>2387</v>
      </c>
      <c r="C13" s="57" t="s">
        <v>324</v>
      </c>
      <c r="D13" s="61" t="s">
        <v>275</v>
      </c>
      <c r="E13" s="11" t="s">
        <v>29</v>
      </c>
    </row>
    <row r="14">
      <c r="A14" s="90"/>
      <c r="B14" s="61" t="s">
        <v>2389</v>
      </c>
      <c r="C14" s="57" t="s">
        <v>198</v>
      </c>
      <c r="D14" s="61" t="s">
        <v>2388</v>
      </c>
      <c r="E14" s="11" t="s">
        <v>33</v>
      </c>
    </row>
    <row r="15">
      <c r="A15" s="90"/>
      <c r="B15" s="61" t="s">
        <v>275</v>
      </c>
      <c r="C15" s="45" t="s">
        <v>20</v>
      </c>
      <c r="D15" s="62" t="s">
        <v>2390</v>
      </c>
      <c r="E15" s="11" t="s">
        <v>29</v>
      </c>
    </row>
    <row r="16">
      <c r="A16" s="90"/>
      <c r="B16" s="62" t="s">
        <v>2387</v>
      </c>
      <c r="C16" s="45" t="s">
        <v>248</v>
      </c>
      <c r="D16" s="61" t="s">
        <v>2388</v>
      </c>
      <c r="E16" s="11" t="s">
        <v>33</v>
      </c>
    </row>
    <row r="17">
      <c r="A17" s="90"/>
      <c r="B17" s="61" t="s">
        <v>2389</v>
      </c>
      <c r="C17" s="45" t="s">
        <v>43</v>
      </c>
      <c r="D17" s="62" t="s">
        <v>2390</v>
      </c>
      <c r="E17" s="11" t="s">
        <v>29</v>
      </c>
    </row>
    <row r="18">
      <c r="A18" s="90"/>
      <c r="B18" s="61" t="s">
        <v>275</v>
      </c>
      <c r="C18" s="45" t="s">
        <v>301</v>
      </c>
      <c r="D18" s="61" t="s">
        <v>2388</v>
      </c>
      <c r="E18" s="11" t="s">
        <v>33</v>
      </c>
    </row>
    <row r="19">
      <c r="A19" s="90"/>
      <c r="B19" s="62" t="s">
        <v>2387</v>
      </c>
      <c r="C19" s="45" t="s">
        <v>233</v>
      </c>
      <c r="D19" s="62" t="s">
        <v>2390</v>
      </c>
      <c r="E19" s="11" t="s">
        <v>29</v>
      </c>
    </row>
    <row r="20">
      <c r="A20" s="90"/>
      <c r="B20" s="61" t="s">
        <v>275</v>
      </c>
      <c r="C20" s="45" t="s">
        <v>158</v>
      </c>
      <c r="D20" s="61" t="s">
        <v>2389</v>
      </c>
      <c r="E20" s="11" t="s">
        <v>33</v>
      </c>
    </row>
    <row r="21">
      <c r="A21" s="90"/>
      <c r="B21" s="61" t="s">
        <v>2388</v>
      </c>
      <c r="C21" s="45" t="s">
        <v>155</v>
      </c>
      <c r="D21" s="62" t="s">
        <v>2390</v>
      </c>
      <c r="E21" s="11" t="s">
        <v>29</v>
      </c>
    </row>
    <row r="22">
      <c r="A22" s="90"/>
      <c r="B22" s="62" t="s">
        <v>2387</v>
      </c>
      <c r="C22" s="45" t="s">
        <v>218</v>
      </c>
      <c r="D22" s="61" t="s">
        <v>2389</v>
      </c>
      <c r="E22" s="11" t="s">
        <v>33</v>
      </c>
    </row>
    <row r="23">
      <c r="A23" s="90"/>
      <c r="B23" s="1" t="s">
        <v>2391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2392</v>
      </c>
      <c r="C25" s="57" t="s">
        <v>158</v>
      </c>
      <c r="D25" s="62" t="s">
        <v>2393</v>
      </c>
      <c r="E25" s="11" t="s">
        <v>9</v>
      </c>
    </row>
    <row r="26">
      <c r="A26" s="90"/>
      <c r="B26" s="61" t="s">
        <v>2394</v>
      </c>
      <c r="C26" s="57" t="s">
        <v>250</v>
      </c>
      <c r="D26" s="61" t="s">
        <v>2395</v>
      </c>
      <c r="E26" s="11" t="s">
        <v>13</v>
      </c>
    </row>
    <row r="27">
      <c r="A27" s="90"/>
      <c r="B27" s="62" t="s">
        <v>796</v>
      </c>
      <c r="C27" s="57" t="s">
        <v>162</v>
      </c>
      <c r="D27" s="62" t="s">
        <v>2392</v>
      </c>
      <c r="E27" s="11" t="s">
        <v>9</v>
      </c>
    </row>
    <row r="28">
      <c r="A28" s="90"/>
      <c r="B28" s="61" t="s">
        <v>2394</v>
      </c>
      <c r="C28" s="57" t="s">
        <v>227</v>
      </c>
      <c r="D28" s="62" t="s">
        <v>2393</v>
      </c>
      <c r="E28" s="11" t="s">
        <v>13</v>
      </c>
    </row>
    <row r="29">
      <c r="A29" s="90"/>
      <c r="B29" s="62" t="s">
        <v>796</v>
      </c>
      <c r="C29" s="57" t="s">
        <v>344</v>
      </c>
      <c r="D29" s="61" t="s">
        <v>2395</v>
      </c>
      <c r="E29" s="11" t="s">
        <v>9</v>
      </c>
    </row>
    <row r="30">
      <c r="A30" s="90"/>
      <c r="B30" s="61" t="s">
        <v>2394</v>
      </c>
      <c r="C30" s="57" t="s">
        <v>18</v>
      </c>
      <c r="D30" s="62" t="s">
        <v>2392</v>
      </c>
      <c r="E30" s="11" t="s">
        <v>13</v>
      </c>
    </row>
    <row r="31">
      <c r="A31" s="90"/>
      <c r="B31" s="62" t="s">
        <v>796</v>
      </c>
      <c r="C31" s="57" t="s">
        <v>271</v>
      </c>
      <c r="D31" s="62" t="s">
        <v>2393</v>
      </c>
      <c r="E31" s="11" t="s">
        <v>9</v>
      </c>
    </row>
    <row r="32">
      <c r="A32" s="90"/>
      <c r="B32" s="61" t="s">
        <v>2395</v>
      </c>
      <c r="C32" s="57" t="s">
        <v>17</v>
      </c>
      <c r="D32" s="62" t="s">
        <v>2392</v>
      </c>
      <c r="E32" s="11" t="s">
        <v>13</v>
      </c>
    </row>
    <row r="33">
      <c r="A33" s="90"/>
      <c r="B33" s="62" t="s">
        <v>796</v>
      </c>
      <c r="C33" s="57" t="s">
        <v>517</v>
      </c>
      <c r="D33" s="61" t="s">
        <v>2394</v>
      </c>
      <c r="E33" s="11" t="s">
        <v>9</v>
      </c>
    </row>
    <row r="34">
      <c r="A34" s="90"/>
      <c r="B34" s="61" t="s">
        <v>2395</v>
      </c>
      <c r="C34" s="57" t="s">
        <v>301</v>
      </c>
      <c r="D34" s="62" t="s">
        <v>2393</v>
      </c>
      <c r="E34" s="11" t="s">
        <v>13</v>
      </c>
    </row>
    <row r="35">
      <c r="A35" s="90"/>
      <c r="B35" s="62" t="s">
        <v>2393</v>
      </c>
      <c r="C35" s="57" t="s">
        <v>184</v>
      </c>
      <c r="D35" s="62" t="s">
        <v>2392</v>
      </c>
      <c r="E35" s="11" t="s">
        <v>9</v>
      </c>
    </row>
    <row r="36">
      <c r="A36" s="90"/>
      <c r="B36" s="61" t="s">
        <v>2395</v>
      </c>
      <c r="C36" s="57" t="s">
        <v>251</v>
      </c>
      <c r="D36" s="61" t="s">
        <v>2394</v>
      </c>
      <c r="E36" s="11" t="s">
        <v>13</v>
      </c>
    </row>
    <row r="37">
      <c r="A37" s="90"/>
      <c r="B37" s="62" t="s">
        <v>2392</v>
      </c>
      <c r="C37" s="45" t="s">
        <v>38</v>
      </c>
      <c r="D37" s="62" t="s">
        <v>796</v>
      </c>
      <c r="E37" s="11" t="s">
        <v>9</v>
      </c>
    </row>
    <row r="38">
      <c r="A38" s="90"/>
      <c r="B38" s="62" t="s">
        <v>2393</v>
      </c>
      <c r="C38" s="45" t="s">
        <v>250</v>
      </c>
      <c r="D38" s="61" t="s">
        <v>2394</v>
      </c>
      <c r="E38" s="11" t="s">
        <v>13</v>
      </c>
    </row>
    <row r="39">
      <c r="A39" s="90"/>
      <c r="B39" s="61" t="s">
        <v>2395</v>
      </c>
      <c r="C39" s="45" t="s">
        <v>184</v>
      </c>
      <c r="D39" s="62" t="s">
        <v>796</v>
      </c>
      <c r="E39" s="11" t="s">
        <v>9</v>
      </c>
    </row>
    <row r="40">
      <c r="A40" s="90"/>
      <c r="B40" s="62" t="s">
        <v>2392</v>
      </c>
      <c r="C40" s="45" t="s">
        <v>292</v>
      </c>
      <c r="D40" s="61" t="s">
        <v>2394</v>
      </c>
      <c r="E40" s="11" t="s">
        <v>13</v>
      </c>
    </row>
    <row r="41">
      <c r="A41" s="90"/>
      <c r="B41" s="62" t="s">
        <v>2393</v>
      </c>
      <c r="C41" s="45" t="s">
        <v>2396</v>
      </c>
      <c r="D41" s="62" t="s">
        <v>796</v>
      </c>
      <c r="E41" s="11" t="s">
        <v>9</v>
      </c>
    </row>
    <row r="42">
      <c r="A42" s="90"/>
      <c r="B42" s="62" t="s">
        <v>2392</v>
      </c>
      <c r="C42" s="45" t="s">
        <v>301</v>
      </c>
      <c r="D42" s="61" t="s">
        <v>2395</v>
      </c>
      <c r="E42" s="11" t="s">
        <v>13</v>
      </c>
    </row>
    <row r="43">
      <c r="A43" s="90"/>
      <c r="B43" s="61" t="s">
        <v>2394</v>
      </c>
      <c r="C43" s="45" t="s">
        <v>208</v>
      </c>
      <c r="D43" s="62" t="s">
        <v>796</v>
      </c>
      <c r="E43" s="11" t="s">
        <v>9</v>
      </c>
    </row>
    <row r="44">
      <c r="A44" s="91"/>
      <c r="B44" s="62" t="s">
        <v>2393</v>
      </c>
      <c r="C44" s="45" t="s">
        <v>41</v>
      </c>
      <c r="D44" s="61" t="s">
        <v>2395</v>
      </c>
      <c r="E44" s="11" t="s">
        <v>13</v>
      </c>
    </row>
    <row r="45">
      <c r="B45" s="1" t="s">
        <v>2397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2398</v>
      </c>
      <c r="C47" s="57" t="s">
        <v>20</v>
      </c>
      <c r="D47" s="61" t="s">
        <v>2399</v>
      </c>
      <c r="E47" s="11" t="s">
        <v>29</v>
      </c>
    </row>
    <row r="48">
      <c r="B48" s="61" t="s">
        <v>2400</v>
      </c>
      <c r="C48" s="57" t="s">
        <v>352</v>
      </c>
      <c r="D48" s="61" t="s">
        <v>1682</v>
      </c>
      <c r="E48" s="11" t="s">
        <v>33</v>
      </c>
    </row>
    <row r="49">
      <c r="B49" s="61" t="s">
        <v>358</v>
      </c>
      <c r="C49" s="57" t="s">
        <v>225</v>
      </c>
      <c r="D49" s="61" t="s">
        <v>2398</v>
      </c>
      <c r="E49" s="11" t="s">
        <v>29</v>
      </c>
    </row>
    <row r="50">
      <c r="B50" s="61" t="s">
        <v>2400</v>
      </c>
      <c r="C50" s="57" t="s">
        <v>162</v>
      </c>
      <c r="D50" s="61" t="s">
        <v>2399</v>
      </c>
      <c r="E50" s="11" t="s">
        <v>33</v>
      </c>
    </row>
    <row r="51">
      <c r="B51" s="61" t="s">
        <v>358</v>
      </c>
      <c r="C51" s="57" t="s">
        <v>257</v>
      </c>
      <c r="D51" s="61" t="s">
        <v>1682</v>
      </c>
      <c r="E51" s="11" t="s">
        <v>29</v>
      </c>
    </row>
    <row r="52">
      <c r="B52" s="61" t="s">
        <v>2400</v>
      </c>
      <c r="C52" s="57" t="s">
        <v>18</v>
      </c>
      <c r="D52" s="61" t="s">
        <v>2398</v>
      </c>
      <c r="E52" s="11" t="s">
        <v>33</v>
      </c>
    </row>
    <row r="53">
      <c r="B53" s="61" t="s">
        <v>358</v>
      </c>
      <c r="C53" s="57" t="s">
        <v>7</v>
      </c>
      <c r="D53" s="61" t="s">
        <v>2399</v>
      </c>
      <c r="E53" s="11" t="s">
        <v>29</v>
      </c>
    </row>
    <row r="54">
      <c r="B54" s="61" t="s">
        <v>1682</v>
      </c>
      <c r="C54" s="57" t="s">
        <v>301</v>
      </c>
      <c r="D54" s="61" t="s">
        <v>2398</v>
      </c>
      <c r="E54" s="11" t="s">
        <v>33</v>
      </c>
    </row>
    <row r="55">
      <c r="B55" s="61" t="s">
        <v>358</v>
      </c>
      <c r="C55" s="57" t="s">
        <v>17</v>
      </c>
      <c r="D55" s="61" t="s">
        <v>2400</v>
      </c>
      <c r="E55" s="11" t="s">
        <v>29</v>
      </c>
    </row>
    <row r="56">
      <c r="B56" s="61" t="s">
        <v>1682</v>
      </c>
      <c r="C56" s="57" t="s">
        <v>220</v>
      </c>
      <c r="D56" s="61" t="s">
        <v>2399</v>
      </c>
      <c r="E56" s="11" t="s">
        <v>33</v>
      </c>
    </row>
    <row r="57">
      <c r="B57" s="61" t="s">
        <v>2399</v>
      </c>
      <c r="C57" s="57" t="s">
        <v>162</v>
      </c>
      <c r="D57" s="61" t="s">
        <v>2398</v>
      </c>
      <c r="E57" s="11" t="s">
        <v>29</v>
      </c>
    </row>
    <row r="58">
      <c r="B58" s="61" t="s">
        <v>1682</v>
      </c>
      <c r="C58" s="57" t="s">
        <v>155</v>
      </c>
      <c r="D58" s="61" t="s">
        <v>2400</v>
      </c>
      <c r="E58" s="11" t="s">
        <v>33</v>
      </c>
    </row>
    <row r="59">
      <c r="B59" s="61" t="s">
        <v>2398</v>
      </c>
      <c r="C59" s="45" t="s">
        <v>220</v>
      </c>
      <c r="D59" s="61" t="s">
        <v>358</v>
      </c>
      <c r="E59" s="11" t="s">
        <v>29</v>
      </c>
    </row>
    <row r="60">
      <c r="B60" s="61" t="s">
        <v>2399</v>
      </c>
      <c r="C60" s="45" t="s">
        <v>185</v>
      </c>
      <c r="D60" s="61" t="s">
        <v>2400</v>
      </c>
      <c r="E60" s="11" t="s">
        <v>33</v>
      </c>
    </row>
    <row r="61">
      <c r="B61" s="61" t="s">
        <v>1682</v>
      </c>
      <c r="C61" s="45" t="s">
        <v>250</v>
      </c>
      <c r="D61" s="61" t="s">
        <v>358</v>
      </c>
      <c r="E61" s="11" t="s">
        <v>29</v>
      </c>
    </row>
    <row r="62">
      <c r="B62" s="61" t="s">
        <v>2398</v>
      </c>
      <c r="C62" s="45" t="s">
        <v>155</v>
      </c>
      <c r="D62" s="61" t="s">
        <v>2400</v>
      </c>
      <c r="E62" s="11" t="s">
        <v>33</v>
      </c>
    </row>
    <row r="63">
      <c r="B63" s="61" t="s">
        <v>2399</v>
      </c>
      <c r="C63" s="45" t="s">
        <v>14</v>
      </c>
      <c r="D63" s="61" t="s">
        <v>358</v>
      </c>
      <c r="E63" s="11" t="s">
        <v>29</v>
      </c>
    </row>
    <row r="64">
      <c r="B64" s="61" t="s">
        <v>2398</v>
      </c>
      <c r="C64" s="45" t="s">
        <v>271</v>
      </c>
      <c r="D64" s="61" t="s">
        <v>1682</v>
      </c>
      <c r="E64" s="11" t="s">
        <v>33</v>
      </c>
    </row>
    <row r="65">
      <c r="B65" s="61" t="s">
        <v>2400</v>
      </c>
      <c r="C65" s="45" t="s">
        <v>219</v>
      </c>
      <c r="D65" s="61" t="s">
        <v>358</v>
      </c>
      <c r="E65" s="11" t="s">
        <v>29</v>
      </c>
    </row>
    <row r="66">
      <c r="B66" s="61" t="s">
        <v>2399</v>
      </c>
      <c r="C66" s="45" t="s">
        <v>327</v>
      </c>
      <c r="D66" s="61" t="s">
        <v>1682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2401</v>
      </c>
      <c r="C69" s="57" t="s">
        <v>155</v>
      </c>
      <c r="D69" s="61" t="s">
        <v>522</v>
      </c>
      <c r="E69" s="11" t="s">
        <v>9</v>
      </c>
    </row>
    <row r="70">
      <c r="B70" s="61" t="s">
        <v>1517</v>
      </c>
      <c r="C70" s="57" t="s">
        <v>911</v>
      </c>
      <c r="D70" s="61" t="s">
        <v>74</v>
      </c>
      <c r="E70" s="11" t="s">
        <v>13</v>
      </c>
    </row>
    <row r="71">
      <c r="B71" s="61" t="s">
        <v>2402</v>
      </c>
      <c r="C71" s="57" t="s">
        <v>218</v>
      </c>
      <c r="D71" s="61" t="s">
        <v>2401</v>
      </c>
      <c r="E71" s="11" t="s">
        <v>9</v>
      </c>
    </row>
    <row r="72">
      <c r="B72" s="61" t="s">
        <v>1517</v>
      </c>
      <c r="C72" s="57" t="s">
        <v>302</v>
      </c>
      <c r="D72" s="61" t="s">
        <v>522</v>
      </c>
      <c r="E72" s="11" t="s">
        <v>13</v>
      </c>
    </row>
    <row r="73">
      <c r="B73" s="61" t="s">
        <v>2402</v>
      </c>
      <c r="C73" s="57" t="s">
        <v>375</v>
      </c>
      <c r="D73" s="61" t="s">
        <v>74</v>
      </c>
      <c r="E73" s="11" t="s">
        <v>9</v>
      </c>
    </row>
    <row r="74">
      <c r="B74" s="61" t="s">
        <v>1517</v>
      </c>
      <c r="C74" s="57" t="s">
        <v>342</v>
      </c>
      <c r="D74" s="61" t="s">
        <v>2401</v>
      </c>
      <c r="E74" s="11" t="s">
        <v>13</v>
      </c>
    </row>
    <row r="75">
      <c r="B75" s="61" t="s">
        <v>2402</v>
      </c>
      <c r="C75" s="57" t="s">
        <v>2403</v>
      </c>
      <c r="D75" s="61" t="s">
        <v>522</v>
      </c>
      <c r="E75" s="11" t="s">
        <v>9</v>
      </c>
    </row>
    <row r="76">
      <c r="B76" s="61" t="s">
        <v>74</v>
      </c>
      <c r="C76" s="57" t="s">
        <v>2404</v>
      </c>
      <c r="D76" s="61" t="s">
        <v>2401</v>
      </c>
      <c r="E76" s="11" t="s">
        <v>13</v>
      </c>
    </row>
    <row r="77">
      <c r="B77" s="61" t="s">
        <v>2402</v>
      </c>
      <c r="C77" s="57" t="s">
        <v>1255</v>
      </c>
      <c r="D77" s="61" t="s">
        <v>1517</v>
      </c>
      <c r="E77" s="11" t="s">
        <v>9</v>
      </c>
    </row>
    <row r="78">
      <c r="B78" s="61" t="s">
        <v>74</v>
      </c>
      <c r="C78" s="57" t="s">
        <v>42</v>
      </c>
      <c r="D78" s="61" t="s">
        <v>522</v>
      </c>
      <c r="E78" s="11" t="s">
        <v>13</v>
      </c>
    </row>
    <row r="79">
      <c r="B79" s="61" t="s">
        <v>522</v>
      </c>
      <c r="C79" s="57" t="s">
        <v>14</v>
      </c>
      <c r="D79" s="61" t="s">
        <v>2401</v>
      </c>
      <c r="E79" s="11" t="s">
        <v>9</v>
      </c>
    </row>
    <row r="80">
      <c r="B80" s="61" t="s">
        <v>74</v>
      </c>
      <c r="C80" s="57" t="s">
        <v>24</v>
      </c>
      <c r="D80" s="61" t="s">
        <v>1517</v>
      </c>
      <c r="E80" s="11" t="s">
        <v>13</v>
      </c>
    </row>
    <row r="81">
      <c r="B81" s="61" t="s">
        <v>2401</v>
      </c>
      <c r="C81" s="45" t="s">
        <v>157</v>
      </c>
      <c r="D81" s="61" t="s">
        <v>2402</v>
      </c>
      <c r="E81" s="11" t="s">
        <v>9</v>
      </c>
    </row>
    <row r="82">
      <c r="B82" s="61" t="s">
        <v>522</v>
      </c>
      <c r="C82" s="45" t="s">
        <v>19</v>
      </c>
      <c r="D82" s="61" t="s">
        <v>1517</v>
      </c>
      <c r="E82" s="11" t="s">
        <v>13</v>
      </c>
    </row>
    <row r="83">
      <c r="B83" s="61" t="s">
        <v>74</v>
      </c>
      <c r="C83" s="45" t="s">
        <v>177</v>
      </c>
      <c r="D83" s="61" t="s">
        <v>2402</v>
      </c>
      <c r="E83" s="11" t="s">
        <v>9</v>
      </c>
    </row>
    <row r="84">
      <c r="B84" s="61" t="s">
        <v>2401</v>
      </c>
      <c r="C84" s="45" t="s">
        <v>998</v>
      </c>
      <c r="D84" s="61" t="s">
        <v>1517</v>
      </c>
      <c r="E84" s="11" t="s">
        <v>13</v>
      </c>
    </row>
    <row r="85">
      <c r="B85" s="61" t="s">
        <v>522</v>
      </c>
      <c r="C85" s="45" t="s">
        <v>18</v>
      </c>
      <c r="D85" s="61" t="s">
        <v>2402</v>
      </c>
      <c r="E85" s="11" t="s">
        <v>9</v>
      </c>
    </row>
    <row r="86">
      <c r="B86" s="61" t="s">
        <v>2401</v>
      </c>
      <c r="C86" s="45" t="s">
        <v>515</v>
      </c>
      <c r="D86" s="61" t="s">
        <v>74</v>
      </c>
      <c r="E86" s="11" t="s">
        <v>13</v>
      </c>
    </row>
    <row r="87">
      <c r="B87" s="61" t="s">
        <v>1517</v>
      </c>
      <c r="C87" s="45" t="s">
        <v>536</v>
      </c>
      <c r="D87" s="61" t="s">
        <v>2402</v>
      </c>
      <c r="E87" s="11" t="s">
        <v>9</v>
      </c>
    </row>
    <row r="88">
      <c r="B88" s="61" t="s">
        <v>522</v>
      </c>
      <c r="C88" s="45" t="s">
        <v>324</v>
      </c>
      <c r="D88" s="61" t="s">
        <v>74</v>
      </c>
      <c r="E88" s="11" t="s">
        <v>13</v>
      </c>
    </row>
    <row r="89">
      <c r="B89" s="1" t="s">
        <v>2260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235</v>
      </c>
      <c r="C91" s="45" t="s">
        <v>185</v>
      </c>
      <c r="D91" s="61" t="s">
        <v>2405</v>
      </c>
      <c r="E91" s="11" t="s">
        <v>9</v>
      </c>
    </row>
    <row r="92">
      <c r="B92" s="61" t="s">
        <v>2036</v>
      </c>
      <c r="C92" s="45" t="s">
        <v>185</v>
      </c>
      <c r="D92" s="61" t="s">
        <v>2406</v>
      </c>
      <c r="E92" s="11" t="s">
        <v>13</v>
      </c>
    </row>
    <row r="93">
      <c r="B93" s="61" t="s">
        <v>2340</v>
      </c>
      <c r="C93" s="45" t="s">
        <v>442</v>
      </c>
      <c r="D93" s="61" t="s">
        <v>235</v>
      </c>
      <c r="E93" s="11" t="s">
        <v>9</v>
      </c>
    </row>
    <row r="94">
      <c r="B94" s="61" t="s">
        <v>2036</v>
      </c>
      <c r="C94" s="45" t="s">
        <v>158</v>
      </c>
      <c r="D94" s="70" t="s">
        <v>2405</v>
      </c>
      <c r="E94" s="11" t="s">
        <v>13</v>
      </c>
    </row>
    <row r="95">
      <c r="B95" s="61" t="s">
        <v>2340</v>
      </c>
      <c r="C95" s="45" t="s">
        <v>155</v>
      </c>
      <c r="D95" s="61" t="s">
        <v>2406</v>
      </c>
      <c r="E95" s="11" t="s">
        <v>9</v>
      </c>
    </row>
    <row r="96">
      <c r="B96" s="61" t="s">
        <v>2036</v>
      </c>
      <c r="C96" s="45" t="s">
        <v>176</v>
      </c>
      <c r="D96" s="61" t="s">
        <v>235</v>
      </c>
      <c r="E96" s="11" t="s">
        <v>13</v>
      </c>
    </row>
    <row r="97">
      <c r="B97" s="61" t="s">
        <v>2340</v>
      </c>
      <c r="C97" s="45" t="s">
        <v>220</v>
      </c>
      <c r="D97" s="61" t="s">
        <v>2405</v>
      </c>
      <c r="E97" s="11" t="s">
        <v>9</v>
      </c>
    </row>
    <row r="98">
      <c r="B98" s="61" t="s">
        <v>2406</v>
      </c>
      <c r="C98" s="45" t="s">
        <v>209</v>
      </c>
      <c r="D98" s="61" t="s">
        <v>235</v>
      </c>
      <c r="E98" s="11" t="s">
        <v>13</v>
      </c>
    </row>
    <row r="99">
      <c r="B99" s="61" t="s">
        <v>2340</v>
      </c>
      <c r="C99" s="45" t="s">
        <v>1186</v>
      </c>
      <c r="D99" s="61" t="s">
        <v>2036</v>
      </c>
      <c r="E99" s="11" t="s">
        <v>9</v>
      </c>
    </row>
    <row r="100">
      <c r="B100" s="61" t="s">
        <v>2406</v>
      </c>
      <c r="C100" s="45" t="s">
        <v>279</v>
      </c>
      <c r="D100" s="61" t="s">
        <v>2405</v>
      </c>
      <c r="E100" s="11" t="s">
        <v>13</v>
      </c>
    </row>
    <row r="101">
      <c r="B101" s="61" t="s">
        <v>2405</v>
      </c>
      <c r="C101" s="45" t="s">
        <v>251</v>
      </c>
      <c r="D101" s="61" t="s">
        <v>235</v>
      </c>
      <c r="E101" s="11" t="s">
        <v>9</v>
      </c>
    </row>
    <row r="102">
      <c r="B102" s="61" t="s">
        <v>2406</v>
      </c>
      <c r="C102" s="45" t="s">
        <v>302</v>
      </c>
      <c r="D102" s="61" t="s">
        <v>2036</v>
      </c>
      <c r="E102" s="11" t="s">
        <v>13</v>
      </c>
    </row>
    <row r="103">
      <c r="B103" s="61" t="s">
        <v>235</v>
      </c>
      <c r="C103" s="45" t="s">
        <v>41</v>
      </c>
      <c r="D103" s="61" t="s">
        <v>2340</v>
      </c>
      <c r="E103" s="11" t="s">
        <v>9</v>
      </c>
    </row>
    <row r="104">
      <c r="B104" s="61" t="s">
        <v>2405</v>
      </c>
      <c r="C104" s="45" t="s">
        <v>155</v>
      </c>
      <c r="D104" s="61" t="s">
        <v>2036</v>
      </c>
      <c r="E104" s="11" t="s">
        <v>13</v>
      </c>
    </row>
    <row r="105">
      <c r="B105" s="61" t="s">
        <v>2406</v>
      </c>
      <c r="C105" s="45" t="s">
        <v>158</v>
      </c>
      <c r="D105" s="61" t="s">
        <v>2340</v>
      </c>
      <c r="E105" s="11" t="s">
        <v>9</v>
      </c>
    </row>
    <row r="106">
      <c r="B106" s="61" t="s">
        <v>235</v>
      </c>
      <c r="C106" s="45" t="s">
        <v>19</v>
      </c>
      <c r="D106" s="61" t="s">
        <v>2036</v>
      </c>
      <c r="E106" s="11" t="s">
        <v>13</v>
      </c>
    </row>
    <row r="107">
      <c r="B107" s="61" t="s">
        <v>2405</v>
      </c>
      <c r="C107" s="45" t="s">
        <v>1602</v>
      </c>
      <c r="D107" s="61" t="s">
        <v>2340</v>
      </c>
      <c r="E107" s="11" t="s">
        <v>9</v>
      </c>
    </row>
    <row r="108">
      <c r="B108" s="61" t="s">
        <v>235</v>
      </c>
      <c r="C108" s="45" t="s">
        <v>159</v>
      </c>
      <c r="D108" s="61" t="s">
        <v>2406</v>
      </c>
      <c r="E108" s="11" t="s">
        <v>13</v>
      </c>
    </row>
    <row r="109">
      <c r="B109" s="61" t="s">
        <v>2036</v>
      </c>
      <c r="C109" s="45" t="s">
        <v>454</v>
      </c>
      <c r="D109" s="61" t="s">
        <v>2340</v>
      </c>
      <c r="E109" s="11" t="s">
        <v>9</v>
      </c>
    </row>
    <row r="110">
      <c r="B110" s="61" t="s">
        <v>2405</v>
      </c>
      <c r="C110" s="45" t="s">
        <v>18</v>
      </c>
      <c r="D110" s="61" t="s">
        <v>2406</v>
      </c>
      <c r="E110" s="11" t="s">
        <v>13</v>
      </c>
    </row>
    <row r="111">
      <c r="B111" s="96" t="s">
        <v>2407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398</v>
      </c>
      <c r="C113" s="45" t="s">
        <v>237</v>
      </c>
      <c r="D113" s="61" t="s">
        <v>2332</v>
      </c>
      <c r="E113" s="11" t="s">
        <v>29</v>
      </c>
    </row>
    <row r="114">
      <c r="B114" s="61" t="s">
        <v>2408</v>
      </c>
      <c r="C114" s="45" t="s">
        <v>344</v>
      </c>
      <c r="D114" s="61" t="s">
        <v>2409</v>
      </c>
      <c r="E114" s="11" t="s">
        <v>33</v>
      </c>
    </row>
    <row r="115">
      <c r="B115" s="61" t="s">
        <v>1291</v>
      </c>
      <c r="C115" s="45" t="s">
        <v>44</v>
      </c>
      <c r="D115" s="61" t="s">
        <v>398</v>
      </c>
      <c r="E115" s="11" t="s">
        <v>29</v>
      </c>
    </row>
    <row r="116">
      <c r="B116" s="61" t="s">
        <v>2408</v>
      </c>
      <c r="C116" s="45" t="s">
        <v>2404</v>
      </c>
      <c r="D116" s="61" t="s">
        <v>2332</v>
      </c>
      <c r="E116" s="11" t="s">
        <v>33</v>
      </c>
    </row>
    <row r="117">
      <c r="B117" s="61" t="s">
        <v>1291</v>
      </c>
      <c r="C117" s="45" t="s">
        <v>227</v>
      </c>
      <c r="D117" s="61" t="s">
        <v>2409</v>
      </c>
      <c r="E117" s="11" t="s">
        <v>29</v>
      </c>
    </row>
    <row r="118">
      <c r="B118" s="61" t="s">
        <v>2408</v>
      </c>
      <c r="C118" s="45" t="s">
        <v>251</v>
      </c>
      <c r="D118" s="61" t="s">
        <v>398</v>
      </c>
      <c r="E118" s="11" t="s">
        <v>33</v>
      </c>
    </row>
    <row r="119">
      <c r="B119" s="61" t="s">
        <v>1291</v>
      </c>
      <c r="C119" s="45" t="s">
        <v>293</v>
      </c>
      <c r="D119" s="61" t="s">
        <v>2332</v>
      </c>
      <c r="E119" s="11" t="s">
        <v>29</v>
      </c>
    </row>
    <row r="120">
      <c r="B120" s="61" t="s">
        <v>2409</v>
      </c>
      <c r="C120" s="45" t="s">
        <v>14</v>
      </c>
      <c r="D120" s="61" t="s">
        <v>398</v>
      </c>
      <c r="E120" s="11" t="s">
        <v>33</v>
      </c>
    </row>
    <row r="121">
      <c r="B121" s="61" t="s">
        <v>1291</v>
      </c>
      <c r="C121" s="45" t="s">
        <v>16</v>
      </c>
      <c r="D121" s="61" t="s">
        <v>2408</v>
      </c>
      <c r="E121" s="11" t="s">
        <v>29</v>
      </c>
    </row>
    <row r="122">
      <c r="B122" s="61" t="s">
        <v>2409</v>
      </c>
      <c r="C122" s="45" t="s">
        <v>163</v>
      </c>
      <c r="D122" s="61" t="s">
        <v>2332</v>
      </c>
      <c r="E122" s="11" t="s">
        <v>33</v>
      </c>
    </row>
    <row r="123">
      <c r="B123" s="61" t="s">
        <v>2332</v>
      </c>
      <c r="C123" s="45" t="s">
        <v>383</v>
      </c>
      <c r="D123" s="61" t="s">
        <v>398</v>
      </c>
      <c r="E123" s="11" t="s">
        <v>29</v>
      </c>
    </row>
    <row r="124">
      <c r="B124" s="61" t="s">
        <v>2409</v>
      </c>
      <c r="C124" s="45" t="s">
        <v>394</v>
      </c>
      <c r="D124" s="61" t="s">
        <v>2408</v>
      </c>
      <c r="E124" s="11" t="s">
        <v>33</v>
      </c>
    </row>
    <row r="125">
      <c r="B125" s="61" t="s">
        <v>398</v>
      </c>
      <c r="C125" s="45" t="s">
        <v>16</v>
      </c>
      <c r="D125" s="61" t="s">
        <v>1291</v>
      </c>
      <c r="E125" s="11" t="s">
        <v>29</v>
      </c>
    </row>
    <row r="126">
      <c r="B126" s="61" t="s">
        <v>2332</v>
      </c>
      <c r="C126" s="45" t="s">
        <v>165</v>
      </c>
      <c r="D126" s="61" t="s">
        <v>2408</v>
      </c>
      <c r="E126" s="11" t="s">
        <v>33</v>
      </c>
    </row>
    <row r="127">
      <c r="B127" s="61" t="s">
        <v>2409</v>
      </c>
      <c r="C127" s="45" t="s">
        <v>220</v>
      </c>
      <c r="D127" s="61" t="s">
        <v>1291</v>
      </c>
      <c r="E127" s="11" t="s">
        <v>29</v>
      </c>
    </row>
    <row r="128">
      <c r="B128" s="61" t="s">
        <v>398</v>
      </c>
      <c r="C128" s="45" t="s">
        <v>301</v>
      </c>
      <c r="D128" s="61" t="s">
        <v>2408</v>
      </c>
      <c r="E128" s="11" t="s">
        <v>33</v>
      </c>
    </row>
    <row r="129">
      <c r="B129" s="61" t="s">
        <v>2332</v>
      </c>
      <c r="C129" s="45" t="s">
        <v>425</v>
      </c>
      <c r="D129" s="61" t="s">
        <v>1291</v>
      </c>
      <c r="E129" s="11" t="s">
        <v>29</v>
      </c>
    </row>
    <row r="130">
      <c r="B130" s="61" t="s">
        <v>398</v>
      </c>
      <c r="C130" s="45" t="s">
        <v>271</v>
      </c>
      <c r="D130" s="61" t="s">
        <v>2409</v>
      </c>
      <c r="E130" s="11" t="s">
        <v>33</v>
      </c>
    </row>
    <row r="131">
      <c r="B131" s="61" t="s">
        <v>2408</v>
      </c>
      <c r="C131" s="45" t="s">
        <v>14</v>
      </c>
      <c r="D131" s="61" t="s">
        <v>1291</v>
      </c>
      <c r="E131" s="11" t="s">
        <v>29</v>
      </c>
    </row>
    <row r="132">
      <c r="B132" s="61" t="s">
        <v>2332</v>
      </c>
      <c r="C132" s="45" t="s">
        <v>278</v>
      </c>
      <c r="D132" s="61" t="s">
        <v>2409</v>
      </c>
      <c r="E132" s="11" t="s">
        <v>33</v>
      </c>
    </row>
    <row r="133">
      <c r="B133" s="1" t="s">
        <v>2410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214</v>
      </c>
      <c r="C135" s="57" t="s">
        <v>181</v>
      </c>
      <c r="D135" s="61" t="s">
        <v>2273</v>
      </c>
      <c r="E135" s="11" t="s">
        <v>9</v>
      </c>
    </row>
    <row r="136">
      <c r="B136" s="61" t="s">
        <v>2274</v>
      </c>
      <c r="C136" s="57" t="s">
        <v>230</v>
      </c>
      <c r="D136" s="61" t="s">
        <v>384</v>
      </c>
      <c r="E136" s="11" t="s">
        <v>13</v>
      </c>
    </row>
    <row r="137">
      <c r="B137" s="61" t="s">
        <v>2411</v>
      </c>
      <c r="C137" s="57" t="s">
        <v>195</v>
      </c>
      <c r="D137" s="61" t="s">
        <v>214</v>
      </c>
      <c r="E137" s="11" t="s">
        <v>9</v>
      </c>
    </row>
    <row r="138">
      <c r="B138" s="61" t="s">
        <v>2274</v>
      </c>
      <c r="C138" s="57" t="s">
        <v>162</v>
      </c>
      <c r="D138" s="61" t="s">
        <v>2273</v>
      </c>
      <c r="E138" s="11" t="s">
        <v>13</v>
      </c>
    </row>
    <row r="139">
      <c r="B139" s="61" t="s">
        <v>2411</v>
      </c>
      <c r="C139" s="57" t="s">
        <v>301</v>
      </c>
      <c r="D139" s="61" t="s">
        <v>384</v>
      </c>
      <c r="E139" s="11" t="s">
        <v>9</v>
      </c>
    </row>
    <row r="140">
      <c r="B140" s="61" t="s">
        <v>2274</v>
      </c>
      <c r="C140" s="57" t="s">
        <v>638</v>
      </c>
      <c r="D140" s="61" t="s">
        <v>214</v>
      </c>
      <c r="E140" s="11" t="s">
        <v>13</v>
      </c>
    </row>
    <row r="141">
      <c r="B141" s="61" t="s">
        <v>2411</v>
      </c>
      <c r="C141" s="57" t="s">
        <v>157</v>
      </c>
      <c r="D141" s="61" t="s">
        <v>2273</v>
      </c>
      <c r="E141" s="11" t="s">
        <v>9</v>
      </c>
    </row>
    <row r="142">
      <c r="B142" s="61" t="s">
        <v>384</v>
      </c>
      <c r="C142" s="57" t="s">
        <v>18</v>
      </c>
      <c r="D142" s="61" t="s">
        <v>214</v>
      </c>
      <c r="E142" s="11" t="s">
        <v>13</v>
      </c>
    </row>
    <row r="143">
      <c r="B143" s="61" t="s">
        <v>2411</v>
      </c>
      <c r="C143" s="57" t="s">
        <v>278</v>
      </c>
      <c r="D143" s="61" t="s">
        <v>2274</v>
      </c>
      <c r="E143" s="11" t="s">
        <v>9</v>
      </c>
    </row>
    <row r="144">
      <c r="B144" s="61" t="s">
        <v>384</v>
      </c>
      <c r="C144" s="57" t="s">
        <v>219</v>
      </c>
      <c r="D144" s="61" t="s">
        <v>2273</v>
      </c>
      <c r="E144" s="11" t="s">
        <v>13</v>
      </c>
    </row>
    <row r="145">
      <c r="B145" s="61" t="s">
        <v>2273</v>
      </c>
      <c r="C145" s="57" t="s">
        <v>194</v>
      </c>
      <c r="D145" s="61" t="s">
        <v>214</v>
      </c>
      <c r="E145" s="11" t="s">
        <v>9</v>
      </c>
    </row>
    <row r="146">
      <c r="B146" s="61" t="s">
        <v>384</v>
      </c>
      <c r="C146" s="57" t="s">
        <v>209</v>
      </c>
      <c r="D146" s="61" t="s">
        <v>2274</v>
      </c>
      <c r="E146" s="11" t="s">
        <v>13</v>
      </c>
    </row>
    <row r="147">
      <c r="B147" s="61" t="s">
        <v>214</v>
      </c>
      <c r="C147" s="45" t="s">
        <v>163</v>
      </c>
      <c r="D147" s="61" t="s">
        <v>2411</v>
      </c>
      <c r="E147" s="11" t="s">
        <v>9</v>
      </c>
    </row>
    <row r="148">
      <c r="B148" s="61" t="s">
        <v>2273</v>
      </c>
      <c r="C148" s="45" t="s">
        <v>31</v>
      </c>
      <c r="D148" s="61" t="s">
        <v>2274</v>
      </c>
      <c r="E148" s="11" t="s">
        <v>13</v>
      </c>
    </row>
    <row r="149">
      <c r="B149" s="61" t="s">
        <v>384</v>
      </c>
      <c r="C149" s="45" t="s">
        <v>1866</v>
      </c>
      <c r="D149" s="61" t="s">
        <v>2411</v>
      </c>
      <c r="E149" s="11" t="s">
        <v>9</v>
      </c>
    </row>
    <row r="150">
      <c r="B150" s="61" t="s">
        <v>214</v>
      </c>
      <c r="C150" s="45" t="s">
        <v>225</v>
      </c>
      <c r="D150" s="61" t="s">
        <v>2274</v>
      </c>
      <c r="E150" s="11" t="s">
        <v>13</v>
      </c>
    </row>
    <row r="151">
      <c r="B151" s="61" t="s">
        <v>2273</v>
      </c>
      <c r="C151" s="45" t="s">
        <v>298</v>
      </c>
      <c r="D151" s="61" t="s">
        <v>2411</v>
      </c>
      <c r="E151" s="11" t="s">
        <v>9</v>
      </c>
    </row>
    <row r="152">
      <c r="B152" s="61" t="s">
        <v>214</v>
      </c>
      <c r="C152" s="45" t="s">
        <v>219</v>
      </c>
      <c r="D152" s="61" t="s">
        <v>384</v>
      </c>
      <c r="E152" s="11" t="s">
        <v>13</v>
      </c>
    </row>
    <row r="153">
      <c r="B153" s="61" t="s">
        <v>2274</v>
      </c>
      <c r="C153" s="45" t="s">
        <v>23</v>
      </c>
      <c r="D153" s="61" t="s">
        <v>2411</v>
      </c>
      <c r="E153" s="11" t="s">
        <v>9</v>
      </c>
    </row>
    <row r="154">
      <c r="B154" s="61" t="s">
        <v>2273</v>
      </c>
      <c r="C154" s="45" t="s">
        <v>24</v>
      </c>
      <c r="D154" s="61" t="s">
        <v>384</v>
      </c>
      <c r="E154" s="11" t="s">
        <v>13</v>
      </c>
    </row>
    <row r="155">
      <c r="B155" s="96" t="s">
        <v>2412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2040</v>
      </c>
      <c r="C157" s="45" t="s">
        <v>432</v>
      </c>
      <c r="D157" s="61" t="s">
        <v>438</v>
      </c>
      <c r="E157" s="11" t="s">
        <v>29</v>
      </c>
    </row>
    <row r="158">
      <c r="B158" s="61" t="s">
        <v>2413</v>
      </c>
      <c r="C158" s="45" t="s">
        <v>23</v>
      </c>
      <c r="D158" s="61" t="s">
        <v>2414</v>
      </c>
      <c r="E158" s="11" t="s">
        <v>33</v>
      </c>
    </row>
    <row r="159">
      <c r="B159" s="61" t="s">
        <v>551</v>
      </c>
      <c r="C159" s="45" t="s">
        <v>324</v>
      </c>
      <c r="D159" s="61" t="s">
        <v>2040</v>
      </c>
      <c r="E159" s="11" t="s">
        <v>29</v>
      </c>
    </row>
    <row r="160">
      <c r="B160" s="61" t="s">
        <v>2413</v>
      </c>
      <c r="C160" s="45" t="s">
        <v>354</v>
      </c>
      <c r="D160" s="61" t="s">
        <v>438</v>
      </c>
      <c r="E160" s="11" t="s">
        <v>33</v>
      </c>
    </row>
    <row r="161">
      <c r="B161" s="61" t="s">
        <v>551</v>
      </c>
      <c r="C161" s="45" t="s">
        <v>225</v>
      </c>
      <c r="D161" s="61" t="s">
        <v>2414</v>
      </c>
      <c r="E161" s="11" t="s">
        <v>29</v>
      </c>
    </row>
    <row r="162">
      <c r="B162" s="61" t="s">
        <v>2413</v>
      </c>
      <c r="C162" s="45" t="s">
        <v>184</v>
      </c>
      <c r="D162" s="61" t="s">
        <v>2040</v>
      </c>
      <c r="E162" s="11" t="s">
        <v>33</v>
      </c>
    </row>
    <row r="163">
      <c r="B163" s="61" t="s">
        <v>551</v>
      </c>
      <c r="C163" s="45" t="s">
        <v>2415</v>
      </c>
      <c r="D163" s="61" t="s">
        <v>438</v>
      </c>
      <c r="E163" s="11" t="s">
        <v>29</v>
      </c>
    </row>
    <row r="164">
      <c r="B164" s="61" t="s">
        <v>2414</v>
      </c>
      <c r="C164" s="45" t="s">
        <v>22</v>
      </c>
      <c r="D164" s="61" t="s">
        <v>2040</v>
      </c>
      <c r="E164" s="11" t="s">
        <v>33</v>
      </c>
    </row>
    <row r="165">
      <c r="B165" s="61" t="s">
        <v>551</v>
      </c>
      <c r="C165" s="45" t="s">
        <v>594</v>
      </c>
      <c r="D165" s="61" t="s">
        <v>2413</v>
      </c>
      <c r="E165" s="11" t="s">
        <v>29</v>
      </c>
    </row>
    <row r="166">
      <c r="B166" s="61" t="s">
        <v>2414</v>
      </c>
      <c r="C166" s="45" t="s">
        <v>932</v>
      </c>
      <c r="D166" s="61" t="s">
        <v>438</v>
      </c>
      <c r="E166" s="11" t="s">
        <v>33</v>
      </c>
    </row>
    <row r="167">
      <c r="B167" s="61" t="s">
        <v>438</v>
      </c>
      <c r="C167" s="45" t="s">
        <v>18</v>
      </c>
      <c r="D167" s="61" t="s">
        <v>2040</v>
      </c>
      <c r="E167" s="11" t="s">
        <v>29</v>
      </c>
    </row>
    <row r="168">
      <c r="B168" s="61" t="s">
        <v>2414</v>
      </c>
      <c r="C168" s="45" t="s">
        <v>220</v>
      </c>
      <c r="D168" s="61" t="s">
        <v>2413</v>
      </c>
      <c r="E168" s="11" t="s">
        <v>33</v>
      </c>
    </row>
    <row r="169">
      <c r="B169" s="61" t="s">
        <v>2040</v>
      </c>
      <c r="C169" s="45" t="s">
        <v>338</v>
      </c>
      <c r="D169" s="61" t="s">
        <v>551</v>
      </c>
      <c r="E169" s="11" t="s">
        <v>29</v>
      </c>
    </row>
    <row r="170">
      <c r="B170" s="61" t="s">
        <v>438</v>
      </c>
      <c r="C170" s="45" t="s">
        <v>433</v>
      </c>
      <c r="D170" s="61" t="s">
        <v>2413</v>
      </c>
      <c r="E170" s="11" t="s">
        <v>33</v>
      </c>
    </row>
    <row r="171">
      <c r="B171" s="61" t="s">
        <v>2414</v>
      </c>
      <c r="C171" s="45" t="s">
        <v>14</v>
      </c>
      <c r="D171" s="61" t="s">
        <v>551</v>
      </c>
      <c r="E171" s="11" t="s">
        <v>29</v>
      </c>
    </row>
    <row r="172">
      <c r="B172" s="61" t="s">
        <v>2040</v>
      </c>
      <c r="C172" s="45" t="s">
        <v>155</v>
      </c>
      <c r="D172" s="61" t="s">
        <v>2413</v>
      </c>
      <c r="E172" s="11" t="s">
        <v>33</v>
      </c>
    </row>
    <row r="173">
      <c r="B173" s="61" t="s">
        <v>438</v>
      </c>
      <c r="C173" s="45" t="s">
        <v>186</v>
      </c>
      <c r="D173" s="61" t="s">
        <v>551</v>
      </c>
      <c r="E173" s="11" t="s">
        <v>29</v>
      </c>
    </row>
    <row r="174">
      <c r="B174" s="61" t="s">
        <v>2040</v>
      </c>
      <c r="C174" s="45" t="s">
        <v>915</v>
      </c>
      <c r="D174" s="61" t="s">
        <v>2414</v>
      </c>
      <c r="E174" s="11" t="s">
        <v>33</v>
      </c>
    </row>
    <row r="175">
      <c r="B175" s="61" t="s">
        <v>2413</v>
      </c>
      <c r="C175" s="45" t="s">
        <v>2416</v>
      </c>
      <c r="D175" s="61" t="s">
        <v>551</v>
      </c>
      <c r="E175" s="11" t="s">
        <v>29</v>
      </c>
    </row>
    <row r="176">
      <c r="B176" s="61" t="s">
        <v>438</v>
      </c>
      <c r="C176" s="45" t="s">
        <v>34</v>
      </c>
      <c r="D176" s="61" t="s">
        <v>2414</v>
      </c>
      <c r="E176" s="11" t="s">
        <v>33</v>
      </c>
    </row>
    <row r="177">
      <c r="B177" s="1" t="s">
        <v>2417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2418</v>
      </c>
      <c r="C179" s="57" t="s">
        <v>184</v>
      </c>
      <c r="D179" s="61" t="s">
        <v>2419</v>
      </c>
      <c r="E179" s="11" t="s">
        <v>9</v>
      </c>
    </row>
    <row r="180">
      <c r="B180" s="61" t="s">
        <v>2080</v>
      </c>
      <c r="C180" s="81" t="s">
        <v>668</v>
      </c>
      <c r="D180" s="61" t="s">
        <v>2420</v>
      </c>
      <c r="E180" s="15" t="s">
        <v>13</v>
      </c>
    </row>
    <row r="181">
      <c r="B181" s="61" t="s">
        <v>2421</v>
      </c>
      <c r="C181" s="57" t="s">
        <v>7</v>
      </c>
      <c r="D181" s="61" t="s">
        <v>2418</v>
      </c>
      <c r="E181" s="11" t="s">
        <v>9</v>
      </c>
    </row>
    <row r="182">
      <c r="B182" s="61" t="s">
        <v>2080</v>
      </c>
      <c r="C182" s="81" t="s">
        <v>668</v>
      </c>
      <c r="D182" s="61" t="s">
        <v>2419</v>
      </c>
      <c r="E182" s="15" t="s">
        <v>13</v>
      </c>
    </row>
    <row r="183">
      <c r="B183" s="61" t="s">
        <v>2421</v>
      </c>
      <c r="C183" s="57" t="s">
        <v>856</v>
      </c>
      <c r="D183" s="61" t="s">
        <v>2420</v>
      </c>
      <c r="E183" s="11" t="s">
        <v>9</v>
      </c>
    </row>
    <row r="184">
      <c r="B184" s="61" t="s">
        <v>2080</v>
      </c>
      <c r="C184" s="81" t="s">
        <v>668</v>
      </c>
      <c r="D184" s="61" t="s">
        <v>2418</v>
      </c>
      <c r="E184" s="15" t="s">
        <v>13</v>
      </c>
    </row>
    <row r="185">
      <c r="B185" s="61" t="s">
        <v>2421</v>
      </c>
      <c r="C185" s="57" t="s">
        <v>352</v>
      </c>
      <c r="D185" s="61" t="s">
        <v>2419</v>
      </c>
      <c r="E185" s="11" t="s">
        <v>9</v>
      </c>
    </row>
    <row r="186">
      <c r="B186" s="61" t="s">
        <v>2420</v>
      </c>
      <c r="C186" s="57" t="s">
        <v>1590</v>
      </c>
      <c r="D186" s="61" t="s">
        <v>2418</v>
      </c>
      <c r="E186" s="11" t="s">
        <v>13</v>
      </c>
    </row>
    <row r="187">
      <c r="B187" s="61" t="s">
        <v>2421</v>
      </c>
      <c r="C187" s="67" t="s">
        <v>668</v>
      </c>
      <c r="D187" s="61" t="s">
        <v>2080</v>
      </c>
      <c r="E187" s="15" t="s">
        <v>9</v>
      </c>
    </row>
    <row r="188">
      <c r="A188" s="99"/>
      <c r="B188" s="61" t="s">
        <v>2420</v>
      </c>
      <c r="C188" s="57" t="s">
        <v>18</v>
      </c>
      <c r="D188" s="61" t="s">
        <v>2419</v>
      </c>
      <c r="E188" s="11" t="s">
        <v>13</v>
      </c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</row>
    <row r="189">
      <c r="B189" s="61" t="s">
        <v>2419</v>
      </c>
      <c r="C189" s="57" t="s">
        <v>24</v>
      </c>
      <c r="D189" s="61" t="s">
        <v>2418</v>
      </c>
      <c r="E189" s="11" t="s">
        <v>9</v>
      </c>
    </row>
    <row r="190">
      <c r="B190" s="61" t="s">
        <v>2420</v>
      </c>
      <c r="C190" s="81" t="s">
        <v>668</v>
      </c>
      <c r="D190" s="61" t="s">
        <v>2080</v>
      </c>
      <c r="E190" s="15" t="s">
        <v>13</v>
      </c>
    </row>
    <row r="191">
      <c r="B191" s="61" t="s">
        <v>2418</v>
      </c>
      <c r="C191" s="45" t="s">
        <v>442</v>
      </c>
      <c r="D191" s="61" t="s">
        <v>2421</v>
      </c>
      <c r="E191" s="11" t="s">
        <v>9</v>
      </c>
    </row>
    <row r="192">
      <c r="B192" s="61" t="s">
        <v>2419</v>
      </c>
      <c r="C192" s="67" t="s">
        <v>668</v>
      </c>
      <c r="D192" s="61" t="s">
        <v>2080</v>
      </c>
      <c r="E192" s="15" t="s">
        <v>13</v>
      </c>
    </row>
    <row r="193">
      <c r="B193" s="61" t="s">
        <v>2420</v>
      </c>
      <c r="C193" s="45" t="s">
        <v>229</v>
      </c>
      <c r="D193" s="61" t="s">
        <v>2421</v>
      </c>
      <c r="E193" s="11" t="s">
        <v>9</v>
      </c>
    </row>
    <row r="194">
      <c r="B194" s="61" t="s">
        <v>2418</v>
      </c>
      <c r="C194" s="81" t="s">
        <v>668</v>
      </c>
      <c r="D194" s="61" t="s">
        <v>2080</v>
      </c>
      <c r="E194" s="15" t="s">
        <v>13</v>
      </c>
    </row>
    <row r="195">
      <c r="B195" s="61" t="s">
        <v>2419</v>
      </c>
      <c r="C195" s="45" t="s">
        <v>256</v>
      </c>
      <c r="D195" s="61" t="s">
        <v>2421</v>
      </c>
      <c r="E195" s="11" t="s">
        <v>9</v>
      </c>
    </row>
    <row r="196">
      <c r="B196" s="61" t="s">
        <v>2418</v>
      </c>
      <c r="C196" s="45" t="s">
        <v>193</v>
      </c>
      <c r="D196" s="61" t="s">
        <v>2420</v>
      </c>
      <c r="E196" s="11" t="s">
        <v>13</v>
      </c>
    </row>
    <row r="197">
      <c r="B197" s="61" t="s">
        <v>2080</v>
      </c>
      <c r="C197" s="67" t="s">
        <v>668</v>
      </c>
      <c r="D197" s="61" t="s">
        <v>2421</v>
      </c>
      <c r="E197" s="15" t="s">
        <v>9</v>
      </c>
    </row>
    <row r="198">
      <c r="B198" s="61" t="s">
        <v>2419</v>
      </c>
      <c r="C198" s="45" t="s">
        <v>195</v>
      </c>
      <c r="D198" s="61" t="s">
        <v>2420</v>
      </c>
      <c r="E198" s="11" t="s">
        <v>13</v>
      </c>
    </row>
    <row r="199">
      <c r="B199" s="96" t="s">
        <v>2422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2423</v>
      </c>
      <c r="C201" s="45" t="s">
        <v>196</v>
      </c>
      <c r="D201" s="61" t="s">
        <v>2424</v>
      </c>
      <c r="E201" s="11" t="s">
        <v>29</v>
      </c>
    </row>
    <row r="202">
      <c r="B202" s="61" t="s">
        <v>2425</v>
      </c>
      <c r="C202" s="45" t="s">
        <v>1085</v>
      </c>
      <c r="D202" s="61" t="s">
        <v>1935</v>
      </c>
      <c r="E202" s="11" t="s">
        <v>33</v>
      </c>
    </row>
    <row r="203">
      <c r="B203" s="61" t="s">
        <v>692</v>
      </c>
      <c r="C203" s="45" t="s">
        <v>231</v>
      </c>
      <c r="D203" s="61" t="s">
        <v>2423</v>
      </c>
      <c r="E203" s="11" t="s">
        <v>29</v>
      </c>
    </row>
    <row r="204">
      <c r="B204" s="61" t="s">
        <v>2425</v>
      </c>
      <c r="C204" s="45" t="s">
        <v>352</v>
      </c>
      <c r="D204" s="61" t="s">
        <v>2424</v>
      </c>
      <c r="E204" s="11" t="s">
        <v>33</v>
      </c>
    </row>
    <row r="205">
      <c r="B205" s="61" t="s">
        <v>692</v>
      </c>
      <c r="C205" s="45" t="s">
        <v>790</v>
      </c>
      <c r="D205" s="61" t="s">
        <v>1935</v>
      </c>
      <c r="E205" s="11" t="s">
        <v>29</v>
      </c>
    </row>
    <row r="206">
      <c r="B206" s="61" t="s">
        <v>2425</v>
      </c>
      <c r="C206" s="45" t="s">
        <v>1227</v>
      </c>
      <c r="D206" s="61" t="s">
        <v>2423</v>
      </c>
      <c r="E206" s="11" t="s">
        <v>33</v>
      </c>
    </row>
    <row r="207">
      <c r="B207" s="61" t="s">
        <v>692</v>
      </c>
      <c r="C207" s="45" t="s">
        <v>319</v>
      </c>
      <c r="D207" s="61" t="s">
        <v>2424</v>
      </c>
      <c r="E207" s="11" t="s">
        <v>29</v>
      </c>
    </row>
    <row r="208">
      <c r="B208" s="61" t="s">
        <v>1935</v>
      </c>
      <c r="C208" s="45" t="s">
        <v>177</v>
      </c>
      <c r="D208" s="61" t="s">
        <v>2423</v>
      </c>
      <c r="E208" s="11" t="s">
        <v>33</v>
      </c>
    </row>
    <row r="209">
      <c r="B209" s="61" t="s">
        <v>692</v>
      </c>
      <c r="C209" s="45" t="s">
        <v>230</v>
      </c>
      <c r="D209" s="61" t="s">
        <v>2425</v>
      </c>
      <c r="E209" s="11" t="s">
        <v>29</v>
      </c>
    </row>
    <row r="210">
      <c r="B210" s="61" t="s">
        <v>1935</v>
      </c>
      <c r="C210" s="45" t="s">
        <v>177</v>
      </c>
      <c r="D210" s="61" t="s">
        <v>2424</v>
      </c>
      <c r="E210" s="11" t="s">
        <v>33</v>
      </c>
    </row>
    <row r="211">
      <c r="B211" s="61" t="s">
        <v>2424</v>
      </c>
      <c r="C211" s="45" t="s">
        <v>37</v>
      </c>
      <c r="D211" s="61" t="s">
        <v>2423</v>
      </c>
      <c r="E211" s="11" t="s">
        <v>29</v>
      </c>
    </row>
    <row r="212">
      <c r="B212" s="61" t="s">
        <v>1935</v>
      </c>
      <c r="C212" s="45" t="s">
        <v>245</v>
      </c>
      <c r="D212" s="61" t="s">
        <v>2425</v>
      </c>
      <c r="E212" s="11" t="s">
        <v>33</v>
      </c>
    </row>
    <row r="213">
      <c r="B213" s="61" t="s">
        <v>2423</v>
      </c>
      <c r="C213" s="45" t="s">
        <v>344</v>
      </c>
      <c r="D213" s="61" t="s">
        <v>692</v>
      </c>
      <c r="E213" s="11" t="s">
        <v>29</v>
      </c>
    </row>
    <row r="214">
      <c r="B214" s="61" t="s">
        <v>2424</v>
      </c>
      <c r="C214" s="45" t="s">
        <v>166</v>
      </c>
      <c r="D214" s="61" t="s">
        <v>2425</v>
      </c>
      <c r="E214" s="11" t="s">
        <v>33</v>
      </c>
    </row>
    <row r="215">
      <c r="B215" s="61" t="s">
        <v>1935</v>
      </c>
      <c r="C215" s="45" t="s">
        <v>18</v>
      </c>
      <c r="D215" s="61" t="s">
        <v>692</v>
      </c>
      <c r="E215" s="11" t="s">
        <v>29</v>
      </c>
    </row>
    <row r="216">
      <c r="B216" s="61" t="s">
        <v>2423</v>
      </c>
      <c r="C216" s="45" t="s">
        <v>2426</v>
      </c>
      <c r="D216" s="61" t="s">
        <v>2425</v>
      </c>
      <c r="E216" s="11" t="s">
        <v>33</v>
      </c>
    </row>
    <row r="217">
      <c r="B217" s="61" t="s">
        <v>2424</v>
      </c>
      <c r="C217" s="45" t="s">
        <v>2427</v>
      </c>
      <c r="D217" s="61" t="s">
        <v>692</v>
      </c>
      <c r="E217" s="11" t="s">
        <v>29</v>
      </c>
    </row>
    <row r="218">
      <c r="B218" s="61" t="s">
        <v>2423</v>
      </c>
      <c r="C218" s="45" t="s">
        <v>554</v>
      </c>
      <c r="D218" s="61" t="s">
        <v>1935</v>
      </c>
      <c r="E218" s="11" t="s">
        <v>33</v>
      </c>
    </row>
    <row r="219">
      <c r="B219" s="61" t="s">
        <v>2425</v>
      </c>
      <c r="C219" s="45" t="s">
        <v>14</v>
      </c>
      <c r="D219" s="61" t="s">
        <v>692</v>
      </c>
      <c r="E219" s="11" t="s">
        <v>29</v>
      </c>
    </row>
    <row r="220">
      <c r="B220" s="61" t="s">
        <v>2424</v>
      </c>
      <c r="C220" s="45" t="s">
        <v>185</v>
      </c>
      <c r="D220" s="61" t="s">
        <v>1935</v>
      </c>
      <c r="E220" s="11" t="s">
        <v>33</v>
      </c>
    </row>
    <row r="221">
      <c r="B221" s="52" t="s">
        <v>2428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1694</v>
      </c>
      <c r="C223" s="45" t="s">
        <v>198</v>
      </c>
      <c r="D223" s="62" t="s">
        <v>2277</v>
      </c>
      <c r="E223" s="11" t="s">
        <v>29</v>
      </c>
    </row>
    <row r="224">
      <c r="B224" s="62" t="s">
        <v>2429</v>
      </c>
      <c r="C224" s="45" t="s">
        <v>24</v>
      </c>
      <c r="D224" s="62" t="s">
        <v>2430</v>
      </c>
      <c r="E224" s="11" t="s">
        <v>33</v>
      </c>
    </row>
    <row r="225">
      <c r="B225" s="62" t="s">
        <v>2431</v>
      </c>
      <c r="C225" s="45" t="s">
        <v>290</v>
      </c>
      <c r="D225" s="62" t="s">
        <v>1694</v>
      </c>
      <c r="E225" s="60" t="str">
        <f>HYPERLINK("https://youtu.be/ChoZCkyrVEM?t=905","channel 3")</f>
        <v>channel 3</v>
      </c>
    </row>
    <row r="226">
      <c r="B226" s="62" t="s">
        <v>2429</v>
      </c>
      <c r="C226" s="45" t="s">
        <v>301</v>
      </c>
      <c r="D226" s="62" t="s">
        <v>2277</v>
      </c>
      <c r="E226" s="11" t="s">
        <v>33</v>
      </c>
    </row>
    <row r="227">
      <c r="B227" s="62" t="s">
        <v>2431</v>
      </c>
      <c r="C227" s="45" t="s">
        <v>194</v>
      </c>
      <c r="D227" s="62" t="s">
        <v>2430</v>
      </c>
      <c r="E227" s="11" t="s">
        <v>29</v>
      </c>
    </row>
    <row r="228">
      <c r="B228" s="62" t="s">
        <v>2429</v>
      </c>
      <c r="C228" s="45" t="s">
        <v>477</v>
      </c>
      <c r="D228" s="62" t="s">
        <v>1694</v>
      </c>
      <c r="E228" s="11" t="s">
        <v>33</v>
      </c>
    </row>
    <row r="229">
      <c r="B229" s="62" t="s">
        <v>2431</v>
      </c>
      <c r="C229" s="45" t="s">
        <v>440</v>
      </c>
      <c r="D229" s="62" t="s">
        <v>2277</v>
      </c>
      <c r="E229" s="11" t="s">
        <v>29</v>
      </c>
    </row>
    <row r="230">
      <c r="B230" s="62" t="s">
        <v>2430</v>
      </c>
      <c r="C230" s="45" t="s">
        <v>271</v>
      </c>
      <c r="D230" s="62" t="s">
        <v>1694</v>
      </c>
      <c r="E230" s="11" t="s">
        <v>33</v>
      </c>
    </row>
    <row r="231">
      <c r="B231" s="62" t="s">
        <v>2431</v>
      </c>
      <c r="C231" s="45" t="s">
        <v>165</v>
      </c>
      <c r="D231" s="62" t="s">
        <v>2429</v>
      </c>
      <c r="E231" s="11" t="s">
        <v>29</v>
      </c>
    </row>
    <row r="232">
      <c r="B232" s="62" t="s">
        <v>2430</v>
      </c>
      <c r="C232" s="45" t="s">
        <v>344</v>
      </c>
      <c r="D232" s="62" t="s">
        <v>2277</v>
      </c>
      <c r="E232" s="11" t="s">
        <v>33</v>
      </c>
    </row>
    <row r="233">
      <c r="B233" s="62" t="s">
        <v>2277</v>
      </c>
      <c r="C233" s="45" t="s">
        <v>19</v>
      </c>
      <c r="D233" s="62" t="s">
        <v>1694</v>
      </c>
      <c r="E233" s="11" t="s">
        <v>29</v>
      </c>
    </row>
    <row r="234">
      <c r="B234" s="62" t="s">
        <v>2430</v>
      </c>
      <c r="C234" s="45" t="s">
        <v>155</v>
      </c>
      <c r="D234" s="62" t="s">
        <v>2429</v>
      </c>
      <c r="E234" s="11" t="s">
        <v>33</v>
      </c>
    </row>
    <row r="235">
      <c r="B235" s="62" t="s">
        <v>1694</v>
      </c>
      <c r="C235" s="45" t="s">
        <v>18</v>
      </c>
      <c r="D235" s="62" t="s">
        <v>2431</v>
      </c>
      <c r="E235" s="11" t="s">
        <v>29</v>
      </c>
    </row>
    <row r="236">
      <c r="B236" s="62" t="s">
        <v>2277</v>
      </c>
      <c r="C236" s="45" t="s">
        <v>194</v>
      </c>
      <c r="D236" s="62" t="s">
        <v>2429</v>
      </c>
      <c r="E236" s="11" t="s">
        <v>33</v>
      </c>
    </row>
    <row r="237">
      <c r="B237" s="62" t="s">
        <v>2430</v>
      </c>
      <c r="C237" s="45" t="s">
        <v>18</v>
      </c>
      <c r="D237" s="62" t="s">
        <v>2431</v>
      </c>
      <c r="E237" s="11" t="s">
        <v>29</v>
      </c>
    </row>
    <row r="238">
      <c r="B238" s="62" t="s">
        <v>1694</v>
      </c>
      <c r="C238" s="45" t="s">
        <v>14</v>
      </c>
      <c r="D238" s="62" t="s">
        <v>2429</v>
      </c>
      <c r="E238" s="11" t="s">
        <v>33</v>
      </c>
    </row>
    <row r="239">
      <c r="B239" s="62" t="s">
        <v>2277</v>
      </c>
      <c r="C239" s="45" t="s">
        <v>194</v>
      </c>
      <c r="D239" s="62" t="s">
        <v>2431</v>
      </c>
      <c r="E239" s="11" t="s">
        <v>29</v>
      </c>
    </row>
    <row r="240">
      <c r="B240" s="62" t="s">
        <v>1694</v>
      </c>
      <c r="C240" s="45" t="s">
        <v>464</v>
      </c>
      <c r="D240" s="62" t="s">
        <v>2430</v>
      </c>
      <c r="E240" s="11" t="s">
        <v>33</v>
      </c>
    </row>
    <row r="241">
      <c r="B241" s="62" t="s">
        <v>2429</v>
      </c>
      <c r="C241" s="45" t="s">
        <v>171</v>
      </c>
      <c r="D241" s="62" t="s">
        <v>2431</v>
      </c>
      <c r="E241" s="11" t="s">
        <v>29</v>
      </c>
    </row>
    <row r="242">
      <c r="B242" s="62" t="s">
        <v>2277</v>
      </c>
      <c r="C242" s="45" t="s">
        <v>2432</v>
      </c>
      <c r="D242" s="62" t="s">
        <v>2430</v>
      </c>
      <c r="E242" s="11" t="s">
        <v>33</v>
      </c>
    </row>
    <row r="243">
      <c r="B243" s="52" t="s">
        <v>1560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2433</v>
      </c>
      <c r="C245" s="57" t="s">
        <v>344</v>
      </c>
      <c r="D245" s="62" t="s">
        <v>1293</v>
      </c>
      <c r="E245" s="11" t="s">
        <v>9</v>
      </c>
    </row>
    <row r="246">
      <c r="B246" s="62" t="s">
        <v>2434</v>
      </c>
      <c r="C246" s="81" t="s">
        <v>668</v>
      </c>
      <c r="D246" s="62" t="s">
        <v>1142</v>
      </c>
      <c r="E246" s="55" t="s">
        <v>13</v>
      </c>
    </row>
    <row r="247">
      <c r="B247" s="62" t="s">
        <v>2164</v>
      </c>
      <c r="C247" s="57" t="s">
        <v>155</v>
      </c>
      <c r="D247" s="62" t="s">
        <v>2433</v>
      </c>
      <c r="E247" s="11" t="s">
        <v>9</v>
      </c>
    </row>
    <row r="248">
      <c r="B248" s="62" t="s">
        <v>2434</v>
      </c>
      <c r="C248" s="81" t="s">
        <v>668</v>
      </c>
      <c r="D248" s="62" t="s">
        <v>1293</v>
      </c>
      <c r="E248" s="55" t="s">
        <v>13</v>
      </c>
    </row>
    <row r="249">
      <c r="B249" s="62" t="s">
        <v>2164</v>
      </c>
      <c r="C249" s="57" t="s">
        <v>208</v>
      </c>
      <c r="D249" s="62" t="s">
        <v>1142</v>
      </c>
      <c r="E249" s="11" t="s">
        <v>9</v>
      </c>
    </row>
    <row r="250">
      <c r="B250" s="62" t="s">
        <v>2434</v>
      </c>
      <c r="C250" s="81" t="s">
        <v>668</v>
      </c>
      <c r="D250" s="62" t="s">
        <v>2433</v>
      </c>
      <c r="E250" s="55" t="s">
        <v>13</v>
      </c>
    </row>
    <row r="251">
      <c r="B251" s="62" t="s">
        <v>2164</v>
      </c>
      <c r="C251" s="57" t="s">
        <v>16</v>
      </c>
      <c r="D251" s="62" t="s">
        <v>1293</v>
      </c>
      <c r="E251" s="11" t="s">
        <v>9</v>
      </c>
    </row>
    <row r="252">
      <c r="B252" s="62" t="s">
        <v>1142</v>
      </c>
      <c r="C252" s="57" t="s">
        <v>327</v>
      </c>
      <c r="D252" s="62" t="s">
        <v>2433</v>
      </c>
      <c r="E252" s="11" t="s">
        <v>13</v>
      </c>
    </row>
    <row r="253">
      <c r="B253" s="62" t="s">
        <v>2164</v>
      </c>
      <c r="C253" s="81" t="s">
        <v>668</v>
      </c>
      <c r="D253" s="62" t="s">
        <v>2434</v>
      </c>
      <c r="E253" s="55" t="s">
        <v>9</v>
      </c>
    </row>
    <row r="254">
      <c r="B254" s="62" t="s">
        <v>1142</v>
      </c>
      <c r="C254" s="57" t="s">
        <v>940</v>
      </c>
      <c r="D254" s="62" t="s">
        <v>1293</v>
      </c>
      <c r="E254" s="11" t="s">
        <v>13</v>
      </c>
    </row>
    <row r="255">
      <c r="B255" s="62" t="s">
        <v>1293</v>
      </c>
      <c r="C255" s="57" t="s">
        <v>196</v>
      </c>
      <c r="D255" s="62" t="s">
        <v>2433</v>
      </c>
      <c r="E255" s="11" t="s">
        <v>9</v>
      </c>
    </row>
    <row r="256">
      <c r="B256" s="62" t="s">
        <v>1142</v>
      </c>
      <c r="C256" s="81" t="s">
        <v>668</v>
      </c>
      <c r="D256" s="62" t="s">
        <v>2434</v>
      </c>
      <c r="E256" s="55" t="s">
        <v>13</v>
      </c>
    </row>
    <row r="257">
      <c r="B257" s="62" t="s">
        <v>2433</v>
      </c>
      <c r="C257" s="45" t="s">
        <v>354</v>
      </c>
      <c r="D257" s="62" t="s">
        <v>2164</v>
      </c>
      <c r="E257" s="11" t="s">
        <v>9</v>
      </c>
    </row>
    <row r="258">
      <c r="B258" s="62" t="s">
        <v>1293</v>
      </c>
      <c r="C258" s="81" t="s">
        <v>668</v>
      </c>
      <c r="D258" s="62" t="s">
        <v>2434</v>
      </c>
      <c r="E258" s="55" t="s">
        <v>13</v>
      </c>
    </row>
    <row r="259">
      <c r="B259" s="62" t="s">
        <v>1142</v>
      </c>
      <c r="C259" s="45" t="s">
        <v>23</v>
      </c>
      <c r="D259" s="62" t="s">
        <v>2164</v>
      </c>
      <c r="E259" s="11" t="s">
        <v>9</v>
      </c>
    </row>
    <row r="260">
      <c r="B260" s="62" t="s">
        <v>2433</v>
      </c>
      <c r="C260" s="81" t="s">
        <v>668</v>
      </c>
      <c r="D260" s="62" t="s">
        <v>2434</v>
      </c>
      <c r="E260" s="55" t="s">
        <v>13</v>
      </c>
    </row>
    <row r="261">
      <c r="B261" s="62" t="s">
        <v>1293</v>
      </c>
      <c r="C261" s="45" t="s">
        <v>198</v>
      </c>
      <c r="D261" s="62" t="s">
        <v>2164</v>
      </c>
      <c r="E261" s="11" t="s">
        <v>9</v>
      </c>
    </row>
    <row r="262">
      <c r="B262" s="62" t="s">
        <v>2433</v>
      </c>
      <c r="C262" s="45" t="s">
        <v>16</v>
      </c>
      <c r="D262" s="62" t="s">
        <v>1142</v>
      </c>
      <c r="E262" s="11" t="s">
        <v>13</v>
      </c>
    </row>
    <row r="263">
      <c r="B263" s="62" t="s">
        <v>2434</v>
      </c>
      <c r="C263" s="81" t="s">
        <v>668</v>
      </c>
      <c r="D263" s="62" t="s">
        <v>2164</v>
      </c>
      <c r="E263" s="55" t="s">
        <v>9</v>
      </c>
    </row>
    <row r="264">
      <c r="B264" s="62" t="s">
        <v>1293</v>
      </c>
      <c r="C264" s="45" t="s">
        <v>292</v>
      </c>
      <c r="D264" s="62" t="s">
        <v>1142</v>
      </c>
      <c r="E264" s="11" t="s">
        <v>13</v>
      </c>
    </row>
    <row r="265">
      <c r="B265" s="52" t="s">
        <v>2166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561</v>
      </c>
      <c r="C267" s="45" t="s">
        <v>41</v>
      </c>
      <c r="D267" s="62" t="s">
        <v>2435</v>
      </c>
      <c r="E267" s="11" t="s">
        <v>9</v>
      </c>
    </row>
    <row r="268">
      <c r="B268" s="62" t="s">
        <v>2318</v>
      </c>
      <c r="C268" s="45" t="s">
        <v>449</v>
      </c>
      <c r="D268" s="62" t="s">
        <v>2436</v>
      </c>
      <c r="E268" s="11" t="s">
        <v>13</v>
      </c>
    </row>
    <row r="269">
      <c r="B269" s="62" t="s">
        <v>2437</v>
      </c>
      <c r="C269" s="45" t="s">
        <v>20</v>
      </c>
      <c r="D269" s="62" t="s">
        <v>561</v>
      </c>
      <c r="E269" s="11" t="s">
        <v>9</v>
      </c>
    </row>
    <row r="270">
      <c r="B270" s="62" t="s">
        <v>2318</v>
      </c>
      <c r="C270" s="45" t="s">
        <v>19</v>
      </c>
      <c r="D270" s="62" t="s">
        <v>2435</v>
      </c>
      <c r="E270" s="11" t="s">
        <v>13</v>
      </c>
    </row>
    <row r="271">
      <c r="B271" s="62" t="s">
        <v>2437</v>
      </c>
      <c r="C271" s="45" t="s">
        <v>289</v>
      </c>
      <c r="D271" s="62" t="s">
        <v>2436</v>
      </c>
      <c r="E271" s="11" t="s">
        <v>9</v>
      </c>
    </row>
    <row r="272">
      <c r="B272" s="62" t="s">
        <v>2318</v>
      </c>
      <c r="C272" s="45" t="s">
        <v>547</v>
      </c>
      <c r="D272" s="62" t="s">
        <v>561</v>
      </c>
      <c r="E272" s="11" t="s">
        <v>13</v>
      </c>
    </row>
    <row r="273">
      <c r="B273" s="62" t="s">
        <v>2437</v>
      </c>
      <c r="C273" s="45" t="s">
        <v>14</v>
      </c>
      <c r="D273" s="62" t="s">
        <v>2435</v>
      </c>
      <c r="E273" s="11" t="s">
        <v>9</v>
      </c>
    </row>
    <row r="274">
      <c r="B274" s="62" t="s">
        <v>2436</v>
      </c>
      <c r="C274" s="45" t="s">
        <v>233</v>
      </c>
      <c r="D274" s="62" t="s">
        <v>561</v>
      </c>
      <c r="E274" s="11" t="s">
        <v>13</v>
      </c>
    </row>
    <row r="275">
      <c r="B275" s="62" t="s">
        <v>2437</v>
      </c>
      <c r="C275" s="45" t="s">
        <v>218</v>
      </c>
      <c r="D275" s="62" t="s">
        <v>2318</v>
      </c>
      <c r="E275" s="11" t="s">
        <v>9</v>
      </c>
    </row>
    <row r="276">
      <c r="B276" s="62" t="s">
        <v>2436</v>
      </c>
      <c r="C276" s="45" t="s">
        <v>159</v>
      </c>
      <c r="D276" s="62" t="s">
        <v>2435</v>
      </c>
      <c r="E276" s="11" t="s">
        <v>13</v>
      </c>
    </row>
    <row r="277">
      <c r="B277" s="62" t="s">
        <v>2435</v>
      </c>
      <c r="C277" s="45" t="s">
        <v>1049</v>
      </c>
      <c r="D277" s="62" t="s">
        <v>561</v>
      </c>
      <c r="E277" s="11" t="s">
        <v>9</v>
      </c>
    </row>
    <row r="278">
      <c r="B278" s="62" t="s">
        <v>2436</v>
      </c>
      <c r="C278" s="45" t="s">
        <v>316</v>
      </c>
      <c r="D278" s="62" t="s">
        <v>2318</v>
      </c>
      <c r="E278" s="11" t="s">
        <v>13</v>
      </c>
    </row>
    <row r="279">
      <c r="B279" s="62" t="s">
        <v>561</v>
      </c>
      <c r="C279" s="45" t="s">
        <v>292</v>
      </c>
      <c r="D279" s="62" t="s">
        <v>2437</v>
      </c>
      <c r="E279" s="11" t="s">
        <v>9</v>
      </c>
    </row>
    <row r="280">
      <c r="B280" s="62" t="s">
        <v>2435</v>
      </c>
      <c r="C280" s="45" t="s">
        <v>16</v>
      </c>
      <c r="D280" s="62" t="s">
        <v>2318</v>
      </c>
      <c r="E280" s="11" t="s">
        <v>13</v>
      </c>
    </row>
    <row r="281">
      <c r="B281" s="62" t="s">
        <v>2436</v>
      </c>
      <c r="C281" s="45" t="s">
        <v>193</v>
      </c>
      <c r="D281" s="62" t="s">
        <v>2437</v>
      </c>
      <c r="E281" s="11" t="s">
        <v>9</v>
      </c>
    </row>
    <row r="282">
      <c r="B282" s="62" t="s">
        <v>561</v>
      </c>
      <c r="C282" s="45" t="s">
        <v>195</v>
      </c>
      <c r="D282" s="62" t="s">
        <v>2318</v>
      </c>
      <c r="E282" s="11" t="s">
        <v>13</v>
      </c>
    </row>
    <row r="283">
      <c r="B283" s="62" t="s">
        <v>2435</v>
      </c>
      <c r="C283" s="45" t="s">
        <v>362</v>
      </c>
      <c r="D283" s="62" t="s">
        <v>2437</v>
      </c>
      <c r="E283" s="11" t="s">
        <v>9</v>
      </c>
    </row>
    <row r="284">
      <c r="B284" s="62" t="s">
        <v>561</v>
      </c>
      <c r="C284" s="45" t="s">
        <v>351</v>
      </c>
      <c r="D284" s="62" t="s">
        <v>2436</v>
      </c>
      <c r="E284" s="11" t="s">
        <v>13</v>
      </c>
    </row>
    <row r="285">
      <c r="B285" s="62" t="s">
        <v>2318</v>
      </c>
      <c r="C285" s="45" t="s">
        <v>257</v>
      </c>
      <c r="D285" s="62" t="s">
        <v>2437</v>
      </c>
      <c r="E285" s="11" t="s">
        <v>9</v>
      </c>
    </row>
    <row r="286">
      <c r="B286" s="62" t="s">
        <v>2435</v>
      </c>
      <c r="C286" s="45" t="s">
        <v>2438</v>
      </c>
      <c r="D286" s="62" t="s">
        <v>2436</v>
      </c>
      <c r="E286" s="11" t="s">
        <v>13</v>
      </c>
    </row>
    <row r="287">
      <c r="B287" s="52" t="s">
        <v>100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2439</v>
      </c>
      <c r="C289" s="45" t="s">
        <v>43</v>
      </c>
      <c r="D289" s="62" t="s">
        <v>2440</v>
      </c>
      <c r="E289" s="11" t="s">
        <v>29</v>
      </c>
    </row>
    <row r="290">
      <c r="B290" s="62" t="s">
        <v>2441</v>
      </c>
      <c r="C290" s="45" t="s">
        <v>250</v>
      </c>
      <c r="D290" s="62" t="s">
        <v>2442</v>
      </c>
      <c r="E290" s="11" t="s">
        <v>33</v>
      </c>
    </row>
    <row r="291">
      <c r="B291" s="62" t="s">
        <v>2443</v>
      </c>
      <c r="C291" s="45" t="s">
        <v>342</v>
      </c>
      <c r="D291" s="62" t="s">
        <v>2439</v>
      </c>
      <c r="E291" s="11" t="s">
        <v>29</v>
      </c>
      <c r="J291" s="50"/>
    </row>
    <row r="292">
      <c r="B292" s="62" t="s">
        <v>2441</v>
      </c>
      <c r="C292" s="45" t="s">
        <v>23</v>
      </c>
      <c r="D292" s="62" t="s">
        <v>2440</v>
      </c>
      <c r="E292" s="11" t="s">
        <v>33</v>
      </c>
    </row>
    <row r="293">
      <c r="B293" s="62" t="s">
        <v>2443</v>
      </c>
      <c r="C293" s="45" t="s">
        <v>594</v>
      </c>
      <c r="D293" s="62" t="s">
        <v>2442</v>
      </c>
      <c r="E293" s="11" t="s">
        <v>29</v>
      </c>
    </row>
    <row r="294">
      <c r="B294" s="62" t="s">
        <v>2441</v>
      </c>
      <c r="C294" s="45" t="s">
        <v>248</v>
      </c>
      <c r="D294" s="62" t="s">
        <v>2439</v>
      </c>
      <c r="E294" s="11" t="s">
        <v>33</v>
      </c>
    </row>
    <row r="295">
      <c r="B295" s="62" t="s">
        <v>2443</v>
      </c>
      <c r="C295" s="45" t="s">
        <v>2444</v>
      </c>
      <c r="D295" s="62" t="s">
        <v>2440</v>
      </c>
      <c r="E295" s="11" t="s">
        <v>29</v>
      </c>
    </row>
    <row r="296">
      <c r="B296" s="62" t="s">
        <v>2442</v>
      </c>
      <c r="C296" s="45" t="s">
        <v>23</v>
      </c>
      <c r="D296" s="62" t="s">
        <v>2439</v>
      </c>
      <c r="E296" s="11" t="s">
        <v>33</v>
      </c>
    </row>
    <row r="297">
      <c r="B297" s="62" t="s">
        <v>2443</v>
      </c>
      <c r="C297" s="45" t="s">
        <v>209</v>
      </c>
      <c r="D297" s="62" t="s">
        <v>2441</v>
      </c>
      <c r="E297" s="11" t="s">
        <v>29</v>
      </c>
    </row>
    <row r="298">
      <c r="B298" s="62" t="s">
        <v>2442</v>
      </c>
      <c r="C298" s="45" t="s">
        <v>18</v>
      </c>
      <c r="D298" s="62" t="s">
        <v>2440</v>
      </c>
      <c r="E298" s="11" t="s">
        <v>33</v>
      </c>
    </row>
    <row r="299">
      <c r="B299" s="62" t="s">
        <v>2440</v>
      </c>
      <c r="C299" s="45" t="s">
        <v>248</v>
      </c>
      <c r="D299" s="62" t="s">
        <v>2439</v>
      </c>
      <c r="E299" s="11" t="s">
        <v>29</v>
      </c>
    </row>
    <row r="300">
      <c r="B300" s="62" t="s">
        <v>2442</v>
      </c>
      <c r="C300" s="45" t="s">
        <v>250</v>
      </c>
      <c r="D300" s="62" t="s">
        <v>2441</v>
      </c>
      <c r="E300" s="11" t="s">
        <v>33</v>
      </c>
    </row>
    <row r="301">
      <c r="B301" s="62" t="s">
        <v>2439</v>
      </c>
      <c r="C301" s="45" t="s">
        <v>195</v>
      </c>
      <c r="D301" s="62" t="s">
        <v>2443</v>
      </c>
      <c r="E301" s="11" t="s">
        <v>29</v>
      </c>
    </row>
    <row r="302">
      <c r="B302" s="62" t="s">
        <v>2440</v>
      </c>
      <c r="C302" s="45" t="s">
        <v>21</v>
      </c>
      <c r="D302" s="62" t="s">
        <v>2441</v>
      </c>
      <c r="E302" s="11" t="s">
        <v>33</v>
      </c>
    </row>
    <row r="303">
      <c r="B303" s="62" t="s">
        <v>2442</v>
      </c>
      <c r="C303" s="45" t="s">
        <v>292</v>
      </c>
      <c r="D303" s="62" t="s">
        <v>2443</v>
      </c>
      <c r="E303" s="11" t="s">
        <v>29</v>
      </c>
      <c r="I303" s="50"/>
    </row>
    <row r="304">
      <c r="B304" s="62" t="s">
        <v>2439</v>
      </c>
      <c r="C304" s="45" t="s">
        <v>281</v>
      </c>
      <c r="D304" s="62" t="s">
        <v>2441</v>
      </c>
      <c r="E304" s="11" t="s">
        <v>33</v>
      </c>
    </row>
    <row r="305">
      <c r="B305" s="62" t="s">
        <v>2440</v>
      </c>
      <c r="C305" s="45" t="s">
        <v>18</v>
      </c>
      <c r="D305" s="62" t="s">
        <v>2443</v>
      </c>
      <c r="E305" s="11" t="s">
        <v>29</v>
      </c>
    </row>
    <row r="306">
      <c r="B306" s="62" t="s">
        <v>2439</v>
      </c>
      <c r="C306" s="45" t="s">
        <v>194</v>
      </c>
      <c r="D306" s="62" t="s">
        <v>2442</v>
      </c>
      <c r="E306" s="11" t="s">
        <v>33</v>
      </c>
    </row>
    <row r="307">
      <c r="B307" s="62" t="s">
        <v>2441</v>
      </c>
      <c r="C307" s="45" t="s">
        <v>425</v>
      </c>
      <c r="D307" s="62" t="s">
        <v>2443</v>
      </c>
      <c r="E307" s="11" t="s">
        <v>29</v>
      </c>
      <c r="J307" s="50"/>
    </row>
    <row r="308">
      <c r="B308" s="62" t="s">
        <v>2440</v>
      </c>
      <c r="C308" s="45" t="s">
        <v>41</v>
      </c>
      <c r="D308" s="62" t="s">
        <v>2442</v>
      </c>
      <c r="E308" s="11" t="s">
        <v>33</v>
      </c>
    </row>
    <row r="309">
      <c r="B309" s="52" t="s">
        <v>2371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2445</v>
      </c>
      <c r="C311" s="45" t="s">
        <v>18</v>
      </c>
      <c r="D311" s="62" t="s">
        <v>2446</v>
      </c>
      <c r="E311" s="11" t="s">
        <v>29</v>
      </c>
    </row>
    <row r="312">
      <c r="B312" s="62" t="s">
        <v>2447</v>
      </c>
      <c r="C312" s="45" t="s">
        <v>450</v>
      </c>
      <c r="D312" s="62" t="s">
        <v>2448</v>
      </c>
      <c r="E312" s="11" t="s">
        <v>33</v>
      </c>
    </row>
    <row r="313">
      <c r="B313" s="62" t="s">
        <v>2449</v>
      </c>
      <c r="C313" s="45" t="s">
        <v>362</v>
      </c>
      <c r="D313" s="62" t="s">
        <v>2445</v>
      </c>
      <c r="E313" s="11" t="s">
        <v>29</v>
      </c>
    </row>
    <row r="314">
      <c r="B314" s="62" t="s">
        <v>2447</v>
      </c>
      <c r="C314" s="45" t="s">
        <v>573</v>
      </c>
      <c r="D314" s="62" t="s">
        <v>2446</v>
      </c>
      <c r="E314" s="11" t="s">
        <v>33</v>
      </c>
    </row>
    <row r="315">
      <c r="B315" s="62" t="s">
        <v>2449</v>
      </c>
      <c r="C315" s="45" t="s">
        <v>524</v>
      </c>
      <c r="D315" s="62" t="s">
        <v>2448</v>
      </c>
      <c r="E315" s="11" t="s">
        <v>29</v>
      </c>
    </row>
    <row r="316">
      <c r="B316" s="62" t="s">
        <v>2447</v>
      </c>
      <c r="C316" s="45" t="s">
        <v>2450</v>
      </c>
      <c r="D316" s="62" t="s">
        <v>2445</v>
      </c>
      <c r="E316" s="11" t="s">
        <v>33</v>
      </c>
    </row>
    <row r="317">
      <c r="B317" s="62" t="s">
        <v>2449</v>
      </c>
      <c r="C317" s="45" t="s">
        <v>1255</v>
      </c>
      <c r="D317" s="62" t="s">
        <v>2446</v>
      </c>
      <c r="E317" s="11" t="s">
        <v>29</v>
      </c>
    </row>
    <row r="318">
      <c r="B318" s="62" t="s">
        <v>2448</v>
      </c>
      <c r="C318" s="45" t="s">
        <v>362</v>
      </c>
      <c r="D318" s="62" t="s">
        <v>2445</v>
      </c>
      <c r="E318" s="11" t="s">
        <v>33</v>
      </c>
    </row>
    <row r="319">
      <c r="B319" s="62" t="s">
        <v>2449</v>
      </c>
      <c r="C319" s="45" t="s">
        <v>825</v>
      </c>
      <c r="D319" s="62" t="s">
        <v>2447</v>
      </c>
      <c r="E319" s="11" t="s">
        <v>29</v>
      </c>
    </row>
    <row r="320">
      <c r="B320" s="62" t="s">
        <v>2448</v>
      </c>
      <c r="C320" s="45" t="s">
        <v>41</v>
      </c>
      <c r="D320" s="62" t="s">
        <v>2446</v>
      </c>
      <c r="E320" s="11" t="s">
        <v>33</v>
      </c>
    </row>
    <row r="321">
      <c r="B321" s="62" t="s">
        <v>2446</v>
      </c>
      <c r="C321" s="45" t="s">
        <v>554</v>
      </c>
      <c r="D321" s="62" t="s">
        <v>2445</v>
      </c>
      <c r="E321" s="11" t="s">
        <v>29</v>
      </c>
    </row>
    <row r="322">
      <c r="B322" s="62" t="s">
        <v>2448</v>
      </c>
      <c r="C322" s="45" t="s">
        <v>443</v>
      </c>
      <c r="D322" s="62" t="s">
        <v>2447</v>
      </c>
      <c r="E322" s="11" t="s">
        <v>33</v>
      </c>
    </row>
    <row r="323">
      <c r="B323" s="62" t="s">
        <v>2445</v>
      </c>
      <c r="C323" s="45" t="s">
        <v>2451</v>
      </c>
      <c r="D323" s="62" t="s">
        <v>2449</v>
      </c>
      <c r="E323" s="11" t="s">
        <v>29</v>
      </c>
    </row>
    <row r="324">
      <c r="B324" s="62" t="s">
        <v>2446</v>
      </c>
      <c r="C324" s="45" t="s">
        <v>18</v>
      </c>
      <c r="D324" s="62" t="s">
        <v>2447</v>
      </c>
      <c r="E324" s="11" t="s">
        <v>33</v>
      </c>
    </row>
    <row r="325">
      <c r="B325" s="62" t="s">
        <v>2448</v>
      </c>
      <c r="C325" s="45" t="s">
        <v>19</v>
      </c>
      <c r="D325" s="62" t="s">
        <v>2449</v>
      </c>
      <c r="E325" s="11" t="s">
        <v>29</v>
      </c>
    </row>
    <row r="326">
      <c r="B326" s="62" t="s">
        <v>2445</v>
      </c>
      <c r="C326" s="45" t="s">
        <v>177</v>
      </c>
      <c r="D326" s="62" t="s">
        <v>2447</v>
      </c>
      <c r="E326" s="11" t="s">
        <v>33</v>
      </c>
    </row>
    <row r="327">
      <c r="B327" s="62" t="s">
        <v>2446</v>
      </c>
      <c r="C327" s="45" t="s">
        <v>418</v>
      </c>
      <c r="D327" s="62" t="s">
        <v>2449</v>
      </c>
      <c r="E327" s="11" t="s">
        <v>29</v>
      </c>
    </row>
    <row r="328">
      <c r="B328" s="62" t="s">
        <v>2445</v>
      </c>
      <c r="C328" s="45" t="s">
        <v>19</v>
      </c>
      <c r="D328" s="62" t="s">
        <v>2448</v>
      </c>
      <c r="E328" s="11" t="s">
        <v>33</v>
      </c>
    </row>
    <row r="329">
      <c r="B329" s="62" t="s">
        <v>2447</v>
      </c>
      <c r="C329" s="45" t="s">
        <v>239</v>
      </c>
      <c r="D329" s="62" t="s">
        <v>2449</v>
      </c>
      <c r="E329" s="11" t="s">
        <v>29</v>
      </c>
    </row>
    <row r="330">
      <c r="B330" s="62" t="s">
        <v>2446</v>
      </c>
      <c r="C330" s="45" t="s">
        <v>1689</v>
      </c>
      <c r="D330" s="62" t="s">
        <v>2448</v>
      </c>
      <c r="E330" s="11" t="s">
        <v>33</v>
      </c>
    </row>
    <row r="331">
      <c r="B331" s="52" t="s">
        <v>2179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2452</v>
      </c>
      <c r="C333" s="45" t="s">
        <v>205</v>
      </c>
      <c r="D333" s="62" t="s">
        <v>2453</v>
      </c>
      <c r="E333" s="11" t="s">
        <v>9</v>
      </c>
    </row>
    <row r="334">
      <c r="B334" s="62" t="s">
        <v>2454</v>
      </c>
      <c r="C334" s="45" t="s">
        <v>219</v>
      </c>
      <c r="D334" s="62" t="s">
        <v>150</v>
      </c>
      <c r="E334" s="11" t="s">
        <v>13</v>
      </c>
    </row>
    <row r="335">
      <c r="B335" s="62" t="s">
        <v>2455</v>
      </c>
      <c r="C335" s="45" t="s">
        <v>525</v>
      </c>
      <c r="D335" s="62" t="s">
        <v>2452</v>
      </c>
      <c r="E335" s="11" t="s">
        <v>9</v>
      </c>
    </row>
    <row r="336">
      <c r="B336" s="62" t="s">
        <v>2454</v>
      </c>
      <c r="C336" s="45" t="s">
        <v>19</v>
      </c>
      <c r="D336" s="62" t="s">
        <v>2453</v>
      </c>
      <c r="E336" s="11" t="s">
        <v>13</v>
      </c>
    </row>
    <row r="337">
      <c r="B337" s="62" t="s">
        <v>2455</v>
      </c>
      <c r="C337" s="45" t="s">
        <v>186</v>
      </c>
      <c r="D337" s="62" t="s">
        <v>150</v>
      </c>
      <c r="E337" s="11" t="s">
        <v>9</v>
      </c>
    </row>
    <row r="338">
      <c r="B338" s="62" t="s">
        <v>2454</v>
      </c>
      <c r="C338" s="45" t="s">
        <v>376</v>
      </c>
      <c r="D338" s="62" t="s">
        <v>2452</v>
      </c>
      <c r="E338" s="11" t="s">
        <v>13</v>
      </c>
    </row>
    <row r="339">
      <c r="B339" s="62" t="s">
        <v>2455</v>
      </c>
      <c r="C339" s="45" t="s">
        <v>279</v>
      </c>
      <c r="D339" s="62" t="s">
        <v>2453</v>
      </c>
      <c r="E339" s="11" t="s">
        <v>9</v>
      </c>
    </row>
    <row r="340">
      <c r="B340" s="62" t="s">
        <v>150</v>
      </c>
      <c r="C340" s="45" t="s">
        <v>175</v>
      </c>
      <c r="D340" s="62" t="s">
        <v>2452</v>
      </c>
      <c r="E340" s="11" t="s">
        <v>13</v>
      </c>
    </row>
    <row r="341">
      <c r="B341" s="62" t="s">
        <v>2455</v>
      </c>
      <c r="C341" s="45" t="s">
        <v>173</v>
      </c>
      <c r="D341" s="62" t="s">
        <v>2454</v>
      </c>
      <c r="E341" s="11" t="s">
        <v>9</v>
      </c>
    </row>
    <row r="342">
      <c r="B342" s="62" t="s">
        <v>150</v>
      </c>
      <c r="C342" s="45" t="s">
        <v>17</v>
      </c>
      <c r="D342" s="62" t="s">
        <v>2453</v>
      </c>
      <c r="E342" s="11" t="s">
        <v>13</v>
      </c>
    </row>
    <row r="343">
      <c r="B343" s="62" t="s">
        <v>2453</v>
      </c>
      <c r="C343" s="45" t="s">
        <v>554</v>
      </c>
      <c r="D343" s="62" t="s">
        <v>2452</v>
      </c>
      <c r="E343" s="11" t="s">
        <v>9</v>
      </c>
    </row>
    <row r="344">
      <c r="B344" s="62" t="s">
        <v>150</v>
      </c>
      <c r="C344" s="45" t="s">
        <v>264</v>
      </c>
      <c r="D344" s="62" t="s">
        <v>2454</v>
      </c>
      <c r="E344" s="11" t="s">
        <v>13</v>
      </c>
    </row>
    <row r="345">
      <c r="B345" s="62" t="s">
        <v>2452</v>
      </c>
      <c r="C345" s="45" t="s">
        <v>159</v>
      </c>
      <c r="D345" s="62" t="s">
        <v>2455</v>
      </c>
      <c r="E345" s="11" t="s">
        <v>9</v>
      </c>
    </row>
    <row r="346">
      <c r="B346" s="62" t="s">
        <v>2453</v>
      </c>
      <c r="C346" s="45" t="s">
        <v>404</v>
      </c>
      <c r="D346" s="62" t="s">
        <v>2454</v>
      </c>
      <c r="E346" s="11" t="s">
        <v>13</v>
      </c>
    </row>
    <row r="347">
      <c r="B347" s="62" t="s">
        <v>150</v>
      </c>
      <c r="C347" s="45" t="s">
        <v>220</v>
      </c>
      <c r="D347" s="62" t="s">
        <v>2455</v>
      </c>
      <c r="E347" s="11" t="s">
        <v>9</v>
      </c>
    </row>
    <row r="348">
      <c r="B348" s="62" t="s">
        <v>2452</v>
      </c>
      <c r="C348" s="45" t="s">
        <v>209</v>
      </c>
      <c r="D348" s="62" t="s">
        <v>2454</v>
      </c>
      <c r="E348" s="11" t="s">
        <v>13</v>
      </c>
    </row>
    <row r="349">
      <c r="B349" s="62" t="s">
        <v>2453</v>
      </c>
      <c r="C349" s="45" t="s">
        <v>257</v>
      </c>
      <c r="D349" s="62" t="s">
        <v>2455</v>
      </c>
      <c r="E349" s="11" t="s">
        <v>9</v>
      </c>
    </row>
    <row r="350">
      <c r="B350" s="62" t="s">
        <v>2452</v>
      </c>
      <c r="C350" s="45" t="s">
        <v>757</v>
      </c>
      <c r="D350" s="62" t="s">
        <v>150</v>
      </c>
      <c r="E350" s="11" t="s">
        <v>13</v>
      </c>
    </row>
    <row r="351">
      <c r="B351" s="62" t="s">
        <v>2454</v>
      </c>
      <c r="C351" s="45" t="s">
        <v>166</v>
      </c>
      <c r="D351" s="62" t="s">
        <v>2455</v>
      </c>
      <c r="E351" s="11" t="s">
        <v>9</v>
      </c>
    </row>
    <row r="352">
      <c r="B352" s="62" t="s">
        <v>2453</v>
      </c>
      <c r="C352" s="45" t="s">
        <v>280</v>
      </c>
      <c r="D352" s="62" t="s">
        <v>150</v>
      </c>
      <c r="E352" s="11" t="s">
        <v>13</v>
      </c>
    </row>
    <row r="353">
      <c r="B353" s="52" t="s">
        <v>2382</v>
      </c>
      <c r="C353" s="2"/>
      <c r="D353" s="3"/>
      <c r="E353" s="53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2" t="s">
        <v>2456</v>
      </c>
      <c r="C355" s="45" t="s">
        <v>856</v>
      </c>
      <c r="D355" s="62" t="s">
        <v>2457</v>
      </c>
      <c r="E355" s="11" t="s">
        <v>29</v>
      </c>
    </row>
    <row r="356">
      <c r="B356" s="62" t="s">
        <v>2458</v>
      </c>
      <c r="C356" s="45" t="s">
        <v>210</v>
      </c>
      <c r="D356" s="62" t="s">
        <v>2459</v>
      </c>
      <c r="E356" s="11" t="s">
        <v>33</v>
      </c>
    </row>
    <row r="357">
      <c r="B357" s="62" t="s">
        <v>2460</v>
      </c>
      <c r="C357" s="45" t="s">
        <v>7</v>
      </c>
      <c r="D357" s="62" t="s">
        <v>2456</v>
      </c>
      <c r="E357" s="11" t="s">
        <v>29</v>
      </c>
    </row>
    <row r="358">
      <c r="B358" s="62" t="s">
        <v>2458</v>
      </c>
      <c r="C358" s="45" t="s">
        <v>31</v>
      </c>
      <c r="D358" s="62" t="s">
        <v>2457</v>
      </c>
      <c r="E358" s="11" t="s">
        <v>33</v>
      </c>
    </row>
    <row r="359">
      <c r="B359" s="62" t="s">
        <v>2460</v>
      </c>
      <c r="C359" s="45" t="s">
        <v>227</v>
      </c>
      <c r="D359" s="62" t="s">
        <v>2459</v>
      </c>
      <c r="E359" s="11" t="s">
        <v>29</v>
      </c>
    </row>
    <row r="360">
      <c r="B360" s="62" t="s">
        <v>2458</v>
      </c>
      <c r="C360" s="45" t="s">
        <v>344</v>
      </c>
      <c r="D360" s="62" t="s">
        <v>2456</v>
      </c>
      <c r="E360" s="11" t="s">
        <v>33</v>
      </c>
    </row>
    <row r="361">
      <c r="B361" s="62" t="s">
        <v>2460</v>
      </c>
      <c r="C361" s="45" t="s">
        <v>209</v>
      </c>
      <c r="D361" s="62" t="s">
        <v>2457</v>
      </c>
      <c r="E361" s="11" t="s">
        <v>29</v>
      </c>
    </row>
    <row r="362">
      <c r="B362" s="62" t="s">
        <v>2459</v>
      </c>
      <c r="C362" s="45" t="s">
        <v>38</v>
      </c>
      <c r="D362" s="62" t="s">
        <v>2456</v>
      </c>
      <c r="E362" s="11" t="s">
        <v>33</v>
      </c>
    </row>
    <row r="363">
      <c r="B363" s="62" t="s">
        <v>2460</v>
      </c>
      <c r="C363" s="45" t="s">
        <v>162</v>
      </c>
      <c r="D363" s="62" t="s">
        <v>2458</v>
      </c>
      <c r="E363" s="11" t="s">
        <v>29</v>
      </c>
    </row>
    <row r="364">
      <c r="B364" s="62" t="s">
        <v>2459</v>
      </c>
      <c r="C364" s="45" t="s">
        <v>41</v>
      </c>
      <c r="D364" s="62" t="s">
        <v>2457</v>
      </c>
      <c r="E364" s="11" t="s">
        <v>33</v>
      </c>
    </row>
    <row r="365">
      <c r="B365" s="62" t="s">
        <v>2457</v>
      </c>
      <c r="C365" s="45" t="s">
        <v>43</v>
      </c>
      <c r="D365" s="62" t="s">
        <v>2456</v>
      </c>
      <c r="E365" s="11" t="s">
        <v>29</v>
      </c>
    </row>
    <row r="366">
      <c r="B366" s="62" t="s">
        <v>2459</v>
      </c>
      <c r="C366" s="45" t="s">
        <v>525</v>
      </c>
      <c r="D366" s="62" t="s">
        <v>2458</v>
      </c>
      <c r="E366" s="11" t="s">
        <v>33</v>
      </c>
    </row>
    <row r="367">
      <c r="B367" s="62" t="s">
        <v>2456</v>
      </c>
      <c r="C367" s="45" t="s">
        <v>279</v>
      </c>
      <c r="D367" s="62" t="s">
        <v>2460</v>
      </c>
      <c r="E367" s="11" t="s">
        <v>29</v>
      </c>
    </row>
    <row r="368">
      <c r="B368" s="62" t="s">
        <v>2457</v>
      </c>
      <c r="C368" s="45" t="s">
        <v>162</v>
      </c>
      <c r="D368" s="62" t="s">
        <v>2458</v>
      </c>
      <c r="E368" s="11" t="s">
        <v>33</v>
      </c>
    </row>
    <row r="369">
      <c r="B369" s="62" t="s">
        <v>2459</v>
      </c>
      <c r="C369" s="45" t="s">
        <v>176</v>
      </c>
      <c r="D369" s="62" t="s">
        <v>2460</v>
      </c>
      <c r="E369" s="11" t="s">
        <v>29</v>
      </c>
    </row>
    <row r="370">
      <c r="B370" s="62" t="s">
        <v>2456</v>
      </c>
      <c r="C370" s="45" t="s">
        <v>17</v>
      </c>
      <c r="D370" s="62" t="s">
        <v>2458</v>
      </c>
      <c r="E370" s="11" t="s">
        <v>33</v>
      </c>
    </row>
    <row r="371">
      <c r="B371" s="62" t="s">
        <v>2457</v>
      </c>
      <c r="C371" s="45" t="s">
        <v>195</v>
      </c>
      <c r="D371" s="62" t="s">
        <v>2460</v>
      </c>
      <c r="E371" s="11" t="s">
        <v>29</v>
      </c>
    </row>
    <row r="372">
      <c r="B372" s="62" t="s">
        <v>2456</v>
      </c>
      <c r="C372" s="45" t="s">
        <v>327</v>
      </c>
      <c r="D372" s="62" t="s">
        <v>2459</v>
      </c>
      <c r="E372" s="11" t="s">
        <v>33</v>
      </c>
    </row>
    <row r="373">
      <c r="B373" s="62" t="s">
        <v>2458</v>
      </c>
      <c r="C373" s="45" t="s">
        <v>36</v>
      </c>
      <c r="D373" s="62" t="s">
        <v>2460</v>
      </c>
      <c r="E373" s="11" t="s">
        <v>29</v>
      </c>
    </row>
    <row r="374">
      <c r="B374" s="62" t="s">
        <v>2457</v>
      </c>
      <c r="C374" s="45" t="s">
        <v>20</v>
      </c>
      <c r="D374" s="62" t="s">
        <v>2459</v>
      </c>
      <c r="E374" s="11" t="s">
        <v>33</v>
      </c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 t="s">
        <v>514</v>
      </c>
      <c r="B1" s="1" t="s">
        <v>2386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1" t="s">
        <v>2221</v>
      </c>
      <c r="C3" s="57" t="s">
        <v>17</v>
      </c>
      <c r="D3" s="62" t="s">
        <v>2461</v>
      </c>
      <c r="E3" s="11" t="s">
        <v>29</v>
      </c>
    </row>
    <row r="4">
      <c r="A4" s="90"/>
      <c r="B4" s="61" t="s">
        <v>2462</v>
      </c>
      <c r="C4" s="57" t="s">
        <v>193</v>
      </c>
      <c r="D4" s="61" t="s">
        <v>2463</v>
      </c>
      <c r="E4" s="11" t="s">
        <v>33</v>
      </c>
    </row>
    <row r="5">
      <c r="A5" s="90"/>
      <c r="B5" s="62" t="s">
        <v>2464</v>
      </c>
      <c r="C5" s="57" t="s">
        <v>250</v>
      </c>
      <c r="D5" s="61" t="s">
        <v>2221</v>
      </c>
      <c r="E5" s="11" t="s">
        <v>29</v>
      </c>
    </row>
    <row r="6">
      <c r="A6" s="90"/>
      <c r="B6" s="61" t="s">
        <v>2462</v>
      </c>
      <c r="C6" s="57" t="s">
        <v>198</v>
      </c>
      <c r="D6" s="62" t="s">
        <v>2461</v>
      </c>
      <c r="E6" s="11" t="s">
        <v>33</v>
      </c>
    </row>
    <row r="7">
      <c r="A7" s="90"/>
      <c r="B7" s="62" t="s">
        <v>2464</v>
      </c>
      <c r="C7" s="57" t="s">
        <v>351</v>
      </c>
      <c r="D7" s="61" t="s">
        <v>2463</v>
      </c>
      <c r="E7" s="11" t="s">
        <v>29</v>
      </c>
    </row>
    <row r="8">
      <c r="A8" s="90"/>
      <c r="B8" s="61" t="s">
        <v>2462</v>
      </c>
      <c r="C8" s="57" t="s">
        <v>209</v>
      </c>
      <c r="D8" s="61" t="s">
        <v>2221</v>
      </c>
      <c r="E8" s="11" t="s">
        <v>33</v>
      </c>
    </row>
    <row r="9">
      <c r="A9" s="90"/>
      <c r="B9" s="62" t="s">
        <v>2464</v>
      </c>
      <c r="C9" s="57" t="s">
        <v>41</v>
      </c>
      <c r="D9" s="62" t="s">
        <v>2461</v>
      </c>
      <c r="E9" s="11" t="s">
        <v>29</v>
      </c>
    </row>
    <row r="10">
      <c r="A10" s="90"/>
      <c r="B10" s="61" t="s">
        <v>2463</v>
      </c>
      <c r="C10" s="57" t="s">
        <v>380</v>
      </c>
      <c r="D10" s="61" t="s">
        <v>2221</v>
      </c>
      <c r="E10" s="11" t="s">
        <v>33</v>
      </c>
    </row>
    <row r="11">
      <c r="A11" s="90"/>
      <c r="B11" s="62" t="s">
        <v>2464</v>
      </c>
      <c r="C11" s="57" t="s">
        <v>23</v>
      </c>
      <c r="D11" s="61" t="s">
        <v>2462</v>
      </c>
      <c r="E11" s="11" t="s">
        <v>29</v>
      </c>
    </row>
    <row r="12">
      <c r="A12" s="90"/>
      <c r="B12" s="61" t="s">
        <v>2463</v>
      </c>
      <c r="C12" s="57" t="s">
        <v>324</v>
      </c>
      <c r="D12" s="62" t="s">
        <v>2461</v>
      </c>
      <c r="E12" s="11" t="s">
        <v>33</v>
      </c>
      <c r="J12" s="50" t="s">
        <v>514</v>
      </c>
    </row>
    <row r="13">
      <c r="A13" s="90"/>
      <c r="B13" s="62" t="s">
        <v>2461</v>
      </c>
      <c r="C13" s="57" t="s">
        <v>34</v>
      </c>
      <c r="D13" s="61" t="s">
        <v>2221</v>
      </c>
      <c r="E13" s="11" t="s">
        <v>29</v>
      </c>
    </row>
    <row r="14">
      <c r="A14" s="90"/>
      <c r="B14" s="61" t="s">
        <v>2463</v>
      </c>
      <c r="C14" s="57" t="s">
        <v>198</v>
      </c>
      <c r="D14" s="61" t="s">
        <v>2462</v>
      </c>
      <c r="E14" s="11" t="s">
        <v>33</v>
      </c>
    </row>
    <row r="15">
      <c r="A15" s="90"/>
      <c r="B15" s="61" t="s">
        <v>2221</v>
      </c>
      <c r="C15" s="45" t="s">
        <v>7</v>
      </c>
      <c r="D15" s="62" t="s">
        <v>2464</v>
      </c>
      <c r="E15" s="11" t="s">
        <v>29</v>
      </c>
    </row>
    <row r="16">
      <c r="A16" s="90"/>
      <c r="B16" s="62" t="s">
        <v>2461</v>
      </c>
      <c r="C16" s="45" t="s">
        <v>301</v>
      </c>
      <c r="D16" s="61" t="s">
        <v>2462</v>
      </c>
      <c r="E16" s="11" t="s">
        <v>33</v>
      </c>
    </row>
    <row r="17">
      <c r="A17" s="90"/>
      <c r="B17" s="61" t="s">
        <v>2463</v>
      </c>
      <c r="C17" s="54" t="s">
        <v>334</v>
      </c>
      <c r="D17" s="62" t="s">
        <v>2464</v>
      </c>
      <c r="E17" s="11" t="s">
        <v>29</v>
      </c>
      <c r="F17" s="50"/>
    </row>
    <row r="18">
      <c r="A18" s="90"/>
      <c r="B18" s="61" t="s">
        <v>2221</v>
      </c>
      <c r="C18" s="45" t="s">
        <v>193</v>
      </c>
      <c r="D18" s="61" t="s">
        <v>2462</v>
      </c>
      <c r="E18" s="11" t="s">
        <v>33</v>
      </c>
    </row>
    <row r="19">
      <c r="A19" s="90"/>
      <c r="B19" s="62" t="s">
        <v>2461</v>
      </c>
      <c r="C19" s="45" t="s">
        <v>16</v>
      </c>
      <c r="D19" s="62" t="s">
        <v>2464</v>
      </c>
      <c r="E19" s="11" t="s">
        <v>29</v>
      </c>
    </row>
    <row r="20">
      <c r="A20" s="90"/>
      <c r="B20" s="61" t="s">
        <v>2221</v>
      </c>
      <c r="C20" s="45" t="s">
        <v>2465</v>
      </c>
      <c r="D20" s="61" t="s">
        <v>2463</v>
      </c>
      <c r="E20" s="11" t="s">
        <v>33</v>
      </c>
    </row>
    <row r="21">
      <c r="A21" s="90"/>
      <c r="B21" s="61" t="s">
        <v>2462</v>
      </c>
      <c r="C21" s="45" t="s">
        <v>196</v>
      </c>
      <c r="D21" s="62" t="s">
        <v>2464</v>
      </c>
      <c r="E21" s="11" t="s">
        <v>29</v>
      </c>
    </row>
    <row r="22">
      <c r="A22" s="90"/>
      <c r="B22" s="62" t="s">
        <v>2461</v>
      </c>
      <c r="C22" s="45" t="s">
        <v>173</v>
      </c>
      <c r="D22" s="61" t="s">
        <v>2463</v>
      </c>
      <c r="E22" s="11" t="s">
        <v>33</v>
      </c>
    </row>
    <row r="23">
      <c r="A23" s="90"/>
      <c r="B23" s="1" t="s">
        <v>2195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1831</v>
      </c>
      <c r="C25" s="57" t="s">
        <v>344</v>
      </c>
      <c r="D25" s="62" t="s">
        <v>2466</v>
      </c>
      <c r="E25" s="11" t="s">
        <v>9</v>
      </c>
    </row>
    <row r="26">
      <c r="A26" s="90"/>
      <c r="B26" s="61" t="s">
        <v>1643</v>
      </c>
      <c r="C26" s="57" t="s">
        <v>302</v>
      </c>
      <c r="D26" s="61" t="s">
        <v>413</v>
      </c>
      <c r="E26" s="11" t="s">
        <v>13</v>
      </c>
    </row>
    <row r="27">
      <c r="A27" s="90"/>
      <c r="B27" s="62" t="s">
        <v>2467</v>
      </c>
      <c r="C27" s="57" t="s">
        <v>193</v>
      </c>
      <c r="D27" s="62" t="s">
        <v>1831</v>
      </c>
      <c r="E27" s="11" t="s">
        <v>9</v>
      </c>
    </row>
    <row r="28">
      <c r="A28" s="90"/>
      <c r="B28" s="61" t="s">
        <v>1643</v>
      </c>
      <c r="C28" s="57" t="s">
        <v>209</v>
      </c>
      <c r="D28" s="62" t="s">
        <v>2466</v>
      </c>
      <c r="E28" s="11" t="s">
        <v>13</v>
      </c>
    </row>
    <row r="29">
      <c r="A29" s="90"/>
      <c r="B29" s="62" t="s">
        <v>2467</v>
      </c>
      <c r="C29" s="57" t="s">
        <v>23</v>
      </c>
      <c r="D29" s="61" t="s">
        <v>413</v>
      </c>
      <c r="E29" s="11" t="s">
        <v>9</v>
      </c>
    </row>
    <row r="30">
      <c r="A30" s="90"/>
      <c r="B30" s="61" t="s">
        <v>1643</v>
      </c>
      <c r="C30" s="57" t="s">
        <v>158</v>
      </c>
      <c r="D30" s="62" t="s">
        <v>1831</v>
      </c>
      <c r="E30" s="11" t="s">
        <v>13</v>
      </c>
    </row>
    <row r="31">
      <c r="A31" s="90"/>
      <c r="B31" s="62" t="s">
        <v>2467</v>
      </c>
      <c r="C31" s="57" t="s">
        <v>576</v>
      </c>
      <c r="D31" s="62" t="s">
        <v>2466</v>
      </c>
      <c r="E31" s="11" t="s">
        <v>9</v>
      </c>
    </row>
    <row r="32">
      <c r="A32" s="90"/>
      <c r="B32" s="61" t="s">
        <v>413</v>
      </c>
      <c r="C32" s="57" t="s">
        <v>195</v>
      </c>
      <c r="D32" s="62" t="s">
        <v>1831</v>
      </c>
      <c r="E32" s="11" t="s">
        <v>13</v>
      </c>
    </row>
    <row r="33">
      <c r="A33" s="90"/>
      <c r="B33" s="62" t="s">
        <v>2467</v>
      </c>
      <c r="C33" s="57" t="s">
        <v>220</v>
      </c>
      <c r="D33" s="61" t="s">
        <v>1643</v>
      </c>
      <c r="E33" s="11" t="s">
        <v>9</v>
      </c>
    </row>
    <row r="34">
      <c r="A34" s="90"/>
      <c r="B34" s="61" t="s">
        <v>413</v>
      </c>
      <c r="C34" s="57" t="s">
        <v>157</v>
      </c>
      <c r="D34" s="62" t="s">
        <v>2466</v>
      </c>
      <c r="E34" s="11" t="s">
        <v>13</v>
      </c>
    </row>
    <row r="35">
      <c r="A35" s="90"/>
      <c r="B35" s="62" t="s">
        <v>2466</v>
      </c>
      <c r="C35" s="57" t="s">
        <v>181</v>
      </c>
      <c r="D35" s="62" t="s">
        <v>1831</v>
      </c>
      <c r="E35" s="11" t="s">
        <v>9</v>
      </c>
    </row>
    <row r="36">
      <c r="A36" s="90"/>
      <c r="B36" s="61" t="s">
        <v>413</v>
      </c>
      <c r="C36" s="57" t="s">
        <v>18</v>
      </c>
      <c r="D36" s="61" t="s">
        <v>1643</v>
      </c>
      <c r="E36" s="11" t="s">
        <v>13</v>
      </c>
    </row>
    <row r="37">
      <c r="A37" s="90"/>
      <c r="B37" s="62" t="s">
        <v>1831</v>
      </c>
      <c r="C37" s="45" t="s">
        <v>185</v>
      </c>
      <c r="D37" s="62" t="s">
        <v>2467</v>
      </c>
      <c r="E37" s="11" t="s">
        <v>9</v>
      </c>
    </row>
    <row r="38">
      <c r="A38" s="90"/>
      <c r="B38" s="62" t="s">
        <v>2466</v>
      </c>
      <c r="C38" s="45" t="s">
        <v>177</v>
      </c>
      <c r="D38" s="61" t="s">
        <v>1643</v>
      </c>
      <c r="E38" s="11" t="s">
        <v>13</v>
      </c>
    </row>
    <row r="39">
      <c r="A39" s="90"/>
      <c r="B39" s="61" t="s">
        <v>413</v>
      </c>
      <c r="C39" s="45" t="s">
        <v>203</v>
      </c>
      <c r="D39" s="62" t="s">
        <v>2467</v>
      </c>
      <c r="E39" s="11" t="s">
        <v>9</v>
      </c>
    </row>
    <row r="40">
      <c r="A40" s="90"/>
      <c r="B40" s="62" t="s">
        <v>1831</v>
      </c>
      <c r="C40" s="45" t="s">
        <v>19</v>
      </c>
      <c r="D40" s="61" t="s">
        <v>1643</v>
      </c>
      <c r="E40" s="11" t="s">
        <v>13</v>
      </c>
    </row>
    <row r="41">
      <c r="A41" s="90"/>
      <c r="B41" s="62" t="s">
        <v>2466</v>
      </c>
      <c r="C41" s="45" t="s">
        <v>2468</v>
      </c>
      <c r="D41" s="62" t="s">
        <v>2467</v>
      </c>
      <c r="E41" s="11" t="s">
        <v>9</v>
      </c>
    </row>
    <row r="42">
      <c r="A42" s="90"/>
      <c r="B42" s="62" t="s">
        <v>1831</v>
      </c>
      <c r="C42" s="45" t="s">
        <v>302</v>
      </c>
      <c r="D42" s="61" t="s">
        <v>413</v>
      </c>
      <c r="E42" s="11" t="s">
        <v>13</v>
      </c>
    </row>
    <row r="43">
      <c r="A43" s="90"/>
      <c r="B43" s="61" t="s">
        <v>1643</v>
      </c>
      <c r="C43" s="45" t="s">
        <v>17</v>
      </c>
      <c r="D43" s="62" t="s">
        <v>2467</v>
      </c>
      <c r="E43" s="11" t="s">
        <v>9</v>
      </c>
    </row>
    <row r="44">
      <c r="A44" s="91"/>
      <c r="B44" s="62" t="s">
        <v>2466</v>
      </c>
      <c r="C44" s="45" t="s">
        <v>545</v>
      </c>
      <c r="D44" s="61" t="s">
        <v>413</v>
      </c>
      <c r="E44" s="11" t="s">
        <v>13</v>
      </c>
    </row>
    <row r="45">
      <c r="B45" s="1" t="s">
        <v>2397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1682</v>
      </c>
      <c r="C47" s="57" t="s">
        <v>279</v>
      </c>
      <c r="D47" s="61" t="s">
        <v>2469</v>
      </c>
      <c r="E47" s="11" t="s">
        <v>29</v>
      </c>
    </row>
    <row r="48">
      <c r="B48" s="61" t="s">
        <v>2470</v>
      </c>
      <c r="C48" s="57" t="s">
        <v>20</v>
      </c>
      <c r="D48" s="61" t="s">
        <v>2399</v>
      </c>
      <c r="E48" s="11" t="s">
        <v>33</v>
      </c>
    </row>
    <row r="49">
      <c r="B49" s="61" t="s">
        <v>360</v>
      </c>
      <c r="C49" s="57" t="s">
        <v>744</v>
      </c>
      <c r="D49" s="61" t="s">
        <v>1682</v>
      </c>
      <c r="E49" s="11" t="s">
        <v>29</v>
      </c>
    </row>
    <row r="50">
      <c r="B50" s="61" t="s">
        <v>2470</v>
      </c>
      <c r="C50" s="57" t="s">
        <v>14</v>
      </c>
      <c r="D50" s="61" t="s">
        <v>2469</v>
      </c>
      <c r="E50" s="11" t="s">
        <v>33</v>
      </c>
    </row>
    <row r="51">
      <c r="B51" s="61" t="s">
        <v>360</v>
      </c>
      <c r="C51" s="57" t="s">
        <v>743</v>
      </c>
      <c r="D51" s="61" t="s">
        <v>2399</v>
      </c>
      <c r="E51" s="11" t="s">
        <v>29</v>
      </c>
    </row>
    <row r="52">
      <c r="B52" s="61" t="s">
        <v>2470</v>
      </c>
      <c r="C52" s="57" t="s">
        <v>162</v>
      </c>
      <c r="D52" s="61" t="s">
        <v>1682</v>
      </c>
      <c r="E52" s="11" t="s">
        <v>33</v>
      </c>
    </row>
    <row r="53">
      <c r="B53" s="61" t="s">
        <v>360</v>
      </c>
      <c r="C53" s="57" t="s">
        <v>164</v>
      </c>
      <c r="D53" s="61" t="s">
        <v>2469</v>
      </c>
      <c r="E53" s="11" t="s">
        <v>29</v>
      </c>
    </row>
    <row r="54">
      <c r="B54" s="61" t="s">
        <v>2399</v>
      </c>
      <c r="C54" s="57" t="s">
        <v>209</v>
      </c>
      <c r="D54" s="61" t="s">
        <v>1682</v>
      </c>
      <c r="E54" s="11" t="s">
        <v>33</v>
      </c>
    </row>
    <row r="55">
      <c r="B55" s="61" t="s">
        <v>360</v>
      </c>
      <c r="C55" s="57" t="s">
        <v>20</v>
      </c>
      <c r="D55" s="61" t="s">
        <v>2470</v>
      </c>
      <c r="E55" s="11" t="s">
        <v>29</v>
      </c>
    </row>
    <row r="56">
      <c r="B56" s="61" t="s">
        <v>2399</v>
      </c>
      <c r="C56" s="57" t="s">
        <v>18</v>
      </c>
      <c r="D56" s="61" t="s">
        <v>2469</v>
      </c>
      <c r="E56" s="11" t="s">
        <v>33</v>
      </c>
    </row>
    <row r="57">
      <c r="B57" s="61" t="s">
        <v>2469</v>
      </c>
      <c r="C57" s="57" t="s">
        <v>302</v>
      </c>
      <c r="D57" s="61" t="s">
        <v>1682</v>
      </c>
      <c r="E57" s="11" t="s">
        <v>29</v>
      </c>
    </row>
    <row r="58">
      <c r="B58" s="61" t="s">
        <v>2399</v>
      </c>
      <c r="C58" s="57" t="s">
        <v>16</v>
      </c>
      <c r="D58" s="61" t="s">
        <v>2470</v>
      </c>
      <c r="E58" s="11" t="s">
        <v>33</v>
      </c>
    </row>
    <row r="59">
      <c r="B59" s="61" t="s">
        <v>1682</v>
      </c>
      <c r="C59" s="45" t="s">
        <v>327</v>
      </c>
      <c r="D59" s="61" t="s">
        <v>360</v>
      </c>
      <c r="E59" s="11" t="s">
        <v>29</v>
      </c>
    </row>
    <row r="60">
      <c r="B60" s="61" t="s">
        <v>2469</v>
      </c>
      <c r="C60" s="45" t="s">
        <v>197</v>
      </c>
      <c r="D60" s="61" t="s">
        <v>2470</v>
      </c>
      <c r="E60" s="11" t="s">
        <v>33</v>
      </c>
      <c r="H60" s="50"/>
      <c r="I60" s="50"/>
    </row>
    <row r="61">
      <c r="B61" s="61" t="s">
        <v>2399</v>
      </c>
      <c r="C61" s="45" t="s">
        <v>23</v>
      </c>
      <c r="D61" s="61" t="s">
        <v>360</v>
      </c>
      <c r="E61" s="11" t="s">
        <v>29</v>
      </c>
    </row>
    <row r="62">
      <c r="B62" s="61" t="s">
        <v>1682</v>
      </c>
      <c r="C62" s="45" t="s">
        <v>464</v>
      </c>
      <c r="D62" s="61" t="s">
        <v>2470</v>
      </c>
      <c r="E62" s="11" t="s">
        <v>33</v>
      </c>
    </row>
    <row r="63">
      <c r="B63" s="61" t="s">
        <v>2469</v>
      </c>
      <c r="C63" s="45" t="s">
        <v>219</v>
      </c>
      <c r="D63" s="61" t="s">
        <v>360</v>
      </c>
      <c r="E63" s="11" t="s">
        <v>29</v>
      </c>
    </row>
    <row r="64">
      <c r="B64" s="61" t="s">
        <v>1682</v>
      </c>
      <c r="C64" s="45" t="s">
        <v>158</v>
      </c>
      <c r="D64" s="61" t="s">
        <v>2399</v>
      </c>
      <c r="E64" s="11" t="s">
        <v>33</v>
      </c>
    </row>
    <row r="65">
      <c r="B65" s="61" t="s">
        <v>2470</v>
      </c>
      <c r="C65" s="45" t="s">
        <v>166</v>
      </c>
      <c r="D65" s="61" t="s">
        <v>360</v>
      </c>
      <c r="E65" s="11" t="s">
        <v>29</v>
      </c>
    </row>
    <row r="66">
      <c r="B66" s="61" t="s">
        <v>2469</v>
      </c>
      <c r="C66" s="45" t="s">
        <v>225</v>
      </c>
      <c r="D66" s="61" t="s">
        <v>2399</v>
      </c>
      <c r="E66" s="11" t="s">
        <v>33</v>
      </c>
    </row>
    <row r="67">
      <c r="B67" s="1" t="s">
        <v>1461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138</v>
      </c>
      <c r="C69" s="57" t="s">
        <v>164</v>
      </c>
      <c r="D69" s="61" t="s">
        <v>1845</v>
      </c>
      <c r="E69" s="11" t="s">
        <v>9</v>
      </c>
    </row>
    <row r="70">
      <c r="B70" s="61" t="s">
        <v>1941</v>
      </c>
      <c r="C70" s="57" t="s">
        <v>227</v>
      </c>
      <c r="D70" s="61" t="s">
        <v>240</v>
      </c>
      <c r="E70" s="11" t="s">
        <v>13</v>
      </c>
    </row>
    <row r="71">
      <c r="B71" s="61" t="s">
        <v>1775</v>
      </c>
      <c r="C71" s="57" t="s">
        <v>18</v>
      </c>
      <c r="D71" s="61" t="s">
        <v>138</v>
      </c>
      <c r="E71" s="11" t="s">
        <v>9</v>
      </c>
    </row>
    <row r="72">
      <c r="B72" s="61" t="s">
        <v>1941</v>
      </c>
      <c r="C72" s="57" t="s">
        <v>362</v>
      </c>
      <c r="D72" s="61" t="s">
        <v>1845</v>
      </c>
      <c r="E72" s="11" t="s">
        <v>13</v>
      </c>
    </row>
    <row r="73">
      <c r="B73" s="61" t="s">
        <v>1775</v>
      </c>
      <c r="C73" s="57" t="s">
        <v>158</v>
      </c>
      <c r="D73" s="61" t="s">
        <v>240</v>
      </c>
      <c r="E73" s="11" t="s">
        <v>9</v>
      </c>
    </row>
    <row r="74">
      <c r="B74" s="61" t="s">
        <v>1941</v>
      </c>
      <c r="C74" s="57" t="s">
        <v>248</v>
      </c>
      <c r="D74" s="61" t="s">
        <v>138</v>
      </c>
      <c r="E74" s="11" t="s">
        <v>13</v>
      </c>
    </row>
    <row r="75">
      <c r="B75" s="61" t="s">
        <v>1775</v>
      </c>
      <c r="C75" s="57" t="s">
        <v>271</v>
      </c>
      <c r="D75" s="61" t="s">
        <v>1845</v>
      </c>
      <c r="E75" s="11" t="s">
        <v>9</v>
      </c>
    </row>
    <row r="76">
      <c r="B76" s="61" t="s">
        <v>240</v>
      </c>
      <c r="C76" s="57" t="s">
        <v>181</v>
      </c>
      <c r="D76" s="61" t="s">
        <v>138</v>
      </c>
      <c r="E76" s="11" t="s">
        <v>13</v>
      </c>
    </row>
    <row r="77">
      <c r="B77" s="61" t="s">
        <v>1775</v>
      </c>
      <c r="C77" s="57" t="s">
        <v>177</v>
      </c>
      <c r="D77" s="61" t="s">
        <v>1941</v>
      </c>
      <c r="E77" s="11" t="s">
        <v>9</v>
      </c>
    </row>
    <row r="78">
      <c r="B78" s="61" t="s">
        <v>240</v>
      </c>
      <c r="C78" s="57" t="s">
        <v>426</v>
      </c>
      <c r="D78" s="61" t="s">
        <v>1845</v>
      </c>
      <c r="E78" s="11" t="s">
        <v>13</v>
      </c>
    </row>
    <row r="79">
      <c r="B79" s="61" t="s">
        <v>1845</v>
      </c>
      <c r="C79" s="57" t="s">
        <v>303</v>
      </c>
      <c r="D79" s="61" t="s">
        <v>138</v>
      </c>
      <c r="E79" s="11" t="s">
        <v>9</v>
      </c>
    </row>
    <row r="80">
      <c r="B80" s="61" t="s">
        <v>240</v>
      </c>
      <c r="C80" s="57" t="s">
        <v>547</v>
      </c>
      <c r="D80" s="61" t="s">
        <v>1941</v>
      </c>
      <c r="E80" s="11" t="s">
        <v>13</v>
      </c>
    </row>
    <row r="81">
      <c r="B81" s="61" t="s">
        <v>138</v>
      </c>
      <c r="C81" s="45" t="s">
        <v>23</v>
      </c>
      <c r="D81" s="61" t="s">
        <v>1775</v>
      </c>
      <c r="E81" s="11" t="s">
        <v>9</v>
      </c>
    </row>
    <row r="82">
      <c r="B82" s="61" t="s">
        <v>1845</v>
      </c>
      <c r="C82" s="45" t="s">
        <v>198</v>
      </c>
      <c r="D82" s="61" t="s">
        <v>1941</v>
      </c>
      <c r="E82" s="11" t="s">
        <v>13</v>
      </c>
    </row>
    <row r="83">
      <c r="B83" s="61" t="s">
        <v>240</v>
      </c>
      <c r="C83" s="45" t="s">
        <v>18</v>
      </c>
      <c r="D83" s="61" t="s">
        <v>1775</v>
      </c>
      <c r="E83" s="11" t="s">
        <v>9</v>
      </c>
    </row>
    <row r="84">
      <c r="B84" s="61" t="s">
        <v>138</v>
      </c>
      <c r="C84" s="45" t="s">
        <v>41</v>
      </c>
      <c r="D84" s="61" t="s">
        <v>1941</v>
      </c>
      <c r="E84" s="11" t="s">
        <v>13</v>
      </c>
    </row>
    <row r="85">
      <c r="B85" s="61" t="s">
        <v>1845</v>
      </c>
      <c r="C85" s="45" t="s">
        <v>324</v>
      </c>
      <c r="D85" s="61" t="s">
        <v>1775</v>
      </c>
      <c r="E85" s="11" t="s">
        <v>9</v>
      </c>
    </row>
    <row r="86">
      <c r="B86" s="61" t="s">
        <v>138</v>
      </c>
      <c r="C86" s="45" t="s">
        <v>301</v>
      </c>
      <c r="D86" s="61" t="s">
        <v>240</v>
      </c>
      <c r="E86" s="11" t="s">
        <v>13</v>
      </c>
    </row>
    <row r="87">
      <c r="B87" s="61" t="s">
        <v>1941</v>
      </c>
      <c r="C87" s="45" t="s">
        <v>545</v>
      </c>
      <c r="D87" s="61" t="s">
        <v>1775</v>
      </c>
      <c r="E87" s="11" t="s">
        <v>9</v>
      </c>
    </row>
    <row r="88">
      <c r="B88" s="61" t="s">
        <v>1845</v>
      </c>
      <c r="C88" s="45" t="s">
        <v>244</v>
      </c>
      <c r="D88" s="61" t="s">
        <v>240</v>
      </c>
      <c r="E88" s="11" t="s">
        <v>13</v>
      </c>
    </row>
    <row r="89">
      <c r="B89" s="1" t="s">
        <v>2471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1785</v>
      </c>
      <c r="C91" s="45" t="s">
        <v>248</v>
      </c>
      <c r="D91" s="61" t="s">
        <v>2472</v>
      </c>
      <c r="E91" s="11" t="s">
        <v>9</v>
      </c>
    </row>
    <row r="92">
      <c r="B92" s="61" t="s">
        <v>1909</v>
      </c>
      <c r="C92" s="45" t="s">
        <v>292</v>
      </c>
      <c r="D92" s="61" t="s">
        <v>1633</v>
      </c>
      <c r="E92" s="11" t="s">
        <v>13</v>
      </c>
    </row>
    <row r="93">
      <c r="B93" s="61" t="s">
        <v>1906</v>
      </c>
      <c r="C93" s="45" t="s">
        <v>433</v>
      </c>
      <c r="D93" s="61" t="s">
        <v>1785</v>
      </c>
      <c r="E93" s="11" t="s">
        <v>9</v>
      </c>
    </row>
    <row r="94">
      <c r="B94" s="61" t="s">
        <v>1909</v>
      </c>
      <c r="C94" s="45" t="s">
        <v>219</v>
      </c>
      <c r="D94" s="61" t="s">
        <v>2472</v>
      </c>
      <c r="E94" s="11" t="s">
        <v>13</v>
      </c>
    </row>
    <row r="95">
      <c r="B95" s="61" t="s">
        <v>1906</v>
      </c>
      <c r="C95" s="45" t="s">
        <v>1121</v>
      </c>
      <c r="D95" s="61" t="s">
        <v>1633</v>
      </c>
      <c r="E95" s="11" t="s">
        <v>9</v>
      </c>
    </row>
    <row r="96">
      <c r="B96" s="61" t="s">
        <v>1909</v>
      </c>
      <c r="C96" s="45" t="s">
        <v>164</v>
      </c>
      <c r="D96" s="61" t="s">
        <v>1785</v>
      </c>
      <c r="E96" s="11" t="s">
        <v>13</v>
      </c>
    </row>
    <row r="97">
      <c r="B97" s="61" t="s">
        <v>1906</v>
      </c>
      <c r="C97" s="45" t="s">
        <v>23</v>
      </c>
      <c r="D97" s="61" t="s">
        <v>2472</v>
      </c>
      <c r="E97" s="11" t="s">
        <v>9</v>
      </c>
    </row>
    <row r="98">
      <c r="B98" s="61" t="s">
        <v>1633</v>
      </c>
      <c r="C98" s="45" t="s">
        <v>567</v>
      </c>
      <c r="D98" s="61" t="s">
        <v>1785</v>
      </c>
      <c r="E98" s="11" t="s">
        <v>13</v>
      </c>
    </row>
    <row r="99">
      <c r="B99" s="61" t="s">
        <v>1906</v>
      </c>
      <c r="C99" s="45" t="s">
        <v>164</v>
      </c>
      <c r="D99" s="61" t="s">
        <v>1909</v>
      </c>
      <c r="E99" s="11" t="s">
        <v>9</v>
      </c>
    </row>
    <row r="100">
      <c r="B100" s="61" t="s">
        <v>1633</v>
      </c>
      <c r="C100" s="45" t="s">
        <v>292</v>
      </c>
      <c r="D100" s="61" t="s">
        <v>2472</v>
      </c>
      <c r="E100" s="11" t="s">
        <v>13</v>
      </c>
    </row>
    <row r="101">
      <c r="B101" s="61" t="s">
        <v>2472</v>
      </c>
      <c r="C101" s="45" t="s">
        <v>16</v>
      </c>
      <c r="D101" s="61" t="s">
        <v>1785</v>
      </c>
      <c r="E101" s="11" t="s">
        <v>9</v>
      </c>
    </row>
    <row r="102">
      <c r="B102" s="61" t="s">
        <v>1633</v>
      </c>
      <c r="C102" s="45" t="s">
        <v>225</v>
      </c>
      <c r="D102" s="61" t="s">
        <v>1909</v>
      </c>
      <c r="E102" s="11" t="s">
        <v>13</v>
      </c>
    </row>
    <row r="103">
      <c r="B103" s="61" t="s">
        <v>1785</v>
      </c>
      <c r="C103" s="45" t="s">
        <v>366</v>
      </c>
      <c r="D103" s="61" t="s">
        <v>1906</v>
      </c>
      <c r="E103" s="11" t="s">
        <v>9</v>
      </c>
    </row>
    <row r="104">
      <c r="B104" s="61" t="s">
        <v>2472</v>
      </c>
      <c r="C104" s="45" t="s">
        <v>187</v>
      </c>
      <c r="D104" s="61" t="s">
        <v>1909</v>
      </c>
      <c r="E104" s="11" t="s">
        <v>13</v>
      </c>
    </row>
    <row r="105">
      <c r="B105" s="61" t="s">
        <v>1633</v>
      </c>
      <c r="C105" s="45" t="s">
        <v>251</v>
      </c>
      <c r="D105" s="61" t="s">
        <v>1906</v>
      </c>
      <c r="E105" s="11" t="s">
        <v>9</v>
      </c>
    </row>
    <row r="106">
      <c r="B106" s="61" t="s">
        <v>1785</v>
      </c>
      <c r="C106" s="45" t="s">
        <v>20</v>
      </c>
      <c r="D106" s="61" t="s">
        <v>1909</v>
      </c>
      <c r="E106" s="11" t="s">
        <v>13</v>
      </c>
    </row>
    <row r="107">
      <c r="B107" s="61" t="s">
        <v>2472</v>
      </c>
      <c r="C107" s="45" t="s">
        <v>43</v>
      </c>
      <c r="D107" s="61" t="s">
        <v>1906</v>
      </c>
      <c r="E107" s="11" t="s">
        <v>9</v>
      </c>
    </row>
    <row r="108">
      <c r="B108" s="61" t="s">
        <v>1785</v>
      </c>
      <c r="C108" s="45" t="s">
        <v>336</v>
      </c>
      <c r="D108" s="61" t="s">
        <v>1633</v>
      </c>
      <c r="E108" s="11" t="s">
        <v>13</v>
      </c>
    </row>
    <row r="109">
      <c r="B109" s="61" t="s">
        <v>1909</v>
      </c>
      <c r="C109" s="45" t="s">
        <v>271</v>
      </c>
      <c r="D109" s="61" t="s">
        <v>1906</v>
      </c>
      <c r="E109" s="11" t="s">
        <v>9</v>
      </c>
    </row>
    <row r="110">
      <c r="B110" s="61" t="s">
        <v>2472</v>
      </c>
      <c r="C110" s="45" t="s">
        <v>195</v>
      </c>
      <c r="D110" s="61" t="s">
        <v>1633</v>
      </c>
      <c r="E110" s="11" t="s">
        <v>13</v>
      </c>
    </row>
    <row r="111">
      <c r="B111" s="1" t="s">
        <v>2473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1505</v>
      </c>
      <c r="C113" s="57" t="s">
        <v>218</v>
      </c>
      <c r="D113" s="61" t="s">
        <v>2474</v>
      </c>
      <c r="E113" s="11" t="s">
        <v>29</v>
      </c>
    </row>
    <row r="114">
      <c r="B114" s="61" t="s">
        <v>2043</v>
      </c>
      <c r="C114" s="57" t="s">
        <v>222</v>
      </c>
      <c r="D114" s="61" t="s">
        <v>692</v>
      </c>
      <c r="E114" s="11" t="s">
        <v>33</v>
      </c>
    </row>
    <row r="115">
      <c r="B115" s="61" t="s">
        <v>1817</v>
      </c>
      <c r="C115" s="57" t="s">
        <v>7</v>
      </c>
      <c r="D115" s="61" t="s">
        <v>1505</v>
      </c>
      <c r="E115" s="11" t="s">
        <v>29</v>
      </c>
    </row>
    <row r="116">
      <c r="B116" s="61" t="s">
        <v>2043</v>
      </c>
      <c r="C116" s="57" t="s">
        <v>354</v>
      </c>
      <c r="D116" s="61" t="s">
        <v>2474</v>
      </c>
      <c r="E116" s="11" t="s">
        <v>33</v>
      </c>
    </row>
    <row r="117">
      <c r="B117" s="61" t="s">
        <v>1817</v>
      </c>
      <c r="C117" s="57" t="s">
        <v>38</v>
      </c>
      <c r="D117" s="61" t="s">
        <v>692</v>
      </c>
      <c r="E117" s="11" t="s">
        <v>29</v>
      </c>
    </row>
    <row r="118">
      <c r="B118" s="61" t="s">
        <v>2043</v>
      </c>
      <c r="C118" s="57" t="s">
        <v>324</v>
      </c>
      <c r="D118" s="61" t="s">
        <v>1505</v>
      </c>
      <c r="E118" s="11" t="s">
        <v>33</v>
      </c>
    </row>
    <row r="119">
      <c r="B119" s="61" t="s">
        <v>1817</v>
      </c>
      <c r="C119" s="57" t="s">
        <v>233</v>
      </c>
      <c r="D119" s="61" t="s">
        <v>2474</v>
      </c>
      <c r="E119" s="11" t="s">
        <v>29</v>
      </c>
    </row>
    <row r="120">
      <c r="B120" s="61" t="s">
        <v>692</v>
      </c>
      <c r="C120" s="57" t="s">
        <v>250</v>
      </c>
      <c r="D120" s="61" t="s">
        <v>1505</v>
      </c>
      <c r="E120" s="11" t="s">
        <v>33</v>
      </c>
    </row>
    <row r="121">
      <c r="B121" s="61" t="s">
        <v>1817</v>
      </c>
      <c r="C121" s="57" t="s">
        <v>547</v>
      </c>
      <c r="D121" s="61" t="s">
        <v>2043</v>
      </c>
      <c r="E121" s="11" t="s">
        <v>29</v>
      </c>
    </row>
    <row r="122">
      <c r="B122" s="61" t="s">
        <v>692</v>
      </c>
      <c r="C122" s="57" t="s">
        <v>17</v>
      </c>
      <c r="D122" s="61" t="s">
        <v>2474</v>
      </c>
      <c r="E122" s="11" t="s">
        <v>33</v>
      </c>
    </row>
    <row r="123">
      <c r="B123" s="61" t="s">
        <v>2474</v>
      </c>
      <c r="C123" s="57" t="s">
        <v>675</v>
      </c>
      <c r="D123" s="61" t="s">
        <v>1505</v>
      </c>
      <c r="E123" s="11" t="s">
        <v>29</v>
      </c>
    </row>
    <row r="124">
      <c r="B124" s="61" t="s">
        <v>692</v>
      </c>
      <c r="C124" s="57" t="s">
        <v>2475</v>
      </c>
      <c r="D124" s="61" t="s">
        <v>2043</v>
      </c>
      <c r="E124" s="11" t="s">
        <v>33</v>
      </c>
    </row>
    <row r="125">
      <c r="B125" s="61" t="s">
        <v>1505</v>
      </c>
      <c r="C125" s="45" t="s">
        <v>158</v>
      </c>
      <c r="D125" s="61" t="s">
        <v>1817</v>
      </c>
      <c r="E125" s="11" t="s">
        <v>29</v>
      </c>
    </row>
    <row r="126">
      <c r="B126" s="61" t="s">
        <v>2474</v>
      </c>
      <c r="C126" s="45" t="s">
        <v>219</v>
      </c>
      <c r="D126" s="61" t="s">
        <v>2043</v>
      </c>
      <c r="E126" s="11" t="s">
        <v>33</v>
      </c>
    </row>
    <row r="127">
      <c r="B127" s="61" t="s">
        <v>692</v>
      </c>
      <c r="C127" s="45" t="s">
        <v>162</v>
      </c>
      <c r="D127" s="61" t="s">
        <v>1817</v>
      </c>
      <c r="E127" s="11" t="s">
        <v>29</v>
      </c>
    </row>
    <row r="128">
      <c r="B128" s="61" t="s">
        <v>1505</v>
      </c>
      <c r="C128" s="45" t="s">
        <v>184</v>
      </c>
      <c r="D128" s="61" t="s">
        <v>2043</v>
      </c>
      <c r="E128" s="11" t="s">
        <v>33</v>
      </c>
    </row>
    <row r="129">
      <c r="B129" s="61" t="s">
        <v>2474</v>
      </c>
      <c r="C129" s="45" t="s">
        <v>302</v>
      </c>
      <c r="D129" s="61" t="s">
        <v>1817</v>
      </c>
      <c r="E129" s="11" t="s">
        <v>29</v>
      </c>
    </row>
    <row r="130">
      <c r="B130" s="61" t="s">
        <v>1505</v>
      </c>
      <c r="C130" s="45" t="s">
        <v>1531</v>
      </c>
      <c r="D130" s="61" t="s">
        <v>692</v>
      </c>
      <c r="E130" s="11" t="s">
        <v>33</v>
      </c>
    </row>
    <row r="131">
      <c r="B131" s="61" t="s">
        <v>2043</v>
      </c>
      <c r="C131" s="45" t="s">
        <v>248</v>
      </c>
      <c r="D131" s="61" t="s">
        <v>1817</v>
      </c>
      <c r="E131" s="11" t="s">
        <v>29</v>
      </c>
    </row>
    <row r="132">
      <c r="B132" s="61" t="s">
        <v>2474</v>
      </c>
      <c r="C132" s="45" t="s">
        <v>269</v>
      </c>
      <c r="D132" s="61" t="s">
        <v>692</v>
      </c>
      <c r="E132" s="11" t="s">
        <v>33</v>
      </c>
    </row>
    <row r="133">
      <c r="B133" s="1" t="s">
        <v>2207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2476</v>
      </c>
      <c r="C135" s="57" t="s">
        <v>20</v>
      </c>
      <c r="D135" s="61" t="s">
        <v>2477</v>
      </c>
      <c r="E135" s="11" t="s">
        <v>9</v>
      </c>
    </row>
    <row r="136">
      <c r="B136" s="61" t="s">
        <v>1793</v>
      </c>
      <c r="C136" s="57" t="s">
        <v>17</v>
      </c>
      <c r="D136" s="61" t="s">
        <v>2110</v>
      </c>
      <c r="E136" s="11" t="s">
        <v>13</v>
      </c>
    </row>
    <row r="137">
      <c r="B137" s="61" t="s">
        <v>564</v>
      </c>
      <c r="C137" s="57" t="s">
        <v>220</v>
      </c>
      <c r="D137" s="61" t="s">
        <v>2476</v>
      </c>
      <c r="E137" s="11" t="s">
        <v>9</v>
      </c>
    </row>
    <row r="138">
      <c r="B138" s="61" t="s">
        <v>1793</v>
      </c>
      <c r="C138" s="57" t="s">
        <v>23</v>
      </c>
      <c r="D138" s="61" t="s">
        <v>2477</v>
      </c>
      <c r="E138" s="11" t="s">
        <v>13</v>
      </c>
    </row>
    <row r="139">
      <c r="B139" s="61" t="s">
        <v>564</v>
      </c>
      <c r="C139" s="57" t="s">
        <v>19</v>
      </c>
      <c r="D139" s="61" t="s">
        <v>2110</v>
      </c>
      <c r="E139" s="11" t="s">
        <v>9</v>
      </c>
    </row>
    <row r="140">
      <c r="B140" s="61" t="s">
        <v>1793</v>
      </c>
      <c r="C140" s="57" t="s">
        <v>165</v>
      </c>
      <c r="D140" s="61" t="s">
        <v>2476</v>
      </c>
      <c r="E140" s="11" t="s">
        <v>13</v>
      </c>
    </row>
    <row r="141">
      <c r="B141" s="61" t="s">
        <v>564</v>
      </c>
      <c r="C141" s="57" t="s">
        <v>301</v>
      </c>
      <c r="D141" s="61" t="s">
        <v>2477</v>
      </c>
      <c r="E141" s="11" t="s">
        <v>9</v>
      </c>
    </row>
    <row r="142">
      <c r="B142" s="61" t="s">
        <v>2110</v>
      </c>
      <c r="C142" s="57" t="s">
        <v>23</v>
      </c>
      <c r="D142" s="61" t="s">
        <v>2476</v>
      </c>
      <c r="E142" s="11" t="s">
        <v>13</v>
      </c>
    </row>
    <row r="143">
      <c r="B143" s="61" t="s">
        <v>564</v>
      </c>
      <c r="C143" s="57" t="s">
        <v>14</v>
      </c>
      <c r="D143" s="61" t="s">
        <v>1793</v>
      </c>
      <c r="E143" s="11" t="s">
        <v>9</v>
      </c>
    </row>
    <row r="144">
      <c r="B144" s="61" t="s">
        <v>2110</v>
      </c>
      <c r="C144" s="57" t="s">
        <v>155</v>
      </c>
      <c r="D144" s="61" t="s">
        <v>2477</v>
      </c>
      <c r="E144" s="11" t="s">
        <v>13</v>
      </c>
    </row>
    <row r="145">
      <c r="B145" s="61" t="s">
        <v>2477</v>
      </c>
      <c r="C145" s="57" t="s">
        <v>185</v>
      </c>
      <c r="D145" s="61" t="s">
        <v>2476</v>
      </c>
      <c r="E145" s="11" t="s">
        <v>9</v>
      </c>
    </row>
    <row r="146">
      <c r="B146" s="61" t="s">
        <v>2110</v>
      </c>
      <c r="C146" s="57" t="s">
        <v>210</v>
      </c>
      <c r="D146" s="61" t="s">
        <v>1793</v>
      </c>
      <c r="E146" s="11" t="s">
        <v>13</v>
      </c>
    </row>
    <row r="147">
      <c r="B147" s="61" t="s">
        <v>2476</v>
      </c>
      <c r="C147" s="45" t="s">
        <v>2478</v>
      </c>
      <c r="D147" s="61" t="s">
        <v>564</v>
      </c>
      <c r="E147" s="11" t="s">
        <v>9</v>
      </c>
    </row>
    <row r="148">
      <c r="B148" s="61" t="s">
        <v>2477</v>
      </c>
      <c r="C148" s="45" t="s">
        <v>220</v>
      </c>
      <c r="D148" s="61" t="s">
        <v>1793</v>
      </c>
      <c r="E148" s="11" t="s">
        <v>13</v>
      </c>
    </row>
    <row r="149">
      <c r="B149" s="61" t="s">
        <v>2110</v>
      </c>
      <c r="C149" s="45" t="s">
        <v>351</v>
      </c>
      <c r="D149" s="61" t="s">
        <v>564</v>
      </c>
      <c r="E149" s="11" t="s">
        <v>9</v>
      </c>
    </row>
    <row r="150">
      <c r="B150" s="61" t="s">
        <v>2476</v>
      </c>
      <c r="C150" s="45" t="s">
        <v>508</v>
      </c>
      <c r="D150" s="61" t="s">
        <v>1793</v>
      </c>
      <c r="E150" s="11" t="s">
        <v>13</v>
      </c>
    </row>
    <row r="151">
      <c r="B151" s="61" t="s">
        <v>2477</v>
      </c>
      <c r="C151" s="45" t="s">
        <v>193</v>
      </c>
      <c r="D151" s="61" t="s">
        <v>564</v>
      </c>
      <c r="E151" s="11" t="s">
        <v>9</v>
      </c>
    </row>
    <row r="152">
      <c r="B152" s="61" t="s">
        <v>2476</v>
      </c>
      <c r="C152" s="45" t="s">
        <v>219</v>
      </c>
      <c r="D152" s="61" t="s">
        <v>2110</v>
      </c>
      <c r="E152" s="11" t="s">
        <v>13</v>
      </c>
    </row>
    <row r="153">
      <c r="B153" s="61" t="s">
        <v>1793</v>
      </c>
      <c r="C153" s="45" t="s">
        <v>774</v>
      </c>
      <c r="D153" s="61" t="s">
        <v>564</v>
      </c>
      <c r="E153" s="11" t="s">
        <v>9</v>
      </c>
    </row>
    <row r="154">
      <c r="B154" s="61" t="s">
        <v>2477</v>
      </c>
      <c r="C154" s="45" t="s">
        <v>20</v>
      </c>
      <c r="D154" s="61" t="s">
        <v>2110</v>
      </c>
      <c r="E154" s="11" t="s">
        <v>13</v>
      </c>
    </row>
    <row r="155">
      <c r="B155" s="1" t="s">
        <v>67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2479</v>
      </c>
      <c r="C157" s="45" t="s">
        <v>219</v>
      </c>
      <c r="D157" s="61" t="s">
        <v>2480</v>
      </c>
      <c r="E157" s="11" t="s">
        <v>29</v>
      </c>
    </row>
    <row r="158">
      <c r="B158" s="61" t="s">
        <v>1985</v>
      </c>
      <c r="C158" s="45" t="s">
        <v>250</v>
      </c>
      <c r="D158" s="61" t="s">
        <v>2481</v>
      </c>
      <c r="E158" s="11" t="s">
        <v>33</v>
      </c>
    </row>
    <row r="159">
      <c r="B159" s="61" t="s">
        <v>637</v>
      </c>
      <c r="C159" s="45" t="s">
        <v>327</v>
      </c>
      <c r="D159" s="61" t="s">
        <v>2479</v>
      </c>
      <c r="E159" s="11" t="s">
        <v>29</v>
      </c>
    </row>
    <row r="160">
      <c r="B160" s="61" t="s">
        <v>1985</v>
      </c>
      <c r="C160" s="45" t="s">
        <v>302</v>
      </c>
      <c r="D160" s="61" t="s">
        <v>2480</v>
      </c>
      <c r="E160" s="11" t="s">
        <v>33</v>
      </c>
    </row>
    <row r="161">
      <c r="B161" s="61" t="s">
        <v>637</v>
      </c>
      <c r="C161" s="45" t="s">
        <v>394</v>
      </c>
      <c r="D161" s="61" t="s">
        <v>2481</v>
      </c>
      <c r="E161" s="11" t="s">
        <v>29</v>
      </c>
    </row>
    <row r="162">
      <c r="B162" s="61" t="s">
        <v>1985</v>
      </c>
      <c r="C162" s="45" t="s">
        <v>534</v>
      </c>
      <c r="D162" s="61" t="s">
        <v>2479</v>
      </c>
      <c r="E162" s="11" t="s">
        <v>33</v>
      </c>
    </row>
    <row r="163">
      <c r="B163" s="61" t="s">
        <v>637</v>
      </c>
      <c r="C163" s="45" t="s">
        <v>251</v>
      </c>
      <c r="D163" s="61" t="s">
        <v>2480</v>
      </c>
      <c r="E163" s="11" t="s">
        <v>29</v>
      </c>
    </row>
    <row r="164">
      <c r="B164" s="61" t="s">
        <v>2481</v>
      </c>
      <c r="C164" s="45" t="s">
        <v>1739</v>
      </c>
      <c r="D164" s="61" t="s">
        <v>2479</v>
      </c>
      <c r="E164" s="11" t="s">
        <v>33</v>
      </c>
    </row>
    <row r="165">
      <c r="B165" s="61" t="s">
        <v>637</v>
      </c>
      <c r="C165" s="45" t="s">
        <v>281</v>
      </c>
      <c r="D165" s="61" t="s">
        <v>1985</v>
      </c>
      <c r="E165" s="11" t="s">
        <v>29</v>
      </c>
    </row>
    <row r="166">
      <c r="B166" s="61" t="s">
        <v>2481</v>
      </c>
      <c r="C166" s="45" t="s">
        <v>164</v>
      </c>
      <c r="D166" s="61" t="s">
        <v>2480</v>
      </c>
      <c r="E166" s="11" t="s">
        <v>33</v>
      </c>
    </row>
    <row r="167">
      <c r="B167" s="61" t="s">
        <v>2480</v>
      </c>
      <c r="C167" s="45" t="s">
        <v>17</v>
      </c>
      <c r="D167" s="61" t="s">
        <v>2479</v>
      </c>
      <c r="E167" s="11" t="s">
        <v>29</v>
      </c>
    </row>
    <row r="168">
      <c r="B168" s="61" t="s">
        <v>2481</v>
      </c>
      <c r="C168" s="45" t="s">
        <v>1059</v>
      </c>
      <c r="D168" s="61" t="s">
        <v>1985</v>
      </c>
      <c r="E168" s="11" t="s">
        <v>33</v>
      </c>
    </row>
    <row r="169">
      <c r="B169" s="61" t="s">
        <v>2479</v>
      </c>
      <c r="C169" s="45" t="s">
        <v>36</v>
      </c>
      <c r="D169" s="61" t="s">
        <v>637</v>
      </c>
      <c r="E169" s="11" t="s">
        <v>29</v>
      </c>
    </row>
    <row r="170">
      <c r="B170" s="61" t="s">
        <v>2480</v>
      </c>
      <c r="C170" s="45" t="s">
        <v>433</v>
      </c>
      <c r="D170" s="61" t="s">
        <v>1985</v>
      </c>
      <c r="E170" s="11" t="s">
        <v>33</v>
      </c>
    </row>
    <row r="171">
      <c r="B171" s="61" t="s">
        <v>2481</v>
      </c>
      <c r="C171" s="45" t="s">
        <v>439</v>
      </c>
      <c r="D171" s="61" t="s">
        <v>637</v>
      </c>
      <c r="E171" s="11" t="s">
        <v>29</v>
      </c>
    </row>
    <row r="172">
      <c r="B172" s="61" t="s">
        <v>2479</v>
      </c>
      <c r="C172" s="45" t="s">
        <v>1015</v>
      </c>
      <c r="D172" s="61" t="s">
        <v>1985</v>
      </c>
      <c r="E172" s="11" t="s">
        <v>33</v>
      </c>
    </row>
    <row r="173">
      <c r="B173" s="61" t="s">
        <v>2480</v>
      </c>
      <c r="C173" s="45" t="s">
        <v>16</v>
      </c>
      <c r="D173" s="61" t="s">
        <v>637</v>
      </c>
      <c r="E173" s="11" t="s">
        <v>29</v>
      </c>
    </row>
    <row r="174">
      <c r="B174" s="61" t="s">
        <v>2479</v>
      </c>
      <c r="C174" s="45" t="s">
        <v>2482</v>
      </c>
      <c r="D174" s="61" t="s">
        <v>2481</v>
      </c>
      <c r="E174" s="11" t="s">
        <v>33</v>
      </c>
    </row>
    <row r="175">
      <c r="B175" s="61" t="s">
        <v>1985</v>
      </c>
      <c r="C175" s="45" t="s">
        <v>163</v>
      </c>
      <c r="D175" s="61" t="s">
        <v>637</v>
      </c>
      <c r="E175" s="11" t="s">
        <v>29</v>
      </c>
    </row>
    <row r="176">
      <c r="B176" s="61" t="s">
        <v>2480</v>
      </c>
      <c r="C176" s="45" t="s">
        <v>325</v>
      </c>
      <c r="D176" s="61" t="s">
        <v>2481</v>
      </c>
      <c r="E176" s="11" t="s">
        <v>33</v>
      </c>
    </row>
    <row r="177">
      <c r="B177" s="1" t="s">
        <v>2483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2484</v>
      </c>
      <c r="C179" s="57" t="s">
        <v>209</v>
      </c>
      <c r="D179" s="61" t="s">
        <v>2177</v>
      </c>
      <c r="E179" s="11" t="s">
        <v>9</v>
      </c>
    </row>
    <row r="180">
      <c r="B180" s="61" t="s">
        <v>792</v>
      </c>
      <c r="C180" s="57" t="s">
        <v>155</v>
      </c>
      <c r="D180" s="61" t="s">
        <v>2485</v>
      </c>
      <c r="E180" s="11" t="s">
        <v>13</v>
      </c>
    </row>
    <row r="181">
      <c r="B181" s="61" t="s">
        <v>1783</v>
      </c>
      <c r="C181" s="57" t="s">
        <v>164</v>
      </c>
      <c r="D181" s="61" t="s">
        <v>2484</v>
      </c>
      <c r="E181" s="11" t="s">
        <v>9</v>
      </c>
    </row>
    <row r="182">
      <c r="B182" s="61" t="s">
        <v>792</v>
      </c>
      <c r="C182" s="57" t="s">
        <v>304</v>
      </c>
      <c r="D182" s="61" t="s">
        <v>2177</v>
      </c>
      <c r="E182" s="11" t="s">
        <v>13</v>
      </c>
    </row>
    <row r="183">
      <c r="B183" s="61" t="s">
        <v>1783</v>
      </c>
      <c r="C183" s="57" t="s">
        <v>302</v>
      </c>
      <c r="D183" s="61" t="s">
        <v>2485</v>
      </c>
      <c r="E183" s="11" t="s">
        <v>9</v>
      </c>
    </row>
    <row r="184">
      <c r="B184" s="61" t="s">
        <v>792</v>
      </c>
      <c r="C184" s="57" t="s">
        <v>776</v>
      </c>
      <c r="D184" s="61" t="s">
        <v>2484</v>
      </c>
      <c r="E184" s="11" t="s">
        <v>13</v>
      </c>
    </row>
    <row r="185">
      <c r="B185" s="61" t="s">
        <v>1783</v>
      </c>
      <c r="C185" s="57" t="s">
        <v>290</v>
      </c>
      <c r="D185" s="61" t="s">
        <v>2177</v>
      </c>
      <c r="E185" s="11" t="s">
        <v>9</v>
      </c>
    </row>
    <row r="186">
      <c r="B186" s="61" t="s">
        <v>2485</v>
      </c>
      <c r="C186" s="57" t="s">
        <v>157</v>
      </c>
      <c r="D186" s="61" t="s">
        <v>2484</v>
      </c>
      <c r="E186" s="11" t="s">
        <v>13</v>
      </c>
    </row>
    <row r="187">
      <c r="B187" s="61" t="s">
        <v>1783</v>
      </c>
      <c r="C187" s="57" t="s">
        <v>208</v>
      </c>
      <c r="D187" s="61" t="s">
        <v>792</v>
      </c>
      <c r="E187" s="11" t="s">
        <v>9</v>
      </c>
    </row>
    <row r="188">
      <c r="B188" s="61" t="s">
        <v>2485</v>
      </c>
      <c r="C188" s="57" t="s">
        <v>24</v>
      </c>
      <c r="D188" s="61" t="s">
        <v>2177</v>
      </c>
      <c r="E188" s="11" t="s">
        <v>13</v>
      </c>
    </row>
    <row r="189">
      <c r="B189" s="61" t="s">
        <v>2177</v>
      </c>
      <c r="C189" s="57" t="s">
        <v>508</v>
      </c>
      <c r="D189" s="61" t="s">
        <v>2484</v>
      </c>
      <c r="E189" s="11" t="s">
        <v>9</v>
      </c>
    </row>
    <row r="190">
      <c r="B190" s="61" t="s">
        <v>2485</v>
      </c>
      <c r="C190" s="57" t="s">
        <v>7</v>
      </c>
      <c r="D190" s="61" t="s">
        <v>792</v>
      </c>
      <c r="E190" s="11" t="s">
        <v>13</v>
      </c>
    </row>
    <row r="191">
      <c r="B191" s="61" t="s">
        <v>2484</v>
      </c>
      <c r="C191" s="45" t="s">
        <v>23</v>
      </c>
      <c r="D191" s="61" t="s">
        <v>1783</v>
      </c>
      <c r="E191" s="11" t="s">
        <v>9</v>
      </c>
    </row>
    <row r="192">
      <c r="B192" s="61" t="s">
        <v>2177</v>
      </c>
      <c r="C192" s="45" t="s">
        <v>181</v>
      </c>
      <c r="D192" s="61" t="s">
        <v>792</v>
      </c>
      <c r="E192" s="11" t="s">
        <v>13</v>
      </c>
    </row>
    <row r="193">
      <c r="B193" s="61" t="s">
        <v>2485</v>
      </c>
      <c r="C193" s="45" t="s">
        <v>20</v>
      </c>
      <c r="D193" s="61" t="s">
        <v>1783</v>
      </c>
      <c r="E193" s="11" t="s">
        <v>9</v>
      </c>
    </row>
    <row r="194">
      <c r="B194" s="61" t="s">
        <v>2484</v>
      </c>
      <c r="C194" s="45" t="s">
        <v>193</v>
      </c>
      <c r="D194" s="61" t="s">
        <v>792</v>
      </c>
      <c r="E194" s="11" t="s">
        <v>13</v>
      </c>
    </row>
    <row r="195">
      <c r="B195" s="61" t="s">
        <v>2177</v>
      </c>
      <c r="C195" s="45" t="s">
        <v>18</v>
      </c>
      <c r="D195" s="61" t="s">
        <v>1783</v>
      </c>
      <c r="E195" s="11" t="s">
        <v>9</v>
      </c>
    </row>
    <row r="196">
      <c r="B196" s="61" t="s">
        <v>2484</v>
      </c>
      <c r="C196" s="45" t="s">
        <v>709</v>
      </c>
      <c r="D196" s="61" t="s">
        <v>2485</v>
      </c>
      <c r="E196" s="11" t="s">
        <v>13</v>
      </c>
    </row>
    <row r="197">
      <c r="B197" s="61" t="s">
        <v>792</v>
      </c>
      <c r="C197" s="45" t="s">
        <v>194</v>
      </c>
      <c r="D197" s="61" t="s">
        <v>1783</v>
      </c>
      <c r="E197" s="11" t="s">
        <v>9</v>
      </c>
    </row>
    <row r="198">
      <c r="B198" s="61" t="s">
        <v>2177</v>
      </c>
      <c r="C198" s="45" t="s">
        <v>209</v>
      </c>
      <c r="D198" s="61" t="s">
        <v>2485</v>
      </c>
      <c r="E198" s="11" t="s">
        <v>13</v>
      </c>
    </row>
    <row r="199">
      <c r="B199" s="1" t="s">
        <v>2216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1369</v>
      </c>
      <c r="C201" s="45" t="s">
        <v>774</v>
      </c>
      <c r="D201" s="61" t="s">
        <v>1877</v>
      </c>
      <c r="E201" s="11" t="s">
        <v>29</v>
      </c>
    </row>
    <row r="202">
      <c r="B202" s="61" t="s">
        <v>1246</v>
      </c>
      <c r="C202" s="45" t="s">
        <v>290</v>
      </c>
      <c r="D202" s="61" t="s">
        <v>1038</v>
      </c>
      <c r="E202" s="11" t="s">
        <v>33</v>
      </c>
    </row>
    <row r="203">
      <c r="B203" s="61" t="s">
        <v>104</v>
      </c>
      <c r="C203" s="45" t="s">
        <v>22</v>
      </c>
      <c r="D203" s="61" t="s">
        <v>1369</v>
      </c>
      <c r="E203" s="11" t="s">
        <v>29</v>
      </c>
    </row>
    <row r="204">
      <c r="B204" s="61" t="s">
        <v>1246</v>
      </c>
      <c r="C204" s="45" t="s">
        <v>525</v>
      </c>
      <c r="D204" s="61" t="s">
        <v>1877</v>
      </c>
      <c r="E204" s="11" t="s">
        <v>33</v>
      </c>
    </row>
    <row r="205">
      <c r="B205" s="61" t="s">
        <v>104</v>
      </c>
      <c r="C205" s="45" t="s">
        <v>292</v>
      </c>
      <c r="D205" s="61" t="s">
        <v>1038</v>
      </c>
      <c r="E205" s="11" t="s">
        <v>29</v>
      </c>
    </row>
    <row r="206">
      <c r="B206" s="61" t="s">
        <v>1246</v>
      </c>
      <c r="C206" s="45" t="s">
        <v>248</v>
      </c>
      <c r="D206" s="61" t="s">
        <v>1369</v>
      </c>
      <c r="E206" s="11" t="s">
        <v>33</v>
      </c>
    </row>
    <row r="207">
      <c r="B207" s="61" t="s">
        <v>104</v>
      </c>
      <c r="C207" s="45" t="s">
        <v>184</v>
      </c>
      <c r="D207" s="61" t="s">
        <v>1877</v>
      </c>
      <c r="E207" s="11" t="s">
        <v>29</v>
      </c>
    </row>
    <row r="208">
      <c r="B208" s="61" t="s">
        <v>1038</v>
      </c>
      <c r="C208" s="45" t="s">
        <v>1420</v>
      </c>
      <c r="D208" s="61" t="s">
        <v>1369</v>
      </c>
      <c r="E208" s="11" t="s">
        <v>33</v>
      </c>
    </row>
    <row r="209">
      <c r="B209" s="61" t="s">
        <v>104</v>
      </c>
      <c r="C209" s="45" t="s">
        <v>193</v>
      </c>
      <c r="D209" s="61" t="s">
        <v>1246</v>
      </c>
      <c r="E209" s="11" t="s">
        <v>29</v>
      </c>
    </row>
    <row r="210">
      <c r="B210" s="61" t="s">
        <v>1038</v>
      </c>
      <c r="C210" s="45" t="s">
        <v>233</v>
      </c>
      <c r="D210" s="61" t="s">
        <v>1877</v>
      </c>
      <c r="E210" s="11" t="s">
        <v>33</v>
      </c>
    </row>
    <row r="211">
      <c r="B211" s="61" t="s">
        <v>1877</v>
      </c>
      <c r="C211" s="45" t="s">
        <v>357</v>
      </c>
      <c r="D211" s="61" t="s">
        <v>1369</v>
      </c>
      <c r="E211" s="11" t="s">
        <v>29</v>
      </c>
    </row>
    <row r="212">
      <c r="B212" s="61" t="s">
        <v>1038</v>
      </c>
      <c r="C212" s="45" t="s">
        <v>549</v>
      </c>
      <c r="D212" s="61" t="s">
        <v>1246</v>
      </c>
      <c r="E212" s="11" t="s">
        <v>33</v>
      </c>
    </row>
    <row r="213">
      <c r="B213" s="61" t="s">
        <v>1369</v>
      </c>
      <c r="C213" s="45" t="s">
        <v>19</v>
      </c>
      <c r="D213" s="61" t="s">
        <v>104</v>
      </c>
      <c r="E213" s="11" t="s">
        <v>29</v>
      </c>
    </row>
    <row r="214">
      <c r="B214" s="61" t="s">
        <v>1877</v>
      </c>
      <c r="C214" s="45" t="s">
        <v>43</v>
      </c>
      <c r="D214" s="61" t="s">
        <v>1246</v>
      </c>
      <c r="E214" s="11" t="s">
        <v>33</v>
      </c>
    </row>
    <row r="215">
      <c r="B215" s="61" t="s">
        <v>1038</v>
      </c>
      <c r="C215" s="45" t="s">
        <v>477</v>
      </c>
      <c r="D215" s="61" t="s">
        <v>104</v>
      </c>
      <c r="E215" s="11" t="s">
        <v>29</v>
      </c>
    </row>
    <row r="216">
      <c r="B216" s="61" t="s">
        <v>1369</v>
      </c>
      <c r="C216" s="45" t="s">
        <v>41</v>
      </c>
      <c r="D216" s="61" t="s">
        <v>1246</v>
      </c>
      <c r="E216" s="11" t="s">
        <v>33</v>
      </c>
    </row>
    <row r="217">
      <c r="B217" s="61" t="s">
        <v>1877</v>
      </c>
      <c r="C217" s="45" t="s">
        <v>718</v>
      </c>
      <c r="D217" s="61" t="s">
        <v>104</v>
      </c>
      <c r="E217" s="11" t="s">
        <v>29</v>
      </c>
    </row>
    <row r="218">
      <c r="B218" s="61" t="s">
        <v>1369</v>
      </c>
      <c r="C218" s="45" t="s">
        <v>1277</v>
      </c>
      <c r="D218" s="61" t="s">
        <v>1038</v>
      </c>
      <c r="E218" s="11" t="s">
        <v>33</v>
      </c>
    </row>
    <row r="219">
      <c r="B219" s="61" t="s">
        <v>1246</v>
      </c>
      <c r="C219" s="45" t="s">
        <v>209</v>
      </c>
      <c r="D219" s="61" t="s">
        <v>104</v>
      </c>
      <c r="E219" s="11" t="s">
        <v>29</v>
      </c>
    </row>
    <row r="220">
      <c r="B220" s="61" t="s">
        <v>1877</v>
      </c>
      <c r="C220" s="45" t="s">
        <v>620</v>
      </c>
      <c r="D220" s="61" t="s">
        <v>1038</v>
      </c>
      <c r="E220" s="11" t="s">
        <v>33</v>
      </c>
    </row>
    <row r="221">
      <c r="B221" s="52" t="s">
        <v>2486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2487</v>
      </c>
      <c r="C223" s="45" t="s">
        <v>23</v>
      </c>
      <c r="D223" s="62" t="s">
        <v>2488</v>
      </c>
      <c r="E223" s="11" t="s">
        <v>29</v>
      </c>
    </row>
    <row r="224">
      <c r="B224" s="62" t="s">
        <v>2489</v>
      </c>
      <c r="C224" s="45" t="s">
        <v>155</v>
      </c>
      <c r="D224" s="62" t="s">
        <v>2490</v>
      </c>
      <c r="E224" s="11" t="s">
        <v>33</v>
      </c>
    </row>
    <row r="225">
      <c r="B225" s="62" t="s">
        <v>2113</v>
      </c>
      <c r="C225" s="45" t="s">
        <v>17</v>
      </c>
      <c r="D225" s="62" t="s">
        <v>2487</v>
      </c>
      <c r="E225" s="11" t="s">
        <v>29</v>
      </c>
    </row>
    <row r="226">
      <c r="B226" s="62" t="s">
        <v>2489</v>
      </c>
      <c r="C226" s="45" t="s">
        <v>366</v>
      </c>
      <c r="D226" s="62" t="s">
        <v>2488</v>
      </c>
      <c r="E226" s="11" t="s">
        <v>33</v>
      </c>
    </row>
    <row r="227">
      <c r="B227" s="62" t="s">
        <v>2113</v>
      </c>
      <c r="C227" s="45" t="s">
        <v>41</v>
      </c>
      <c r="D227" s="62" t="s">
        <v>2490</v>
      </c>
      <c r="E227" s="11" t="s">
        <v>29</v>
      </c>
    </row>
    <row r="228">
      <c r="B228" s="62" t="s">
        <v>2489</v>
      </c>
      <c r="C228" s="45" t="s">
        <v>180</v>
      </c>
      <c r="D228" s="62" t="s">
        <v>2487</v>
      </c>
      <c r="E228" s="11" t="s">
        <v>33</v>
      </c>
    </row>
    <row r="229">
      <c r="B229" s="62" t="s">
        <v>2113</v>
      </c>
      <c r="C229" s="45" t="s">
        <v>208</v>
      </c>
      <c r="D229" s="62" t="s">
        <v>2488</v>
      </c>
      <c r="E229" s="11" t="s">
        <v>29</v>
      </c>
    </row>
    <row r="230">
      <c r="B230" s="62" t="s">
        <v>2490</v>
      </c>
      <c r="C230" s="45" t="s">
        <v>218</v>
      </c>
      <c r="D230" s="62" t="s">
        <v>2487</v>
      </c>
      <c r="E230" s="11" t="s">
        <v>33</v>
      </c>
    </row>
    <row r="231">
      <c r="B231" s="62" t="s">
        <v>2113</v>
      </c>
      <c r="C231" s="45" t="s">
        <v>173</v>
      </c>
      <c r="D231" s="62" t="s">
        <v>2489</v>
      </c>
      <c r="E231" s="11" t="s">
        <v>29</v>
      </c>
    </row>
    <row r="232">
      <c r="B232" s="62" t="s">
        <v>2490</v>
      </c>
      <c r="C232" s="45" t="s">
        <v>41</v>
      </c>
      <c r="D232" s="62" t="s">
        <v>2488</v>
      </c>
      <c r="E232" s="11" t="s">
        <v>33</v>
      </c>
      <c r="I232" s="50"/>
    </row>
    <row r="233">
      <c r="B233" s="62" t="s">
        <v>2488</v>
      </c>
      <c r="C233" s="45" t="s">
        <v>688</v>
      </c>
      <c r="D233" s="62" t="s">
        <v>2487</v>
      </c>
      <c r="E233" s="11" t="s">
        <v>29</v>
      </c>
    </row>
    <row r="234">
      <c r="B234" s="62" t="s">
        <v>2490</v>
      </c>
      <c r="C234" s="45" t="s">
        <v>219</v>
      </c>
      <c r="D234" s="62" t="s">
        <v>2489</v>
      </c>
      <c r="E234" s="11" t="s">
        <v>33</v>
      </c>
    </row>
    <row r="235">
      <c r="B235" s="62" t="s">
        <v>2487</v>
      </c>
      <c r="C235" s="45" t="s">
        <v>404</v>
      </c>
      <c r="D235" s="62" t="s">
        <v>2113</v>
      </c>
      <c r="E235" s="11" t="s">
        <v>29</v>
      </c>
      <c r="G235" s="50"/>
    </row>
    <row r="236">
      <c r="B236" s="62" t="s">
        <v>2488</v>
      </c>
      <c r="C236" s="45" t="s">
        <v>279</v>
      </c>
      <c r="D236" s="62" t="s">
        <v>2489</v>
      </c>
      <c r="E236" s="11" t="s">
        <v>33</v>
      </c>
    </row>
    <row r="237">
      <c r="B237" s="62" t="s">
        <v>2490</v>
      </c>
      <c r="C237" s="45" t="s">
        <v>193</v>
      </c>
      <c r="D237" s="62" t="s">
        <v>2113</v>
      </c>
      <c r="E237" s="11" t="s">
        <v>29</v>
      </c>
    </row>
    <row r="238">
      <c r="B238" s="62" t="s">
        <v>2487</v>
      </c>
      <c r="C238" s="45" t="s">
        <v>1846</v>
      </c>
      <c r="D238" s="62" t="s">
        <v>2489</v>
      </c>
      <c r="E238" s="11" t="s">
        <v>33</v>
      </c>
    </row>
    <row r="239">
      <c r="B239" s="62" t="s">
        <v>2488</v>
      </c>
      <c r="C239" s="45" t="s">
        <v>23</v>
      </c>
      <c r="D239" s="62" t="s">
        <v>2113</v>
      </c>
      <c r="E239" s="11" t="s">
        <v>29</v>
      </c>
    </row>
    <row r="240">
      <c r="B240" s="62" t="s">
        <v>2487</v>
      </c>
      <c r="C240" s="45" t="s">
        <v>181</v>
      </c>
      <c r="D240" s="62" t="s">
        <v>2490</v>
      </c>
      <c r="E240" s="11" t="s">
        <v>33</v>
      </c>
    </row>
    <row r="241">
      <c r="B241" s="62" t="s">
        <v>2489</v>
      </c>
      <c r="C241" s="45" t="s">
        <v>158</v>
      </c>
      <c r="D241" s="62" t="s">
        <v>2113</v>
      </c>
      <c r="E241" s="11" t="s">
        <v>29</v>
      </c>
    </row>
    <row r="242">
      <c r="B242" s="62" t="s">
        <v>2488</v>
      </c>
      <c r="C242" s="45" t="s">
        <v>158</v>
      </c>
      <c r="D242" s="62" t="s">
        <v>2490</v>
      </c>
      <c r="E242" s="11" t="s">
        <v>33</v>
      </c>
    </row>
    <row r="243">
      <c r="B243" s="52" t="s">
        <v>1803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56" t="s">
        <v>2491</v>
      </c>
      <c r="C245" s="57" t="s">
        <v>209</v>
      </c>
      <c r="D245" s="62" t="s">
        <v>2492</v>
      </c>
      <c r="E245" s="11" t="s">
        <v>9</v>
      </c>
    </row>
    <row r="246">
      <c r="B246" s="62" t="s">
        <v>1967</v>
      </c>
      <c r="C246" s="57" t="s">
        <v>218</v>
      </c>
      <c r="D246" s="62" t="s">
        <v>2493</v>
      </c>
      <c r="E246" s="11" t="s">
        <v>13</v>
      </c>
    </row>
    <row r="247">
      <c r="B247" s="62" t="s">
        <v>1778</v>
      </c>
      <c r="C247" s="57" t="s">
        <v>181</v>
      </c>
      <c r="D247" s="56" t="s">
        <v>2491</v>
      </c>
      <c r="E247" s="11" t="s">
        <v>9</v>
      </c>
    </row>
    <row r="248">
      <c r="B248" s="62" t="s">
        <v>1967</v>
      </c>
      <c r="C248" s="57" t="s">
        <v>173</v>
      </c>
      <c r="D248" s="62" t="s">
        <v>2492</v>
      </c>
      <c r="E248" s="11" t="s">
        <v>13</v>
      </c>
    </row>
    <row r="249">
      <c r="B249" s="62" t="s">
        <v>1778</v>
      </c>
      <c r="C249" s="57" t="s">
        <v>2494</v>
      </c>
      <c r="D249" s="62" t="s">
        <v>2493</v>
      </c>
      <c r="E249" s="11" t="s">
        <v>9</v>
      </c>
    </row>
    <row r="250">
      <c r="B250" s="62" t="s">
        <v>1967</v>
      </c>
      <c r="C250" s="57" t="s">
        <v>17</v>
      </c>
      <c r="D250" s="56" t="s">
        <v>2491</v>
      </c>
      <c r="E250" s="11" t="s">
        <v>13</v>
      </c>
    </row>
    <row r="251">
      <c r="B251" s="62" t="s">
        <v>1778</v>
      </c>
      <c r="C251" s="57" t="s">
        <v>210</v>
      </c>
      <c r="D251" s="62" t="s">
        <v>2492</v>
      </c>
      <c r="E251" s="11" t="s">
        <v>9</v>
      </c>
    </row>
    <row r="252">
      <c r="B252" s="62" t="s">
        <v>2493</v>
      </c>
      <c r="C252" s="57" t="s">
        <v>251</v>
      </c>
      <c r="D252" s="56" t="s">
        <v>2491</v>
      </c>
      <c r="E252" s="11" t="s">
        <v>13</v>
      </c>
    </row>
    <row r="253">
      <c r="B253" s="62" t="s">
        <v>1778</v>
      </c>
      <c r="C253" s="57" t="s">
        <v>158</v>
      </c>
      <c r="D253" s="62" t="s">
        <v>1967</v>
      </c>
      <c r="E253" s="11" t="s">
        <v>9</v>
      </c>
    </row>
    <row r="254">
      <c r="B254" s="62" t="s">
        <v>2493</v>
      </c>
      <c r="C254" s="57" t="s">
        <v>219</v>
      </c>
      <c r="D254" s="62" t="s">
        <v>2492</v>
      </c>
      <c r="E254" s="11" t="s">
        <v>13</v>
      </c>
    </row>
    <row r="255">
      <c r="B255" s="62" t="s">
        <v>2492</v>
      </c>
      <c r="C255" s="57" t="s">
        <v>448</v>
      </c>
      <c r="D255" s="56" t="s">
        <v>2491</v>
      </c>
      <c r="E255" s="11" t="s">
        <v>9</v>
      </c>
    </row>
    <row r="256">
      <c r="B256" s="62" t="s">
        <v>2493</v>
      </c>
      <c r="C256" s="57" t="s">
        <v>164</v>
      </c>
      <c r="D256" s="62" t="s">
        <v>1967</v>
      </c>
      <c r="E256" s="11" t="s">
        <v>13</v>
      </c>
    </row>
    <row r="257">
      <c r="B257" s="56" t="s">
        <v>2491</v>
      </c>
      <c r="C257" s="45" t="s">
        <v>271</v>
      </c>
      <c r="D257" s="62" t="s">
        <v>1778</v>
      </c>
      <c r="E257" s="11" t="s">
        <v>9</v>
      </c>
    </row>
    <row r="258">
      <c r="B258" s="62" t="s">
        <v>2492</v>
      </c>
      <c r="C258" s="45" t="s">
        <v>18</v>
      </c>
      <c r="D258" s="62" t="s">
        <v>1967</v>
      </c>
      <c r="E258" s="11" t="s">
        <v>13</v>
      </c>
    </row>
    <row r="259">
      <c r="B259" s="62" t="s">
        <v>2493</v>
      </c>
      <c r="C259" s="45" t="s">
        <v>20</v>
      </c>
      <c r="D259" s="62" t="s">
        <v>1778</v>
      </c>
      <c r="E259" s="11" t="s">
        <v>9</v>
      </c>
    </row>
    <row r="260">
      <c r="B260" s="56" t="s">
        <v>2491</v>
      </c>
      <c r="C260" s="45" t="s">
        <v>302</v>
      </c>
      <c r="D260" s="62" t="s">
        <v>1967</v>
      </c>
      <c r="E260" s="11" t="s">
        <v>13</v>
      </c>
    </row>
    <row r="261">
      <c r="B261" s="62" t="s">
        <v>2492</v>
      </c>
      <c r="C261" s="45" t="s">
        <v>162</v>
      </c>
      <c r="D261" s="62" t="s">
        <v>1778</v>
      </c>
      <c r="E261" s="11" t="s">
        <v>9</v>
      </c>
    </row>
    <row r="262">
      <c r="B262" s="56" t="s">
        <v>2491</v>
      </c>
      <c r="C262" s="45" t="s">
        <v>375</v>
      </c>
      <c r="D262" s="62" t="s">
        <v>2493</v>
      </c>
      <c r="E262" s="11" t="s">
        <v>13</v>
      </c>
    </row>
    <row r="263">
      <c r="B263" s="62" t="s">
        <v>1967</v>
      </c>
      <c r="C263" s="45" t="s">
        <v>248</v>
      </c>
      <c r="D263" s="62" t="s">
        <v>1778</v>
      </c>
      <c r="E263" s="11" t="s">
        <v>9</v>
      </c>
    </row>
    <row r="264">
      <c r="B264" s="62" t="s">
        <v>2492</v>
      </c>
      <c r="C264" s="45" t="s">
        <v>344</v>
      </c>
      <c r="D264" s="62" t="s">
        <v>2493</v>
      </c>
      <c r="E264" s="11" t="s">
        <v>13</v>
      </c>
    </row>
    <row r="265">
      <c r="B265" s="52" t="s">
        <v>2495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809</v>
      </c>
      <c r="C267" s="45" t="s">
        <v>158</v>
      </c>
      <c r="D267" s="62" t="s">
        <v>983</v>
      </c>
      <c r="E267" s="11" t="s">
        <v>9</v>
      </c>
    </row>
    <row r="268">
      <c r="B268" s="62" t="s">
        <v>2496</v>
      </c>
      <c r="C268" s="45" t="s">
        <v>17</v>
      </c>
      <c r="D268" s="62" t="s">
        <v>2497</v>
      </c>
      <c r="E268" s="11" t="s">
        <v>13</v>
      </c>
    </row>
    <row r="269">
      <c r="B269" s="62" t="s">
        <v>2498</v>
      </c>
      <c r="C269" s="45" t="s">
        <v>155</v>
      </c>
      <c r="D269" s="62" t="s">
        <v>809</v>
      </c>
      <c r="E269" s="11" t="s">
        <v>9</v>
      </c>
    </row>
    <row r="270">
      <c r="B270" s="62" t="s">
        <v>2496</v>
      </c>
      <c r="C270" s="45" t="s">
        <v>7</v>
      </c>
      <c r="D270" s="62" t="s">
        <v>983</v>
      </c>
      <c r="E270" s="11" t="s">
        <v>13</v>
      </c>
    </row>
    <row r="271">
      <c r="B271" s="62" t="s">
        <v>2498</v>
      </c>
      <c r="C271" s="45" t="s">
        <v>162</v>
      </c>
      <c r="D271" s="62" t="s">
        <v>2497</v>
      </c>
      <c r="E271" s="11" t="s">
        <v>9</v>
      </c>
    </row>
    <row r="272">
      <c r="B272" s="62" t="s">
        <v>2496</v>
      </c>
      <c r="C272" s="45" t="s">
        <v>219</v>
      </c>
      <c r="D272" s="62" t="s">
        <v>809</v>
      </c>
      <c r="E272" s="11" t="s">
        <v>13</v>
      </c>
    </row>
    <row r="273">
      <c r="B273" s="62" t="s">
        <v>2498</v>
      </c>
      <c r="C273" s="45" t="s">
        <v>155</v>
      </c>
      <c r="D273" s="62" t="s">
        <v>983</v>
      </c>
      <c r="E273" s="11" t="s">
        <v>9</v>
      </c>
    </row>
    <row r="274">
      <c r="B274" s="62" t="s">
        <v>2497</v>
      </c>
      <c r="C274" s="45" t="s">
        <v>19</v>
      </c>
      <c r="D274" s="62" t="s">
        <v>809</v>
      </c>
      <c r="E274" s="11" t="s">
        <v>13</v>
      </c>
    </row>
    <row r="275">
      <c r="B275" s="62" t="s">
        <v>2498</v>
      </c>
      <c r="C275" s="45" t="s">
        <v>245</v>
      </c>
      <c r="D275" s="62" t="s">
        <v>2496</v>
      </c>
      <c r="E275" s="11" t="s">
        <v>9</v>
      </c>
    </row>
    <row r="276">
      <c r="B276" s="62" t="s">
        <v>2497</v>
      </c>
      <c r="C276" s="45" t="s">
        <v>193</v>
      </c>
      <c r="D276" s="62" t="s">
        <v>983</v>
      </c>
      <c r="E276" s="11" t="s">
        <v>13</v>
      </c>
    </row>
    <row r="277">
      <c r="B277" s="62" t="s">
        <v>983</v>
      </c>
      <c r="C277" s="45" t="s">
        <v>20</v>
      </c>
      <c r="D277" s="62" t="s">
        <v>809</v>
      </c>
      <c r="E277" s="11" t="s">
        <v>9</v>
      </c>
    </row>
    <row r="278">
      <c r="B278" s="62" t="s">
        <v>2497</v>
      </c>
      <c r="C278" s="45" t="s">
        <v>193</v>
      </c>
      <c r="D278" s="62" t="s">
        <v>2496</v>
      </c>
      <c r="E278" s="11" t="s">
        <v>13</v>
      </c>
    </row>
    <row r="279">
      <c r="B279" s="62" t="s">
        <v>809</v>
      </c>
      <c r="C279" s="45" t="s">
        <v>41</v>
      </c>
      <c r="D279" s="62" t="s">
        <v>2498</v>
      </c>
      <c r="E279" s="11" t="s">
        <v>9</v>
      </c>
    </row>
    <row r="280">
      <c r="B280" s="62" t="s">
        <v>983</v>
      </c>
      <c r="C280" s="45" t="s">
        <v>185</v>
      </c>
      <c r="D280" s="62" t="s">
        <v>2496</v>
      </c>
      <c r="E280" s="11" t="s">
        <v>13</v>
      </c>
    </row>
    <row r="281">
      <c r="B281" s="62" t="s">
        <v>2497</v>
      </c>
      <c r="C281" s="45" t="s">
        <v>158</v>
      </c>
      <c r="D281" s="62" t="s">
        <v>2498</v>
      </c>
      <c r="E281" s="11" t="s">
        <v>9</v>
      </c>
    </row>
    <row r="282">
      <c r="B282" s="62" t="s">
        <v>809</v>
      </c>
      <c r="C282" s="45" t="s">
        <v>181</v>
      </c>
      <c r="D282" s="62" t="s">
        <v>2496</v>
      </c>
      <c r="E282" s="11" t="s">
        <v>13</v>
      </c>
    </row>
    <row r="283">
      <c r="B283" s="62" t="s">
        <v>983</v>
      </c>
      <c r="C283" s="45" t="s">
        <v>958</v>
      </c>
      <c r="D283" s="62" t="s">
        <v>2498</v>
      </c>
      <c r="E283" s="11" t="s">
        <v>9</v>
      </c>
    </row>
    <row r="284">
      <c r="B284" s="62" t="s">
        <v>809</v>
      </c>
      <c r="C284" s="45" t="s">
        <v>209</v>
      </c>
      <c r="D284" s="62" t="s">
        <v>2497</v>
      </c>
      <c r="E284" s="11" t="s">
        <v>13</v>
      </c>
    </row>
    <row r="285">
      <c r="B285" s="62" t="s">
        <v>2496</v>
      </c>
      <c r="C285" s="45" t="s">
        <v>233</v>
      </c>
      <c r="D285" s="62" t="s">
        <v>2498</v>
      </c>
      <c r="E285" s="11" t="s">
        <v>9</v>
      </c>
    </row>
    <row r="286">
      <c r="B286" s="62" t="s">
        <v>983</v>
      </c>
      <c r="C286" s="45" t="s">
        <v>17</v>
      </c>
      <c r="D286" s="62" t="s">
        <v>2497</v>
      </c>
      <c r="E286" s="11" t="s">
        <v>13</v>
      </c>
    </row>
    <row r="287">
      <c r="B287" s="52" t="s">
        <v>2294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2499</v>
      </c>
      <c r="C289" s="45" t="s">
        <v>38</v>
      </c>
      <c r="D289" s="62" t="s">
        <v>1367</v>
      </c>
      <c r="E289" s="11" t="s">
        <v>29</v>
      </c>
    </row>
    <row r="290">
      <c r="B290" s="62" t="s">
        <v>805</v>
      </c>
      <c r="C290" s="45" t="s">
        <v>351</v>
      </c>
      <c r="D290" s="62" t="s">
        <v>2500</v>
      </c>
      <c r="E290" s="11" t="s">
        <v>33</v>
      </c>
    </row>
    <row r="291">
      <c r="B291" s="62" t="s">
        <v>2501</v>
      </c>
      <c r="C291" s="45" t="s">
        <v>908</v>
      </c>
      <c r="D291" s="62" t="s">
        <v>2499</v>
      </c>
      <c r="E291" s="11" t="s">
        <v>29</v>
      </c>
    </row>
    <row r="292">
      <c r="B292" s="62" t="s">
        <v>805</v>
      </c>
      <c r="C292" s="45" t="s">
        <v>16</v>
      </c>
      <c r="D292" s="62" t="s">
        <v>1367</v>
      </c>
      <c r="E292" s="11" t="s">
        <v>33</v>
      </c>
    </row>
    <row r="293">
      <c r="B293" s="62" t="s">
        <v>2501</v>
      </c>
      <c r="C293" s="45" t="s">
        <v>442</v>
      </c>
      <c r="D293" s="62" t="s">
        <v>2500</v>
      </c>
      <c r="E293" s="11" t="s">
        <v>29</v>
      </c>
      <c r="I293" s="50"/>
    </row>
    <row r="294">
      <c r="B294" s="62" t="s">
        <v>805</v>
      </c>
      <c r="C294" s="45" t="s">
        <v>7</v>
      </c>
      <c r="D294" s="62" t="s">
        <v>2499</v>
      </c>
      <c r="E294" s="11" t="s">
        <v>33</v>
      </c>
    </row>
    <row r="295">
      <c r="B295" s="62" t="s">
        <v>2501</v>
      </c>
      <c r="C295" s="45" t="s">
        <v>344</v>
      </c>
      <c r="D295" s="62" t="s">
        <v>1367</v>
      </c>
      <c r="E295" s="11" t="s">
        <v>29</v>
      </c>
    </row>
    <row r="296">
      <c r="B296" s="62" t="s">
        <v>2500</v>
      </c>
      <c r="C296" s="45" t="s">
        <v>751</v>
      </c>
      <c r="D296" s="62" t="s">
        <v>2499</v>
      </c>
      <c r="E296" s="11" t="s">
        <v>33</v>
      </c>
    </row>
    <row r="297">
      <c r="B297" s="62" t="s">
        <v>2501</v>
      </c>
      <c r="C297" s="45" t="s">
        <v>507</v>
      </c>
      <c r="D297" s="62" t="s">
        <v>805</v>
      </c>
      <c r="E297" s="11" t="s">
        <v>29</v>
      </c>
    </row>
    <row r="298">
      <c r="B298" s="62" t="s">
        <v>2500</v>
      </c>
      <c r="C298" s="45" t="s">
        <v>222</v>
      </c>
      <c r="D298" s="62" t="s">
        <v>1367</v>
      </c>
      <c r="E298" s="11" t="s">
        <v>33</v>
      </c>
    </row>
    <row r="299">
      <c r="B299" s="62" t="s">
        <v>1367</v>
      </c>
      <c r="C299" s="45" t="s">
        <v>325</v>
      </c>
      <c r="D299" s="62" t="s">
        <v>2499</v>
      </c>
      <c r="E299" s="11" t="s">
        <v>29</v>
      </c>
    </row>
    <row r="300">
      <c r="B300" s="62" t="s">
        <v>2500</v>
      </c>
      <c r="C300" s="45" t="s">
        <v>335</v>
      </c>
      <c r="D300" s="62" t="s">
        <v>805</v>
      </c>
      <c r="E300" s="11" t="s">
        <v>33</v>
      </c>
    </row>
    <row r="301">
      <c r="B301" s="62" t="s">
        <v>2499</v>
      </c>
      <c r="C301" s="45" t="s">
        <v>344</v>
      </c>
      <c r="D301" s="62" t="s">
        <v>2501</v>
      </c>
      <c r="E301" s="11" t="s">
        <v>29</v>
      </c>
    </row>
    <row r="302">
      <c r="B302" s="62" t="s">
        <v>1367</v>
      </c>
      <c r="C302" s="45" t="s">
        <v>18</v>
      </c>
      <c r="D302" s="62" t="s">
        <v>805</v>
      </c>
      <c r="E302" s="11" t="s">
        <v>33</v>
      </c>
    </row>
    <row r="303">
      <c r="B303" s="62" t="s">
        <v>2500</v>
      </c>
      <c r="C303" s="45" t="s">
        <v>158</v>
      </c>
      <c r="D303" s="62" t="s">
        <v>2501</v>
      </c>
      <c r="E303" s="11" t="s">
        <v>29</v>
      </c>
    </row>
    <row r="304">
      <c r="B304" s="62" t="s">
        <v>2499</v>
      </c>
      <c r="C304" s="45" t="s">
        <v>233</v>
      </c>
      <c r="D304" s="62" t="s">
        <v>805</v>
      </c>
      <c r="E304" s="11" t="s">
        <v>33</v>
      </c>
    </row>
    <row r="305">
      <c r="B305" s="62" t="s">
        <v>1367</v>
      </c>
      <c r="C305" s="45" t="s">
        <v>41</v>
      </c>
      <c r="D305" s="62" t="s">
        <v>2501</v>
      </c>
      <c r="E305" s="11" t="s">
        <v>29</v>
      </c>
    </row>
    <row r="306">
      <c r="B306" s="62" t="s">
        <v>2499</v>
      </c>
      <c r="C306" s="45" t="s">
        <v>163</v>
      </c>
      <c r="D306" s="62" t="s">
        <v>2500</v>
      </c>
      <c r="E306" s="11" t="s">
        <v>33</v>
      </c>
    </row>
    <row r="307">
      <c r="B307" s="62" t="s">
        <v>805</v>
      </c>
      <c r="C307" s="45" t="s">
        <v>2502</v>
      </c>
      <c r="D307" s="62" t="s">
        <v>2501</v>
      </c>
      <c r="E307" s="11" t="s">
        <v>29</v>
      </c>
    </row>
    <row r="308">
      <c r="B308" s="62" t="s">
        <v>1367</v>
      </c>
      <c r="C308" s="45" t="s">
        <v>193</v>
      </c>
      <c r="D308" s="62" t="s">
        <v>2500</v>
      </c>
      <c r="E308" s="11" t="s">
        <v>33</v>
      </c>
    </row>
    <row r="309">
      <c r="B309" s="52" t="s">
        <v>2503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2504</v>
      </c>
      <c r="C311" s="45" t="s">
        <v>23</v>
      </c>
      <c r="D311" s="62" t="s">
        <v>2505</v>
      </c>
      <c r="E311" s="11" t="s">
        <v>29</v>
      </c>
    </row>
    <row r="312">
      <c r="B312" s="62" t="s">
        <v>1596</v>
      </c>
      <c r="C312" s="45" t="s">
        <v>570</v>
      </c>
      <c r="D312" s="62" t="s">
        <v>676</v>
      </c>
      <c r="E312" s="11" t="s">
        <v>33</v>
      </c>
    </row>
    <row r="313">
      <c r="B313" s="62" t="s">
        <v>2506</v>
      </c>
      <c r="C313" s="45" t="s">
        <v>17</v>
      </c>
      <c r="D313" s="62" t="s">
        <v>2504</v>
      </c>
      <c r="E313" s="11" t="s">
        <v>29</v>
      </c>
    </row>
    <row r="314">
      <c r="B314" s="62" t="s">
        <v>1596</v>
      </c>
      <c r="C314" s="45" t="s">
        <v>210</v>
      </c>
      <c r="D314" s="62" t="s">
        <v>2505</v>
      </c>
      <c r="E314" s="11" t="s">
        <v>33</v>
      </c>
    </row>
    <row r="315">
      <c r="B315" s="62" t="s">
        <v>2506</v>
      </c>
      <c r="C315" s="45" t="s">
        <v>327</v>
      </c>
      <c r="D315" s="62" t="s">
        <v>676</v>
      </c>
      <c r="E315" s="11" t="s">
        <v>29</v>
      </c>
    </row>
    <row r="316">
      <c r="B316" s="62" t="s">
        <v>1596</v>
      </c>
      <c r="C316" s="45" t="s">
        <v>290</v>
      </c>
      <c r="D316" s="62" t="s">
        <v>2504</v>
      </c>
      <c r="E316" s="11" t="s">
        <v>33</v>
      </c>
    </row>
    <row r="317">
      <c r="B317" s="62" t="s">
        <v>2506</v>
      </c>
      <c r="C317" s="45" t="s">
        <v>244</v>
      </c>
      <c r="D317" s="62" t="s">
        <v>2505</v>
      </c>
      <c r="E317" s="11" t="s">
        <v>29</v>
      </c>
    </row>
    <row r="318">
      <c r="B318" s="62" t="s">
        <v>676</v>
      </c>
      <c r="C318" s="45" t="s">
        <v>1590</v>
      </c>
      <c r="D318" s="62" t="s">
        <v>2504</v>
      </c>
      <c r="E318" s="11" t="s">
        <v>33</v>
      </c>
    </row>
    <row r="319">
      <c r="B319" s="62" t="s">
        <v>2506</v>
      </c>
      <c r="C319" s="45" t="s">
        <v>433</v>
      </c>
      <c r="D319" s="62" t="s">
        <v>1596</v>
      </c>
      <c r="E319" s="11" t="s">
        <v>29</v>
      </c>
    </row>
    <row r="320">
      <c r="B320" s="62" t="s">
        <v>676</v>
      </c>
      <c r="C320" s="45" t="s">
        <v>14</v>
      </c>
      <c r="D320" s="62" t="s">
        <v>2505</v>
      </c>
      <c r="E320" s="11" t="s">
        <v>33</v>
      </c>
    </row>
    <row r="321">
      <c r="B321" s="62" t="s">
        <v>2505</v>
      </c>
      <c r="C321" s="45" t="s">
        <v>264</v>
      </c>
      <c r="D321" s="62" t="s">
        <v>2504</v>
      </c>
      <c r="E321" s="11" t="s">
        <v>29</v>
      </c>
    </row>
    <row r="322">
      <c r="B322" s="62" t="s">
        <v>676</v>
      </c>
      <c r="C322" s="45" t="s">
        <v>44</v>
      </c>
      <c r="D322" s="62" t="s">
        <v>1596</v>
      </c>
      <c r="E322" s="11" t="s">
        <v>33</v>
      </c>
    </row>
    <row r="323">
      <c r="B323" s="62" t="s">
        <v>2504</v>
      </c>
      <c r="C323" s="45" t="s">
        <v>233</v>
      </c>
      <c r="D323" s="62" t="s">
        <v>2506</v>
      </c>
      <c r="E323" s="11" t="s">
        <v>29</v>
      </c>
    </row>
    <row r="324">
      <c r="B324" s="62" t="s">
        <v>2505</v>
      </c>
      <c r="C324" s="45" t="s">
        <v>18</v>
      </c>
      <c r="D324" s="62" t="s">
        <v>1596</v>
      </c>
      <c r="E324" s="11" t="s">
        <v>33</v>
      </c>
    </row>
    <row r="325">
      <c r="B325" s="62" t="s">
        <v>676</v>
      </c>
      <c r="C325" s="45" t="s">
        <v>324</v>
      </c>
      <c r="D325" s="62" t="s">
        <v>2506</v>
      </c>
      <c r="E325" s="11" t="s">
        <v>29</v>
      </c>
    </row>
    <row r="326">
      <c r="B326" s="62" t="s">
        <v>2504</v>
      </c>
      <c r="C326" s="45" t="s">
        <v>549</v>
      </c>
      <c r="D326" s="62" t="s">
        <v>1596</v>
      </c>
      <c r="E326" s="11" t="s">
        <v>33</v>
      </c>
    </row>
    <row r="327">
      <c r="B327" s="62" t="s">
        <v>2505</v>
      </c>
      <c r="C327" s="45" t="s">
        <v>357</v>
      </c>
      <c r="D327" s="62" t="s">
        <v>2506</v>
      </c>
      <c r="E327" s="11" t="s">
        <v>29</v>
      </c>
    </row>
    <row r="328">
      <c r="B328" s="62" t="s">
        <v>2504</v>
      </c>
      <c r="C328" s="45" t="s">
        <v>2507</v>
      </c>
      <c r="D328" s="62" t="s">
        <v>676</v>
      </c>
      <c r="E328" s="11" t="s">
        <v>33</v>
      </c>
    </row>
    <row r="329">
      <c r="B329" s="62" t="s">
        <v>1596</v>
      </c>
      <c r="C329" s="45" t="s">
        <v>395</v>
      </c>
      <c r="D329" s="62" t="s">
        <v>2506</v>
      </c>
      <c r="E329" s="11" t="s">
        <v>29</v>
      </c>
    </row>
    <row r="330">
      <c r="B330" s="62" t="s">
        <v>2505</v>
      </c>
      <c r="C330" s="45" t="s">
        <v>23</v>
      </c>
      <c r="D330" s="62" t="s">
        <v>676</v>
      </c>
      <c r="E330" s="11" t="s">
        <v>33</v>
      </c>
    </row>
    <row r="331">
      <c r="B331" s="52" t="s">
        <v>2375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2508</v>
      </c>
      <c r="C333" s="57" t="s">
        <v>23</v>
      </c>
      <c r="D333" s="62" t="s">
        <v>2509</v>
      </c>
      <c r="E333" s="11" t="s">
        <v>9</v>
      </c>
    </row>
    <row r="334">
      <c r="B334" s="62" t="s">
        <v>2510</v>
      </c>
      <c r="C334" s="57" t="s">
        <v>185</v>
      </c>
      <c r="D334" s="62" t="s">
        <v>2511</v>
      </c>
      <c r="E334" s="11" t="s">
        <v>13</v>
      </c>
    </row>
    <row r="335">
      <c r="B335" s="62" t="s">
        <v>2512</v>
      </c>
      <c r="C335" s="57" t="s">
        <v>185</v>
      </c>
      <c r="D335" s="62" t="s">
        <v>2508</v>
      </c>
      <c r="E335" s="11" t="s">
        <v>9</v>
      </c>
    </row>
    <row r="336">
      <c r="B336" s="62" t="s">
        <v>2510</v>
      </c>
      <c r="C336" s="57" t="s">
        <v>239</v>
      </c>
      <c r="D336" s="62" t="s">
        <v>2509</v>
      </c>
      <c r="E336" s="11" t="s">
        <v>13</v>
      </c>
    </row>
    <row r="337">
      <c r="B337" s="62" t="s">
        <v>2512</v>
      </c>
      <c r="C337" s="57" t="s">
        <v>271</v>
      </c>
      <c r="D337" s="62" t="s">
        <v>2511</v>
      </c>
      <c r="E337" s="11" t="s">
        <v>9</v>
      </c>
    </row>
    <row r="338">
      <c r="B338" s="62" t="s">
        <v>2510</v>
      </c>
      <c r="C338" s="57" t="s">
        <v>27</v>
      </c>
      <c r="D338" s="62" t="s">
        <v>2508</v>
      </c>
      <c r="E338" s="11" t="s">
        <v>13</v>
      </c>
    </row>
    <row r="339">
      <c r="B339" s="62" t="s">
        <v>2512</v>
      </c>
      <c r="C339" s="57" t="s">
        <v>210</v>
      </c>
      <c r="D339" s="62" t="s">
        <v>2509</v>
      </c>
      <c r="E339" s="11" t="s">
        <v>9</v>
      </c>
    </row>
    <row r="340">
      <c r="B340" s="62" t="s">
        <v>2511</v>
      </c>
      <c r="C340" s="57" t="s">
        <v>43</v>
      </c>
      <c r="D340" s="62" t="s">
        <v>2508</v>
      </c>
      <c r="E340" s="11" t="s">
        <v>13</v>
      </c>
    </row>
    <row r="341">
      <c r="B341" s="62" t="s">
        <v>2512</v>
      </c>
      <c r="C341" s="57" t="s">
        <v>216</v>
      </c>
      <c r="D341" s="62" t="s">
        <v>2510</v>
      </c>
      <c r="E341" s="11" t="s">
        <v>9</v>
      </c>
    </row>
    <row r="342">
      <c r="B342" s="62" t="s">
        <v>2511</v>
      </c>
      <c r="C342" s="57" t="s">
        <v>42</v>
      </c>
      <c r="D342" s="62" t="s">
        <v>2509</v>
      </c>
      <c r="E342" s="11" t="s">
        <v>13</v>
      </c>
    </row>
    <row r="343">
      <c r="B343" s="62" t="s">
        <v>2509</v>
      </c>
      <c r="C343" s="57" t="s">
        <v>158</v>
      </c>
      <c r="D343" s="62" t="s">
        <v>2508</v>
      </c>
      <c r="E343" s="11" t="s">
        <v>9</v>
      </c>
    </row>
    <row r="344">
      <c r="B344" s="62" t="s">
        <v>2511</v>
      </c>
      <c r="C344" s="57" t="s">
        <v>1226</v>
      </c>
      <c r="D344" s="62" t="s">
        <v>2510</v>
      </c>
      <c r="E344" s="11" t="s">
        <v>13</v>
      </c>
      <c r="G344" s="50" t="s">
        <v>861</v>
      </c>
    </row>
    <row r="345">
      <c r="B345" s="62" t="s">
        <v>2508</v>
      </c>
      <c r="C345" s="45" t="s">
        <v>1015</v>
      </c>
      <c r="D345" s="62" t="s">
        <v>2512</v>
      </c>
      <c r="E345" s="11" t="s">
        <v>9</v>
      </c>
    </row>
    <row r="346">
      <c r="B346" s="62" t="s">
        <v>2509</v>
      </c>
      <c r="C346" s="45" t="s">
        <v>194</v>
      </c>
      <c r="D346" s="62" t="s">
        <v>2510</v>
      </c>
      <c r="E346" s="11" t="s">
        <v>13</v>
      </c>
    </row>
    <row r="347">
      <c r="B347" s="62" t="s">
        <v>2511</v>
      </c>
      <c r="C347" s="45" t="s">
        <v>230</v>
      </c>
      <c r="D347" s="62" t="s">
        <v>2512</v>
      </c>
      <c r="E347" s="11" t="s">
        <v>9</v>
      </c>
    </row>
    <row r="348">
      <c r="B348" s="62" t="s">
        <v>2508</v>
      </c>
      <c r="C348" s="45" t="s">
        <v>165</v>
      </c>
      <c r="D348" s="62" t="s">
        <v>2510</v>
      </c>
      <c r="E348" s="11" t="s">
        <v>13</v>
      </c>
    </row>
    <row r="349">
      <c r="B349" s="62" t="s">
        <v>2509</v>
      </c>
      <c r="C349" s="45" t="s">
        <v>2396</v>
      </c>
      <c r="D349" s="62" t="s">
        <v>2512</v>
      </c>
      <c r="E349" s="11" t="s">
        <v>9</v>
      </c>
    </row>
    <row r="350">
      <c r="B350" s="62" t="s">
        <v>2508</v>
      </c>
      <c r="C350" s="45" t="s">
        <v>233</v>
      </c>
      <c r="D350" s="62" t="s">
        <v>2511</v>
      </c>
      <c r="E350" s="11" t="s">
        <v>13</v>
      </c>
    </row>
    <row r="351">
      <c r="B351" s="62" t="s">
        <v>2510</v>
      </c>
      <c r="C351" s="45" t="s">
        <v>23</v>
      </c>
      <c r="D351" s="62" t="s">
        <v>2512</v>
      </c>
      <c r="E351" s="11" t="s">
        <v>9</v>
      </c>
    </row>
    <row r="352">
      <c r="B352" s="62" t="s">
        <v>2509</v>
      </c>
      <c r="C352" s="45" t="s">
        <v>245</v>
      </c>
      <c r="D352" s="62" t="s">
        <v>2511</v>
      </c>
      <c r="E352" s="11" t="s">
        <v>13</v>
      </c>
    </row>
    <row r="353">
      <c r="B353" s="52" t="s">
        <v>2513</v>
      </c>
      <c r="C353" s="2"/>
      <c r="D353" s="3"/>
      <c r="E353" s="53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2" t="s">
        <v>2514</v>
      </c>
      <c r="C355" s="45" t="s">
        <v>225</v>
      </c>
      <c r="D355" s="62" t="s">
        <v>2016</v>
      </c>
      <c r="E355" s="11" t="s">
        <v>29</v>
      </c>
    </row>
    <row r="356">
      <c r="B356" s="62" t="s">
        <v>1839</v>
      </c>
      <c r="C356" s="45" t="s">
        <v>24</v>
      </c>
      <c r="D356" s="62" t="s">
        <v>2014</v>
      </c>
      <c r="E356" s="11" t="s">
        <v>33</v>
      </c>
    </row>
    <row r="357">
      <c r="B357" s="62" t="s">
        <v>2515</v>
      </c>
      <c r="C357" s="45" t="s">
        <v>11</v>
      </c>
      <c r="D357" s="62" t="s">
        <v>2514</v>
      </c>
      <c r="E357" s="11" t="s">
        <v>29</v>
      </c>
    </row>
    <row r="358">
      <c r="B358" s="62" t="s">
        <v>1839</v>
      </c>
      <c r="C358" s="45" t="s">
        <v>41</v>
      </c>
      <c r="D358" s="62" t="s">
        <v>2016</v>
      </c>
      <c r="E358" s="11" t="s">
        <v>33</v>
      </c>
    </row>
    <row r="359">
      <c r="B359" s="62" t="s">
        <v>2515</v>
      </c>
      <c r="C359" s="45" t="s">
        <v>271</v>
      </c>
      <c r="D359" s="62" t="s">
        <v>2014</v>
      </c>
      <c r="E359" s="11" t="s">
        <v>29</v>
      </c>
    </row>
    <row r="360">
      <c r="B360" s="62" t="s">
        <v>1839</v>
      </c>
      <c r="C360" s="45" t="s">
        <v>290</v>
      </c>
      <c r="D360" s="62" t="s">
        <v>2514</v>
      </c>
      <c r="E360" s="11" t="s">
        <v>33</v>
      </c>
    </row>
    <row r="361">
      <c r="B361" s="62" t="s">
        <v>2515</v>
      </c>
      <c r="C361" s="45" t="s">
        <v>23</v>
      </c>
      <c r="D361" s="62" t="s">
        <v>2016</v>
      </c>
      <c r="E361" s="11" t="s">
        <v>29</v>
      </c>
    </row>
    <row r="362">
      <c r="B362" s="62" t="s">
        <v>2014</v>
      </c>
      <c r="C362" s="45" t="s">
        <v>280</v>
      </c>
      <c r="D362" s="62" t="s">
        <v>2514</v>
      </c>
      <c r="E362" s="11" t="s">
        <v>33</v>
      </c>
    </row>
    <row r="363">
      <c r="B363" s="62" t="s">
        <v>2515</v>
      </c>
      <c r="C363" s="45" t="s">
        <v>17</v>
      </c>
      <c r="D363" s="62" t="s">
        <v>1839</v>
      </c>
      <c r="E363" s="11" t="s">
        <v>29</v>
      </c>
      <c r="N363" s="50" t="s">
        <v>861</v>
      </c>
    </row>
    <row r="364">
      <c r="B364" s="62" t="s">
        <v>2014</v>
      </c>
      <c r="C364" s="45" t="s">
        <v>43</v>
      </c>
      <c r="D364" s="62" t="s">
        <v>2016</v>
      </c>
      <c r="E364" s="11" t="s">
        <v>33</v>
      </c>
    </row>
    <row r="365">
      <c r="B365" s="62" t="s">
        <v>2016</v>
      </c>
      <c r="C365" s="45" t="s">
        <v>20</v>
      </c>
      <c r="D365" s="62" t="s">
        <v>2514</v>
      </c>
      <c r="E365" s="11" t="s">
        <v>29</v>
      </c>
    </row>
    <row r="366">
      <c r="B366" s="62" t="s">
        <v>2014</v>
      </c>
      <c r="C366" s="45" t="s">
        <v>19</v>
      </c>
      <c r="D366" s="62" t="s">
        <v>1839</v>
      </c>
      <c r="E366" s="11" t="s">
        <v>33</v>
      </c>
    </row>
    <row r="367">
      <c r="B367" s="62" t="s">
        <v>2514</v>
      </c>
      <c r="C367" s="45" t="s">
        <v>43</v>
      </c>
      <c r="D367" s="62" t="s">
        <v>2515</v>
      </c>
      <c r="E367" s="11" t="s">
        <v>29</v>
      </c>
    </row>
    <row r="368">
      <c r="B368" s="62" t="s">
        <v>2016</v>
      </c>
      <c r="C368" s="45" t="s">
        <v>281</v>
      </c>
      <c r="D368" s="62" t="s">
        <v>1839</v>
      </c>
      <c r="E368" s="11" t="s">
        <v>33</v>
      </c>
    </row>
    <row r="369">
      <c r="B369" s="62" t="s">
        <v>2014</v>
      </c>
      <c r="C369" s="45" t="s">
        <v>281</v>
      </c>
      <c r="D369" s="62" t="s">
        <v>2515</v>
      </c>
      <c r="E369" s="11" t="s">
        <v>29</v>
      </c>
    </row>
    <row r="370">
      <c r="B370" s="62" t="s">
        <v>2514</v>
      </c>
      <c r="C370" s="45" t="s">
        <v>41</v>
      </c>
      <c r="D370" s="62" t="s">
        <v>1839</v>
      </c>
      <c r="E370" s="11" t="s">
        <v>33</v>
      </c>
    </row>
    <row r="371">
      <c r="B371" s="62" t="s">
        <v>2016</v>
      </c>
      <c r="C371" s="45" t="s">
        <v>289</v>
      </c>
      <c r="D371" s="62" t="s">
        <v>2515</v>
      </c>
      <c r="E371" s="11" t="s">
        <v>29</v>
      </c>
    </row>
    <row r="372">
      <c r="B372" s="62" t="s">
        <v>2514</v>
      </c>
      <c r="C372" s="45" t="s">
        <v>17</v>
      </c>
      <c r="D372" s="62" t="s">
        <v>2014</v>
      </c>
      <c r="E372" s="11" t="s">
        <v>33</v>
      </c>
    </row>
    <row r="373">
      <c r="B373" s="62" t="s">
        <v>1839</v>
      </c>
      <c r="C373" s="45" t="s">
        <v>164</v>
      </c>
      <c r="D373" s="62" t="s">
        <v>2515</v>
      </c>
      <c r="E373" s="11" t="s">
        <v>29</v>
      </c>
    </row>
    <row r="374">
      <c r="B374" s="62" t="s">
        <v>2016</v>
      </c>
      <c r="C374" s="45" t="s">
        <v>155</v>
      </c>
      <c r="D374" s="62" t="s">
        <v>2014</v>
      </c>
      <c r="E374" s="11" t="s">
        <v>33</v>
      </c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2386</v>
      </c>
      <c r="C1" s="2"/>
      <c r="D1" s="3"/>
      <c r="E1" s="53"/>
      <c r="G1" s="50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56" t="s">
        <v>2516</v>
      </c>
      <c r="C3" s="57" t="s">
        <v>43</v>
      </c>
      <c r="D3" s="62" t="s">
        <v>2517</v>
      </c>
      <c r="E3" s="11" t="s">
        <v>29</v>
      </c>
    </row>
    <row r="4">
      <c r="A4" s="90"/>
      <c r="B4" s="61" t="s">
        <v>2518</v>
      </c>
      <c r="C4" s="57" t="s">
        <v>16</v>
      </c>
      <c r="D4" s="61" t="s">
        <v>1567</v>
      </c>
      <c r="E4" s="11" t="s">
        <v>33</v>
      </c>
    </row>
    <row r="5">
      <c r="A5" s="90"/>
      <c r="B5" s="56" t="s">
        <v>2519</v>
      </c>
      <c r="C5" s="57" t="s">
        <v>162</v>
      </c>
      <c r="D5" s="56" t="s">
        <v>2516</v>
      </c>
      <c r="E5" s="11" t="s">
        <v>29</v>
      </c>
    </row>
    <row r="6">
      <c r="A6" s="90"/>
      <c r="B6" s="61" t="s">
        <v>2518</v>
      </c>
      <c r="C6" s="57" t="s">
        <v>24</v>
      </c>
      <c r="D6" s="62" t="s">
        <v>2517</v>
      </c>
      <c r="E6" s="11" t="s">
        <v>33</v>
      </c>
    </row>
    <row r="7">
      <c r="A7" s="90"/>
      <c r="B7" s="56" t="s">
        <v>2519</v>
      </c>
      <c r="C7" s="57" t="s">
        <v>155</v>
      </c>
      <c r="D7" s="61" t="s">
        <v>1567</v>
      </c>
      <c r="E7" s="11" t="s">
        <v>29</v>
      </c>
    </row>
    <row r="8">
      <c r="A8" s="90"/>
      <c r="B8" s="61" t="s">
        <v>2518</v>
      </c>
      <c r="C8" s="57" t="s">
        <v>20</v>
      </c>
      <c r="D8" s="56" t="s">
        <v>2516</v>
      </c>
      <c r="E8" s="11" t="s">
        <v>33</v>
      </c>
    </row>
    <row r="9">
      <c r="A9" s="90"/>
      <c r="B9" s="56" t="s">
        <v>2519</v>
      </c>
      <c r="C9" s="57" t="s">
        <v>38</v>
      </c>
      <c r="D9" s="62" t="s">
        <v>2517</v>
      </c>
      <c r="E9" s="11" t="s">
        <v>29</v>
      </c>
    </row>
    <row r="10">
      <c r="A10" s="90"/>
      <c r="B10" s="61" t="s">
        <v>1567</v>
      </c>
      <c r="C10" s="57" t="s">
        <v>14</v>
      </c>
      <c r="D10" s="56" t="s">
        <v>2516</v>
      </c>
      <c r="E10" s="11" t="s">
        <v>33</v>
      </c>
    </row>
    <row r="11">
      <c r="A11" s="90"/>
      <c r="B11" s="56" t="s">
        <v>2519</v>
      </c>
      <c r="C11" s="57" t="s">
        <v>38</v>
      </c>
      <c r="D11" s="61" t="s">
        <v>2518</v>
      </c>
      <c r="E11" s="11" t="s">
        <v>29</v>
      </c>
    </row>
    <row r="12">
      <c r="A12" s="90"/>
      <c r="B12" s="61" t="s">
        <v>1567</v>
      </c>
      <c r="C12" s="57" t="s">
        <v>177</v>
      </c>
      <c r="D12" s="62" t="s">
        <v>2517</v>
      </c>
      <c r="E12" s="11" t="s">
        <v>33</v>
      </c>
    </row>
    <row r="13">
      <c r="A13" s="90"/>
      <c r="B13" s="62" t="s">
        <v>2517</v>
      </c>
      <c r="C13" s="57" t="s">
        <v>291</v>
      </c>
      <c r="D13" s="56" t="s">
        <v>2516</v>
      </c>
      <c r="E13" s="11" t="s">
        <v>29</v>
      </c>
    </row>
    <row r="14">
      <c r="A14" s="90"/>
      <c r="B14" s="61" t="s">
        <v>1567</v>
      </c>
      <c r="C14" s="57" t="s">
        <v>14</v>
      </c>
      <c r="D14" s="61" t="s">
        <v>2518</v>
      </c>
      <c r="E14" s="11" t="s">
        <v>33</v>
      </c>
    </row>
    <row r="15">
      <c r="A15" s="90"/>
      <c r="B15" s="56" t="s">
        <v>2516</v>
      </c>
      <c r="C15" s="45" t="s">
        <v>193</v>
      </c>
      <c r="D15" s="56" t="s">
        <v>2519</v>
      </c>
      <c r="E15" s="11" t="s">
        <v>29</v>
      </c>
    </row>
    <row r="16">
      <c r="A16" s="90"/>
      <c r="B16" s="62" t="s">
        <v>2517</v>
      </c>
      <c r="C16" s="45" t="s">
        <v>218</v>
      </c>
      <c r="D16" s="61" t="s">
        <v>2518</v>
      </c>
      <c r="E16" s="11" t="s">
        <v>33</v>
      </c>
    </row>
    <row r="17">
      <c r="A17" s="90"/>
      <c r="B17" s="61" t="s">
        <v>1567</v>
      </c>
      <c r="C17" s="45" t="s">
        <v>38</v>
      </c>
      <c r="D17" s="56" t="s">
        <v>2519</v>
      </c>
      <c r="E17" s="11" t="s">
        <v>29</v>
      </c>
    </row>
    <row r="18">
      <c r="A18" s="90"/>
      <c r="B18" s="56" t="s">
        <v>2516</v>
      </c>
      <c r="C18" s="45" t="s">
        <v>302</v>
      </c>
      <c r="D18" s="61" t="s">
        <v>2518</v>
      </c>
      <c r="E18" s="11" t="s">
        <v>33</v>
      </c>
    </row>
    <row r="19">
      <c r="A19" s="90"/>
      <c r="B19" s="62" t="s">
        <v>2517</v>
      </c>
      <c r="C19" s="45" t="s">
        <v>302</v>
      </c>
      <c r="D19" s="56" t="s">
        <v>2519</v>
      </c>
      <c r="E19" s="11" t="s">
        <v>29</v>
      </c>
    </row>
    <row r="20">
      <c r="A20" s="90"/>
      <c r="B20" s="56" t="s">
        <v>2516</v>
      </c>
      <c r="C20" s="45" t="s">
        <v>395</v>
      </c>
      <c r="D20" s="61" t="s">
        <v>1567</v>
      </c>
      <c r="E20" s="11" t="s">
        <v>33</v>
      </c>
    </row>
    <row r="21">
      <c r="A21" s="90"/>
      <c r="B21" s="61" t="s">
        <v>2518</v>
      </c>
      <c r="C21" s="45" t="s">
        <v>293</v>
      </c>
      <c r="D21" s="56" t="s">
        <v>2519</v>
      </c>
      <c r="E21" s="11" t="s">
        <v>29</v>
      </c>
      <c r="H21" s="50"/>
    </row>
    <row r="22">
      <c r="A22" s="90"/>
      <c r="B22" s="62" t="s">
        <v>2517</v>
      </c>
      <c r="C22" s="45" t="s">
        <v>290</v>
      </c>
      <c r="D22" s="61" t="s">
        <v>1567</v>
      </c>
      <c r="E22" s="11" t="s">
        <v>33</v>
      </c>
      <c r="G22" s="50"/>
    </row>
    <row r="23">
      <c r="A23" s="90"/>
      <c r="B23" s="1" t="s">
        <v>2133</v>
      </c>
      <c r="C23" s="2"/>
      <c r="D23" s="3"/>
      <c r="E23" s="7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1664</v>
      </c>
      <c r="C25" s="57" t="s">
        <v>193</v>
      </c>
      <c r="D25" s="62" t="s">
        <v>2520</v>
      </c>
      <c r="E25" s="11" t="s">
        <v>9</v>
      </c>
    </row>
    <row r="26">
      <c r="A26" s="90"/>
      <c r="B26" s="61" t="s">
        <v>1599</v>
      </c>
      <c r="C26" s="57" t="s">
        <v>344</v>
      </c>
      <c r="D26" s="61" t="s">
        <v>1662</v>
      </c>
      <c r="E26" s="11" t="s">
        <v>13</v>
      </c>
    </row>
    <row r="27">
      <c r="A27" s="90"/>
      <c r="B27" s="62" t="s">
        <v>2521</v>
      </c>
      <c r="C27" s="57" t="s">
        <v>173</v>
      </c>
      <c r="D27" s="62" t="s">
        <v>1664</v>
      </c>
      <c r="E27" s="11" t="s">
        <v>9</v>
      </c>
    </row>
    <row r="28">
      <c r="A28" s="90"/>
      <c r="B28" s="61" t="s">
        <v>1599</v>
      </c>
      <c r="C28" s="57" t="s">
        <v>244</v>
      </c>
      <c r="D28" s="62" t="s">
        <v>2520</v>
      </c>
      <c r="E28" s="11" t="s">
        <v>13</v>
      </c>
    </row>
    <row r="29">
      <c r="A29" s="90"/>
      <c r="B29" s="62" t="s">
        <v>2521</v>
      </c>
      <c r="C29" s="57" t="s">
        <v>209</v>
      </c>
      <c r="D29" s="61" t="s">
        <v>1662</v>
      </c>
      <c r="E29" s="11" t="s">
        <v>9</v>
      </c>
    </row>
    <row r="30">
      <c r="A30" s="90"/>
      <c r="B30" s="61" t="s">
        <v>1599</v>
      </c>
      <c r="C30" s="57" t="s">
        <v>163</v>
      </c>
      <c r="D30" s="62" t="s">
        <v>1664</v>
      </c>
      <c r="E30" s="11" t="s">
        <v>13</v>
      </c>
    </row>
    <row r="31">
      <c r="A31" s="90"/>
      <c r="B31" s="62" t="s">
        <v>2521</v>
      </c>
      <c r="C31" s="57" t="s">
        <v>11</v>
      </c>
      <c r="D31" s="62" t="s">
        <v>2520</v>
      </c>
      <c r="E31" s="11" t="s">
        <v>9</v>
      </c>
    </row>
    <row r="32">
      <c r="A32" s="90"/>
      <c r="B32" s="61" t="s">
        <v>1662</v>
      </c>
      <c r="C32" s="57" t="s">
        <v>442</v>
      </c>
      <c r="D32" s="62" t="s">
        <v>1664</v>
      </c>
      <c r="E32" s="11" t="s">
        <v>13</v>
      </c>
    </row>
    <row r="33">
      <c r="A33" s="90"/>
      <c r="B33" s="62" t="s">
        <v>2521</v>
      </c>
      <c r="C33" s="57" t="s">
        <v>257</v>
      </c>
      <c r="D33" s="61" t="s">
        <v>1599</v>
      </c>
      <c r="E33" s="11" t="s">
        <v>9</v>
      </c>
    </row>
    <row r="34">
      <c r="A34" s="90"/>
      <c r="B34" s="61" t="s">
        <v>1662</v>
      </c>
      <c r="C34" s="57" t="s">
        <v>19</v>
      </c>
      <c r="D34" s="62" t="s">
        <v>2520</v>
      </c>
      <c r="E34" s="11" t="s">
        <v>13</v>
      </c>
    </row>
    <row r="35">
      <c r="A35" s="90"/>
      <c r="B35" s="62" t="s">
        <v>2520</v>
      </c>
      <c r="C35" s="57" t="s">
        <v>210</v>
      </c>
      <c r="D35" s="62" t="s">
        <v>1664</v>
      </c>
      <c r="E35" s="11" t="s">
        <v>9</v>
      </c>
    </row>
    <row r="36">
      <c r="A36" s="90"/>
      <c r="B36" s="61" t="s">
        <v>1662</v>
      </c>
      <c r="C36" s="57" t="s">
        <v>41</v>
      </c>
      <c r="D36" s="61" t="s">
        <v>1599</v>
      </c>
      <c r="E36" s="11" t="s">
        <v>13</v>
      </c>
    </row>
    <row r="37">
      <c r="A37" s="90"/>
      <c r="B37" s="62" t="s">
        <v>1664</v>
      </c>
      <c r="C37" s="45" t="s">
        <v>245</v>
      </c>
      <c r="D37" s="62" t="s">
        <v>2521</v>
      </c>
      <c r="E37" s="11" t="s">
        <v>9</v>
      </c>
    </row>
    <row r="38">
      <c r="A38" s="90"/>
      <c r="B38" s="62" t="s">
        <v>2520</v>
      </c>
      <c r="C38" s="45" t="s">
        <v>2228</v>
      </c>
      <c r="D38" s="61" t="s">
        <v>1599</v>
      </c>
      <c r="E38" s="11" t="s">
        <v>13</v>
      </c>
    </row>
    <row r="39">
      <c r="A39" s="90"/>
      <c r="B39" s="61" t="s">
        <v>1662</v>
      </c>
      <c r="C39" s="45" t="s">
        <v>556</v>
      </c>
      <c r="D39" s="62" t="s">
        <v>2521</v>
      </c>
      <c r="E39" s="11" t="s">
        <v>9</v>
      </c>
    </row>
    <row r="40">
      <c r="A40" s="90"/>
      <c r="B40" s="62" t="s">
        <v>1664</v>
      </c>
      <c r="C40" s="45" t="s">
        <v>16</v>
      </c>
      <c r="D40" s="61" t="s">
        <v>1599</v>
      </c>
      <c r="E40" s="11" t="s">
        <v>13</v>
      </c>
    </row>
    <row r="41">
      <c r="A41" s="90"/>
      <c r="B41" s="62" t="s">
        <v>2520</v>
      </c>
      <c r="C41" s="45" t="s">
        <v>195</v>
      </c>
      <c r="D41" s="62" t="s">
        <v>2521</v>
      </c>
      <c r="E41" s="11" t="s">
        <v>9</v>
      </c>
    </row>
    <row r="42">
      <c r="A42" s="90"/>
      <c r="B42" s="62" t="s">
        <v>1664</v>
      </c>
      <c r="C42" s="45" t="s">
        <v>181</v>
      </c>
      <c r="D42" s="61" t="s">
        <v>1662</v>
      </c>
      <c r="E42" s="11" t="s">
        <v>13</v>
      </c>
    </row>
    <row r="43">
      <c r="A43" s="90"/>
      <c r="B43" s="61" t="s">
        <v>1599</v>
      </c>
      <c r="C43" s="45" t="s">
        <v>289</v>
      </c>
      <c r="D43" s="62" t="s">
        <v>2521</v>
      </c>
      <c r="E43" s="11" t="s">
        <v>9</v>
      </c>
    </row>
    <row r="44">
      <c r="A44" s="91"/>
      <c r="B44" s="62" t="s">
        <v>2520</v>
      </c>
      <c r="C44" s="45" t="s">
        <v>19</v>
      </c>
      <c r="D44" s="61" t="s">
        <v>1662</v>
      </c>
      <c r="E44" s="11" t="s">
        <v>13</v>
      </c>
    </row>
    <row r="45">
      <c r="B45" s="96" t="s">
        <v>2522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56" t="s">
        <v>2523</v>
      </c>
      <c r="C47" s="57" t="s">
        <v>185</v>
      </c>
      <c r="D47" s="61" t="s">
        <v>2315</v>
      </c>
      <c r="E47" s="11" t="s">
        <v>29</v>
      </c>
    </row>
    <row r="48">
      <c r="B48" s="61" t="s">
        <v>2247</v>
      </c>
      <c r="C48" s="57" t="s">
        <v>290</v>
      </c>
      <c r="D48" s="61" t="s">
        <v>1129</v>
      </c>
      <c r="E48" s="11" t="s">
        <v>33</v>
      </c>
      <c r="H48" s="50"/>
    </row>
    <row r="49">
      <c r="B49" s="56" t="s">
        <v>1326</v>
      </c>
      <c r="C49" s="57" t="s">
        <v>218</v>
      </c>
      <c r="D49" s="56" t="s">
        <v>2523</v>
      </c>
      <c r="E49" s="11" t="s">
        <v>29</v>
      </c>
    </row>
    <row r="50">
      <c r="B50" s="61" t="s">
        <v>2247</v>
      </c>
      <c r="C50" s="57" t="s">
        <v>208</v>
      </c>
      <c r="D50" s="61" t="s">
        <v>2315</v>
      </c>
      <c r="E50" s="11" t="s">
        <v>33</v>
      </c>
    </row>
    <row r="51">
      <c r="B51" s="56" t="s">
        <v>1326</v>
      </c>
      <c r="C51" s="57" t="s">
        <v>302</v>
      </c>
      <c r="D51" s="61" t="s">
        <v>1129</v>
      </c>
      <c r="E51" s="11" t="s">
        <v>29</v>
      </c>
    </row>
    <row r="52">
      <c r="B52" s="61" t="s">
        <v>2247</v>
      </c>
      <c r="C52" s="57" t="s">
        <v>545</v>
      </c>
      <c r="D52" s="56" t="s">
        <v>2523</v>
      </c>
      <c r="E52" s="11" t="s">
        <v>33</v>
      </c>
    </row>
    <row r="53">
      <c r="B53" s="56" t="s">
        <v>1326</v>
      </c>
      <c r="C53" s="57" t="s">
        <v>220</v>
      </c>
      <c r="D53" s="61" t="s">
        <v>2315</v>
      </c>
      <c r="E53" s="11" t="s">
        <v>29</v>
      </c>
    </row>
    <row r="54">
      <c r="B54" s="61" t="s">
        <v>1129</v>
      </c>
      <c r="C54" s="57" t="s">
        <v>1472</v>
      </c>
      <c r="D54" s="56" t="s">
        <v>2523</v>
      </c>
      <c r="E54" s="11" t="s">
        <v>33</v>
      </c>
    </row>
    <row r="55">
      <c r="B55" s="56" t="s">
        <v>1326</v>
      </c>
      <c r="C55" s="57" t="s">
        <v>20</v>
      </c>
      <c r="D55" s="61" t="s">
        <v>2247</v>
      </c>
      <c r="E55" s="11" t="s">
        <v>29</v>
      </c>
    </row>
    <row r="56">
      <c r="B56" s="61" t="s">
        <v>1129</v>
      </c>
      <c r="C56" s="57" t="s">
        <v>245</v>
      </c>
      <c r="D56" s="61" t="s">
        <v>2315</v>
      </c>
      <c r="E56" s="11" t="s">
        <v>33</v>
      </c>
      <c r="I56" s="50"/>
    </row>
    <row r="57">
      <c r="B57" s="61" t="s">
        <v>2315</v>
      </c>
      <c r="C57" s="57" t="s">
        <v>155</v>
      </c>
      <c r="D57" s="56" t="s">
        <v>2523</v>
      </c>
      <c r="E57" s="11" t="s">
        <v>29</v>
      </c>
    </row>
    <row r="58">
      <c r="B58" s="61" t="s">
        <v>1129</v>
      </c>
      <c r="C58" s="57" t="s">
        <v>166</v>
      </c>
      <c r="D58" s="61" t="s">
        <v>2247</v>
      </c>
      <c r="E58" s="11" t="s">
        <v>33</v>
      </c>
    </row>
    <row r="59">
      <c r="B59" s="56" t="s">
        <v>2523</v>
      </c>
      <c r="C59" s="45" t="s">
        <v>162</v>
      </c>
      <c r="D59" s="56" t="s">
        <v>1326</v>
      </c>
      <c r="E59" s="11" t="s">
        <v>29</v>
      </c>
    </row>
    <row r="60">
      <c r="B60" s="61" t="s">
        <v>2315</v>
      </c>
      <c r="C60" s="45" t="s">
        <v>531</v>
      </c>
      <c r="D60" s="61" t="s">
        <v>2247</v>
      </c>
      <c r="E60" s="11" t="s">
        <v>33</v>
      </c>
    </row>
    <row r="61">
      <c r="B61" s="61" t="s">
        <v>1129</v>
      </c>
      <c r="C61" s="45" t="s">
        <v>465</v>
      </c>
      <c r="D61" s="56" t="s">
        <v>1326</v>
      </c>
      <c r="E61" s="11" t="s">
        <v>29</v>
      </c>
    </row>
    <row r="62">
      <c r="B62" s="56" t="s">
        <v>2523</v>
      </c>
      <c r="C62" s="45" t="s">
        <v>426</v>
      </c>
      <c r="D62" s="61" t="s">
        <v>2247</v>
      </c>
      <c r="E62" s="11" t="s">
        <v>33</v>
      </c>
    </row>
    <row r="63">
      <c r="B63" s="61" t="s">
        <v>2315</v>
      </c>
      <c r="C63" s="45" t="s">
        <v>210</v>
      </c>
      <c r="D63" s="56" t="s">
        <v>1326</v>
      </c>
      <c r="E63" s="11" t="s">
        <v>29</v>
      </c>
    </row>
    <row r="64">
      <c r="B64" s="56" t="s">
        <v>2523</v>
      </c>
      <c r="C64" s="45" t="s">
        <v>23</v>
      </c>
      <c r="D64" s="61" t="s">
        <v>1129</v>
      </c>
      <c r="E64" s="11" t="s">
        <v>33</v>
      </c>
    </row>
    <row r="65">
      <c r="B65" s="61" t="s">
        <v>2247</v>
      </c>
      <c r="C65" s="45" t="s">
        <v>193</v>
      </c>
      <c r="D65" s="56" t="s">
        <v>1326</v>
      </c>
      <c r="E65" s="11" t="s">
        <v>29</v>
      </c>
      <c r="H65" s="50"/>
    </row>
    <row r="66">
      <c r="B66" s="61" t="s">
        <v>2315</v>
      </c>
      <c r="C66" s="45" t="s">
        <v>582</v>
      </c>
      <c r="D66" s="61" t="s">
        <v>1129</v>
      </c>
      <c r="E66" s="11" t="s">
        <v>33</v>
      </c>
    </row>
    <row r="67">
      <c r="B67" s="1" t="s">
        <v>2524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  <c r="I68" s="50"/>
    </row>
    <row r="69">
      <c r="B69" s="61" t="s">
        <v>1831</v>
      </c>
      <c r="C69" s="57" t="s">
        <v>16</v>
      </c>
      <c r="D69" s="61" t="s">
        <v>1776</v>
      </c>
      <c r="E69" s="11" t="s">
        <v>9</v>
      </c>
    </row>
    <row r="70">
      <c r="B70" s="61" t="s">
        <v>1928</v>
      </c>
      <c r="C70" s="57" t="s">
        <v>547</v>
      </c>
      <c r="D70" s="61" t="s">
        <v>2058</v>
      </c>
      <c r="E70" s="11" t="s">
        <v>13</v>
      </c>
    </row>
    <row r="71">
      <c r="B71" s="61" t="s">
        <v>1783</v>
      </c>
      <c r="C71" s="57" t="s">
        <v>17</v>
      </c>
      <c r="D71" s="61" t="s">
        <v>1831</v>
      </c>
      <c r="E71" s="11" t="s">
        <v>9</v>
      </c>
    </row>
    <row r="72">
      <c r="B72" s="61" t="s">
        <v>1928</v>
      </c>
      <c r="C72" s="57" t="s">
        <v>186</v>
      </c>
      <c r="D72" s="61" t="s">
        <v>1776</v>
      </c>
      <c r="E72" s="11" t="s">
        <v>13</v>
      </c>
    </row>
    <row r="73">
      <c r="B73" s="61" t="s">
        <v>1783</v>
      </c>
      <c r="C73" s="57" t="s">
        <v>239</v>
      </c>
      <c r="D73" s="61" t="s">
        <v>2058</v>
      </c>
      <c r="E73" s="11" t="s">
        <v>9</v>
      </c>
    </row>
    <row r="74">
      <c r="B74" s="61" t="s">
        <v>1928</v>
      </c>
      <c r="C74" s="57" t="s">
        <v>193</v>
      </c>
      <c r="D74" s="61" t="s">
        <v>1831</v>
      </c>
      <c r="E74" s="11" t="s">
        <v>13</v>
      </c>
    </row>
    <row r="75">
      <c r="B75" s="61" t="s">
        <v>1783</v>
      </c>
      <c r="C75" s="57" t="s">
        <v>477</v>
      </c>
      <c r="D75" s="61" t="s">
        <v>1776</v>
      </c>
      <c r="E75" s="11" t="s">
        <v>9</v>
      </c>
    </row>
    <row r="76">
      <c r="B76" s="61" t="s">
        <v>2058</v>
      </c>
      <c r="C76" s="57" t="s">
        <v>24</v>
      </c>
      <c r="D76" s="61" t="s">
        <v>1831</v>
      </c>
      <c r="E76" s="11" t="s">
        <v>13</v>
      </c>
    </row>
    <row r="77">
      <c r="B77" s="61" t="s">
        <v>1783</v>
      </c>
      <c r="C77" s="57" t="s">
        <v>301</v>
      </c>
      <c r="D77" s="61" t="s">
        <v>1928</v>
      </c>
      <c r="E77" s="11" t="s">
        <v>9</v>
      </c>
    </row>
    <row r="78">
      <c r="B78" s="61" t="s">
        <v>2058</v>
      </c>
      <c r="C78" s="57" t="s">
        <v>289</v>
      </c>
      <c r="D78" s="61" t="s">
        <v>1776</v>
      </c>
      <c r="E78" s="11" t="s">
        <v>13</v>
      </c>
    </row>
    <row r="79">
      <c r="B79" s="61" t="s">
        <v>1776</v>
      </c>
      <c r="C79" s="57" t="s">
        <v>525</v>
      </c>
      <c r="D79" s="61" t="s">
        <v>1831</v>
      </c>
      <c r="E79" s="11" t="s">
        <v>9</v>
      </c>
    </row>
    <row r="80">
      <c r="B80" s="61" t="s">
        <v>2058</v>
      </c>
      <c r="C80" s="57" t="s">
        <v>181</v>
      </c>
      <c r="D80" s="61" t="s">
        <v>1928</v>
      </c>
      <c r="E80" s="11" t="s">
        <v>13</v>
      </c>
    </row>
    <row r="81">
      <c r="B81" s="61" t="s">
        <v>1831</v>
      </c>
      <c r="C81" s="45" t="s">
        <v>184</v>
      </c>
      <c r="D81" s="61" t="s">
        <v>1783</v>
      </c>
      <c r="E81" s="11" t="s">
        <v>9</v>
      </c>
    </row>
    <row r="82">
      <c r="B82" s="61" t="s">
        <v>1776</v>
      </c>
      <c r="C82" s="45" t="s">
        <v>256</v>
      </c>
      <c r="D82" s="61" t="s">
        <v>1928</v>
      </c>
      <c r="E82" s="11" t="s">
        <v>13</v>
      </c>
    </row>
    <row r="83">
      <c r="B83" s="61" t="s">
        <v>2058</v>
      </c>
      <c r="C83" s="45" t="s">
        <v>1249</v>
      </c>
      <c r="D83" s="61" t="s">
        <v>1783</v>
      </c>
      <c r="E83" s="11" t="s">
        <v>9</v>
      </c>
    </row>
    <row r="84">
      <c r="B84" s="61" t="s">
        <v>1831</v>
      </c>
      <c r="C84" s="45" t="s">
        <v>43</v>
      </c>
      <c r="D84" s="61" t="s">
        <v>1928</v>
      </c>
      <c r="E84" s="11" t="s">
        <v>13</v>
      </c>
    </row>
    <row r="85">
      <c r="B85" s="61" t="s">
        <v>1776</v>
      </c>
      <c r="C85" s="45" t="s">
        <v>536</v>
      </c>
      <c r="D85" s="61" t="s">
        <v>1783</v>
      </c>
      <c r="E85" s="11" t="s">
        <v>9</v>
      </c>
    </row>
    <row r="86">
      <c r="B86" s="61" t="s">
        <v>1831</v>
      </c>
      <c r="C86" s="45" t="s">
        <v>41</v>
      </c>
      <c r="D86" s="61" t="s">
        <v>2058</v>
      </c>
      <c r="E86" s="11" t="s">
        <v>13</v>
      </c>
    </row>
    <row r="87">
      <c r="B87" s="61" t="s">
        <v>1928</v>
      </c>
      <c r="C87" s="45" t="s">
        <v>311</v>
      </c>
      <c r="D87" s="61" t="s">
        <v>1783</v>
      </c>
      <c r="E87" s="11" t="s">
        <v>9</v>
      </c>
    </row>
    <row r="88">
      <c r="B88" s="61" t="s">
        <v>1776</v>
      </c>
      <c r="C88" s="45" t="s">
        <v>319</v>
      </c>
      <c r="D88" s="61" t="s">
        <v>2058</v>
      </c>
      <c r="E88" s="11" t="s">
        <v>13</v>
      </c>
    </row>
    <row r="89">
      <c r="B89" s="1" t="s">
        <v>2260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1348</v>
      </c>
      <c r="C91" s="45" t="s">
        <v>16</v>
      </c>
      <c r="D91" s="61" t="s">
        <v>398</v>
      </c>
      <c r="E91" s="11" t="s">
        <v>9</v>
      </c>
    </row>
    <row r="92">
      <c r="B92" s="61" t="s">
        <v>2525</v>
      </c>
      <c r="C92" s="45" t="s">
        <v>20</v>
      </c>
      <c r="D92" s="61" t="s">
        <v>2526</v>
      </c>
      <c r="E92" s="11" t="s">
        <v>13</v>
      </c>
    </row>
    <row r="93">
      <c r="B93" s="61" t="s">
        <v>2527</v>
      </c>
      <c r="C93" s="45" t="s">
        <v>165</v>
      </c>
      <c r="D93" s="61" t="s">
        <v>1348</v>
      </c>
      <c r="E93" s="11" t="s">
        <v>9</v>
      </c>
    </row>
    <row r="94">
      <c r="B94" s="61" t="s">
        <v>2525</v>
      </c>
      <c r="C94" s="45" t="s">
        <v>38</v>
      </c>
      <c r="D94" s="61" t="s">
        <v>398</v>
      </c>
      <c r="E94" s="11" t="s">
        <v>13</v>
      </c>
    </row>
    <row r="95">
      <c r="B95" s="61" t="s">
        <v>2527</v>
      </c>
      <c r="C95" s="45" t="s">
        <v>164</v>
      </c>
      <c r="D95" s="61" t="s">
        <v>2526</v>
      </c>
      <c r="E95" s="11" t="s">
        <v>9</v>
      </c>
    </row>
    <row r="96">
      <c r="B96" s="61" t="s">
        <v>2525</v>
      </c>
      <c r="C96" s="45" t="s">
        <v>163</v>
      </c>
      <c r="D96" s="61" t="s">
        <v>1348</v>
      </c>
      <c r="E96" s="11" t="s">
        <v>13</v>
      </c>
    </row>
    <row r="97">
      <c r="B97" s="61" t="s">
        <v>2527</v>
      </c>
      <c r="C97" s="45" t="s">
        <v>181</v>
      </c>
      <c r="D97" s="61" t="s">
        <v>398</v>
      </c>
      <c r="E97" s="11" t="s">
        <v>9</v>
      </c>
    </row>
    <row r="98">
      <c r="B98" s="61" t="s">
        <v>2526</v>
      </c>
      <c r="C98" s="45" t="s">
        <v>166</v>
      </c>
      <c r="D98" s="61" t="s">
        <v>1348</v>
      </c>
      <c r="E98" s="11" t="s">
        <v>13</v>
      </c>
    </row>
    <row r="99">
      <c r="B99" s="61" t="s">
        <v>2527</v>
      </c>
      <c r="C99" s="45" t="s">
        <v>158</v>
      </c>
      <c r="D99" s="61" t="s">
        <v>2525</v>
      </c>
      <c r="E99" s="11" t="s">
        <v>9</v>
      </c>
    </row>
    <row r="100">
      <c r="B100" s="61" t="s">
        <v>2526</v>
      </c>
      <c r="C100" s="45" t="s">
        <v>324</v>
      </c>
      <c r="D100" s="61" t="s">
        <v>398</v>
      </c>
      <c r="E100" s="11" t="s">
        <v>13</v>
      </c>
    </row>
    <row r="101">
      <c r="B101" s="61" t="s">
        <v>398</v>
      </c>
      <c r="C101" s="45" t="s">
        <v>1120</v>
      </c>
      <c r="D101" s="61" t="s">
        <v>1348</v>
      </c>
      <c r="E101" s="11" t="s">
        <v>9</v>
      </c>
    </row>
    <row r="102">
      <c r="B102" s="61" t="s">
        <v>2526</v>
      </c>
      <c r="C102" s="45" t="s">
        <v>549</v>
      </c>
      <c r="D102" s="61" t="s">
        <v>2525</v>
      </c>
      <c r="E102" s="11" t="s">
        <v>13</v>
      </c>
    </row>
    <row r="103">
      <c r="B103" s="61" t="s">
        <v>1348</v>
      </c>
      <c r="C103" s="45" t="s">
        <v>302</v>
      </c>
      <c r="D103" s="61" t="s">
        <v>2527</v>
      </c>
      <c r="E103" s="11" t="s">
        <v>9</v>
      </c>
    </row>
    <row r="104">
      <c r="B104" s="61" t="s">
        <v>398</v>
      </c>
      <c r="C104" s="45" t="s">
        <v>155</v>
      </c>
      <c r="D104" s="61" t="s">
        <v>2525</v>
      </c>
      <c r="E104" s="11" t="s">
        <v>13</v>
      </c>
    </row>
    <row r="105">
      <c r="B105" s="61" t="s">
        <v>2526</v>
      </c>
      <c r="C105" s="45" t="s">
        <v>166</v>
      </c>
      <c r="D105" s="61" t="s">
        <v>2527</v>
      </c>
      <c r="E105" s="11" t="s">
        <v>9</v>
      </c>
    </row>
    <row r="106">
      <c r="B106" s="61" t="s">
        <v>1348</v>
      </c>
      <c r="C106" s="45" t="s">
        <v>173</v>
      </c>
      <c r="D106" s="61" t="s">
        <v>2525</v>
      </c>
      <c r="E106" s="11" t="s">
        <v>13</v>
      </c>
    </row>
    <row r="107">
      <c r="B107" s="61" t="s">
        <v>398</v>
      </c>
      <c r="C107" s="45" t="s">
        <v>27</v>
      </c>
      <c r="D107" s="61" t="s">
        <v>2527</v>
      </c>
      <c r="E107" s="11" t="s">
        <v>9</v>
      </c>
    </row>
    <row r="108">
      <c r="B108" s="61" t="s">
        <v>1348</v>
      </c>
      <c r="C108" s="45" t="s">
        <v>783</v>
      </c>
      <c r="D108" s="61" t="s">
        <v>2526</v>
      </c>
      <c r="E108" s="11" t="s">
        <v>13</v>
      </c>
    </row>
    <row r="109">
      <c r="B109" s="61" t="s">
        <v>2525</v>
      </c>
      <c r="C109" s="45" t="s">
        <v>162</v>
      </c>
      <c r="D109" s="61" t="s">
        <v>2527</v>
      </c>
      <c r="E109" s="11" t="s">
        <v>9</v>
      </c>
    </row>
    <row r="110">
      <c r="B110" s="61" t="s">
        <v>398</v>
      </c>
      <c r="C110" s="45" t="s">
        <v>404</v>
      </c>
      <c r="D110" s="61" t="s">
        <v>2526</v>
      </c>
      <c r="E110" s="11" t="s">
        <v>13</v>
      </c>
    </row>
    <row r="111">
      <c r="B111" s="96" t="s">
        <v>2528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1826</v>
      </c>
      <c r="C113" s="57" t="s">
        <v>194</v>
      </c>
      <c r="D113" s="70" t="s">
        <v>810</v>
      </c>
      <c r="E113" s="11" t="s">
        <v>29</v>
      </c>
      <c r="H113" s="50" t="s">
        <v>861</v>
      </c>
    </row>
    <row r="114">
      <c r="B114" s="61" t="s">
        <v>2529</v>
      </c>
      <c r="C114" s="57" t="s">
        <v>257</v>
      </c>
      <c r="D114" s="61" t="s">
        <v>2530</v>
      </c>
      <c r="E114" s="11" t="s">
        <v>33</v>
      </c>
    </row>
    <row r="115">
      <c r="B115" s="61" t="s">
        <v>2531</v>
      </c>
      <c r="C115" s="57" t="s">
        <v>194</v>
      </c>
      <c r="D115" s="61" t="s">
        <v>1826</v>
      </c>
      <c r="E115" s="11" t="s">
        <v>29</v>
      </c>
    </row>
    <row r="116">
      <c r="B116" s="61" t="s">
        <v>2529</v>
      </c>
      <c r="C116" s="57" t="s">
        <v>219</v>
      </c>
      <c r="D116" s="61" t="s">
        <v>810</v>
      </c>
      <c r="E116" s="11" t="s">
        <v>33</v>
      </c>
    </row>
    <row r="117">
      <c r="B117" s="61" t="s">
        <v>2531</v>
      </c>
      <c r="C117" s="57" t="s">
        <v>16</v>
      </c>
      <c r="D117" s="61" t="s">
        <v>2530</v>
      </c>
      <c r="E117" s="11" t="s">
        <v>29</v>
      </c>
    </row>
    <row r="118">
      <c r="B118" s="61" t="s">
        <v>2529</v>
      </c>
      <c r="C118" s="57" t="s">
        <v>165</v>
      </c>
      <c r="D118" s="61" t="s">
        <v>1826</v>
      </c>
      <c r="E118" s="11" t="s">
        <v>33</v>
      </c>
    </row>
    <row r="119">
      <c r="B119" s="61" t="s">
        <v>2531</v>
      </c>
      <c r="C119" s="57" t="s">
        <v>23</v>
      </c>
      <c r="D119" s="61" t="s">
        <v>810</v>
      </c>
      <c r="E119" s="11" t="s">
        <v>29</v>
      </c>
    </row>
    <row r="120">
      <c r="B120" s="61" t="s">
        <v>2530</v>
      </c>
      <c r="C120" s="57" t="s">
        <v>162</v>
      </c>
      <c r="D120" s="61" t="s">
        <v>1826</v>
      </c>
      <c r="E120" s="11" t="s">
        <v>33</v>
      </c>
    </row>
    <row r="121">
      <c r="B121" s="61" t="s">
        <v>2531</v>
      </c>
      <c r="C121" s="57" t="s">
        <v>14</v>
      </c>
      <c r="D121" s="61" t="s">
        <v>2529</v>
      </c>
      <c r="E121" s="11" t="s">
        <v>29</v>
      </c>
    </row>
    <row r="122">
      <c r="B122" s="61" t="s">
        <v>2530</v>
      </c>
      <c r="C122" s="57" t="s">
        <v>158</v>
      </c>
      <c r="D122" s="61" t="s">
        <v>810</v>
      </c>
      <c r="E122" s="11" t="s">
        <v>33</v>
      </c>
    </row>
    <row r="123">
      <c r="B123" s="61" t="s">
        <v>810</v>
      </c>
      <c r="C123" s="57" t="s">
        <v>184</v>
      </c>
      <c r="D123" s="61" t="s">
        <v>1826</v>
      </c>
      <c r="E123" s="11" t="s">
        <v>29</v>
      </c>
    </row>
    <row r="124">
      <c r="B124" s="61" t="s">
        <v>2530</v>
      </c>
      <c r="C124" s="57" t="s">
        <v>162</v>
      </c>
      <c r="D124" s="61" t="s">
        <v>2529</v>
      </c>
      <c r="E124" s="11" t="s">
        <v>33</v>
      </c>
    </row>
    <row r="125">
      <c r="B125" s="61" t="s">
        <v>1826</v>
      </c>
      <c r="C125" s="45" t="s">
        <v>220</v>
      </c>
      <c r="D125" s="61" t="s">
        <v>2531</v>
      </c>
      <c r="E125" s="11" t="s">
        <v>29</v>
      </c>
    </row>
    <row r="126">
      <c r="B126" s="61" t="s">
        <v>810</v>
      </c>
      <c r="C126" s="45" t="s">
        <v>302</v>
      </c>
      <c r="D126" s="61" t="s">
        <v>2529</v>
      </c>
      <c r="E126" s="11" t="s">
        <v>33</v>
      </c>
    </row>
    <row r="127">
      <c r="B127" s="61" t="s">
        <v>2530</v>
      </c>
      <c r="C127" s="45" t="s">
        <v>185</v>
      </c>
      <c r="D127" s="61" t="s">
        <v>2531</v>
      </c>
      <c r="E127" s="11" t="s">
        <v>29</v>
      </c>
    </row>
    <row r="128">
      <c r="B128" s="61" t="s">
        <v>1826</v>
      </c>
      <c r="C128" s="45" t="s">
        <v>231</v>
      </c>
      <c r="D128" s="61" t="s">
        <v>2529</v>
      </c>
      <c r="E128" s="11" t="s">
        <v>33</v>
      </c>
    </row>
    <row r="129">
      <c r="B129" s="61" t="s">
        <v>810</v>
      </c>
      <c r="C129" s="45" t="s">
        <v>158</v>
      </c>
      <c r="D129" s="61" t="s">
        <v>2531</v>
      </c>
      <c r="E129" s="11" t="s">
        <v>29</v>
      </c>
    </row>
    <row r="130">
      <c r="B130" s="61" t="s">
        <v>1826</v>
      </c>
      <c r="C130" s="45" t="s">
        <v>220</v>
      </c>
      <c r="D130" s="61" t="s">
        <v>2530</v>
      </c>
      <c r="E130" s="11" t="s">
        <v>33</v>
      </c>
    </row>
    <row r="131">
      <c r="B131" s="61" t="s">
        <v>2529</v>
      </c>
      <c r="C131" s="45" t="s">
        <v>162</v>
      </c>
      <c r="D131" s="61" t="s">
        <v>2531</v>
      </c>
      <c r="E131" s="11" t="s">
        <v>29</v>
      </c>
    </row>
    <row r="132">
      <c r="B132" s="61" t="s">
        <v>810</v>
      </c>
      <c r="C132" s="45" t="s">
        <v>181</v>
      </c>
      <c r="D132" s="61" t="s">
        <v>2530</v>
      </c>
      <c r="E132" s="11" t="s">
        <v>33</v>
      </c>
    </row>
    <row r="133">
      <c r="B133" s="1" t="s">
        <v>2207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2476</v>
      </c>
      <c r="C135" s="57" t="s">
        <v>158</v>
      </c>
      <c r="D135" s="61" t="s">
        <v>1860</v>
      </c>
      <c r="E135" s="11" t="s">
        <v>9</v>
      </c>
    </row>
    <row r="136">
      <c r="B136" s="61" t="s">
        <v>1252</v>
      </c>
      <c r="C136" s="57" t="s">
        <v>181</v>
      </c>
      <c r="D136" s="61" t="s">
        <v>2532</v>
      </c>
      <c r="E136" s="11" t="s">
        <v>13</v>
      </c>
    </row>
    <row r="137">
      <c r="B137" s="61" t="s">
        <v>1034</v>
      </c>
      <c r="C137" s="57" t="s">
        <v>1689</v>
      </c>
      <c r="D137" s="61" t="s">
        <v>2476</v>
      </c>
      <c r="E137" s="11" t="s">
        <v>9</v>
      </c>
    </row>
    <row r="138">
      <c r="B138" s="61" t="s">
        <v>1252</v>
      </c>
      <c r="C138" s="57" t="s">
        <v>298</v>
      </c>
      <c r="D138" s="61" t="s">
        <v>1860</v>
      </c>
      <c r="E138" s="11" t="s">
        <v>13</v>
      </c>
    </row>
    <row r="139">
      <c r="B139" s="61" t="s">
        <v>1034</v>
      </c>
      <c r="C139" s="57" t="s">
        <v>181</v>
      </c>
      <c r="D139" s="61" t="s">
        <v>2532</v>
      </c>
      <c r="E139" s="11" t="s">
        <v>9</v>
      </c>
    </row>
    <row r="140">
      <c r="B140" s="61" t="s">
        <v>1252</v>
      </c>
      <c r="C140" s="57" t="s">
        <v>184</v>
      </c>
      <c r="D140" s="61" t="s">
        <v>2476</v>
      </c>
      <c r="E140" s="11" t="s">
        <v>13</v>
      </c>
    </row>
    <row r="141">
      <c r="B141" s="61" t="s">
        <v>1034</v>
      </c>
      <c r="C141" s="57" t="s">
        <v>394</v>
      </c>
      <c r="D141" s="61" t="s">
        <v>1860</v>
      </c>
      <c r="E141" s="11" t="s">
        <v>9</v>
      </c>
    </row>
    <row r="142">
      <c r="B142" s="61" t="s">
        <v>2532</v>
      </c>
      <c r="C142" s="57" t="s">
        <v>14</v>
      </c>
      <c r="D142" s="61" t="s">
        <v>2476</v>
      </c>
      <c r="E142" s="11" t="s">
        <v>13</v>
      </c>
    </row>
    <row r="143">
      <c r="B143" s="61" t="s">
        <v>1034</v>
      </c>
      <c r="C143" s="57" t="s">
        <v>279</v>
      </c>
      <c r="D143" s="61" t="s">
        <v>1252</v>
      </c>
      <c r="E143" s="11" t="s">
        <v>9</v>
      </c>
    </row>
    <row r="144">
      <c r="B144" s="61" t="s">
        <v>2532</v>
      </c>
      <c r="C144" s="57" t="s">
        <v>163</v>
      </c>
      <c r="D144" s="61" t="s">
        <v>1860</v>
      </c>
      <c r="E144" s="11" t="s">
        <v>13</v>
      </c>
    </row>
    <row r="145">
      <c r="B145" s="61" t="s">
        <v>1860</v>
      </c>
      <c r="C145" s="57" t="s">
        <v>181</v>
      </c>
      <c r="D145" s="61" t="s">
        <v>2476</v>
      </c>
      <c r="E145" s="11" t="s">
        <v>9</v>
      </c>
    </row>
    <row r="146">
      <c r="B146" s="61" t="s">
        <v>2532</v>
      </c>
      <c r="C146" s="57" t="s">
        <v>41</v>
      </c>
      <c r="D146" s="61" t="s">
        <v>1252</v>
      </c>
      <c r="E146" s="11" t="s">
        <v>13</v>
      </c>
    </row>
    <row r="147">
      <c r="B147" s="61" t="s">
        <v>2476</v>
      </c>
      <c r="C147" s="45" t="s">
        <v>155</v>
      </c>
      <c r="D147" s="61" t="s">
        <v>1034</v>
      </c>
      <c r="E147" s="11" t="s">
        <v>9</v>
      </c>
    </row>
    <row r="148">
      <c r="B148" s="61" t="s">
        <v>1860</v>
      </c>
      <c r="C148" s="45" t="s">
        <v>342</v>
      </c>
      <c r="D148" s="61" t="s">
        <v>1252</v>
      </c>
      <c r="E148" s="11" t="s">
        <v>13</v>
      </c>
    </row>
    <row r="149">
      <c r="B149" s="61" t="s">
        <v>2532</v>
      </c>
      <c r="C149" s="45" t="s">
        <v>161</v>
      </c>
      <c r="D149" s="61" t="s">
        <v>1034</v>
      </c>
      <c r="E149" s="15" t="s">
        <v>9</v>
      </c>
    </row>
    <row r="150">
      <c r="B150" s="61" t="s">
        <v>2476</v>
      </c>
      <c r="C150" s="45" t="s">
        <v>211</v>
      </c>
      <c r="D150" s="61" t="s">
        <v>1252</v>
      </c>
      <c r="E150" s="11" t="s">
        <v>13</v>
      </c>
    </row>
    <row r="151">
      <c r="B151" s="61" t="s">
        <v>1860</v>
      </c>
      <c r="C151" s="45" t="s">
        <v>1120</v>
      </c>
      <c r="D151" s="61" t="s">
        <v>1034</v>
      </c>
      <c r="E151" s="15" t="s">
        <v>9</v>
      </c>
    </row>
    <row r="152">
      <c r="B152" s="61" t="s">
        <v>2476</v>
      </c>
      <c r="C152" s="45" t="s">
        <v>173</v>
      </c>
      <c r="D152" s="61" t="s">
        <v>2532</v>
      </c>
      <c r="E152" s="11" t="s">
        <v>13</v>
      </c>
    </row>
    <row r="153">
      <c r="B153" s="61" t="s">
        <v>1252</v>
      </c>
      <c r="C153" s="45" t="s">
        <v>688</v>
      </c>
      <c r="D153" s="61" t="s">
        <v>1034</v>
      </c>
      <c r="E153" s="15" t="s">
        <v>9</v>
      </c>
    </row>
    <row r="154">
      <c r="B154" s="61" t="s">
        <v>1860</v>
      </c>
      <c r="C154" s="45" t="s">
        <v>19</v>
      </c>
      <c r="D154" s="61" t="s">
        <v>2532</v>
      </c>
      <c r="E154" s="11" t="s">
        <v>13</v>
      </c>
    </row>
    <row r="155">
      <c r="B155" s="96" t="s">
        <v>2533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2534</v>
      </c>
      <c r="C157" s="57" t="s">
        <v>271</v>
      </c>
      <c r="D157" s="61" t="s">
        <v>2535</v>
      </c>
      <c r="E157" s="11" t="s">
        <v>29</v>
      </c>
    </row>
    <row r="158">
      <c r="B158" s="61" t="s">
        <v>2536</v>
      </c>
      <c r="C158" s="57" t="s">
        <v>209</v>
      </c>
      <c r="D158" s="61" t="s">
        <v>2537</v>
      </c>
      <c r="E158" s="11" t="s">
        <v>33</v>
      </c>
    </row>
    <row r="159">
      <c r="B159" s="61" t="s">
        <v>2538</v>
      </c>
      <c r="C159" s="57" t="s">
        <v>230</v>
      </c>
      <c r="D159" s="61" t="s">
        <v>2534</v>
      </c>
      <c r="E159" s="11" t="s">
        <v>29</v>
      </c>
    </row>
    <row r="160">
      <c r="B160" s="61" t="s">
        <v>2536</v>
      </c>
      <c r="C160" s="57" t="s">
        <v>173</v>
      </c>
      <c r="D160" s="61" t="s">
        <v>2535</v>
      </c>
      <c r="E160" s="11" t="s">
        <v>33</v>
      </c>
    </row>
    <row r="161">
      <c r="B161" s="61" t="s">
        <v>2538</v>
      </c>
      <c r="C161" s="57" t="s">
        <v>41</v>
      </c>
      <c r="D161" s="61" t="s">
        <v>2537</v>
      </c>
      <c r="E161" s="11" t="s">
        <v>29</v>
      </c>
    </row>
    <row r="162">
      <c r="B162" s="61" t="s">
        <v>2536</v>
      </c>
      <c r="C162" s="57" t="s">
        <v>352</v>
      </c>
      <c r="D162" s="61" t="s">
        <v>2534</v>
      </c>
      <c r="E162" s="11" t="s">
        <v>33</v>
      </c>
    </row>
    <row r="163">
      <c r="B163" s="61" t="s">
        <v>2538</v>
      </c>
      <c r="C163" s="57" t="s">
        <v>193</v>
      </c>
      <c r="D163" s="61" t="s">
        <v>2535</v>
      </c>
      <c r="E163" s="11" t="s">
        <v>29</v>
      </c>
    </row>
    <row r="164">
      <c r="B164" s="61" t="s">
        <v>2537</v>
      </c>
      <c r="C164" s="57" t="s">
        <v>195</v>
      </c>
      <c r="D164" s="61" t="s">
        <v>2534</v>
      </c>
      <c r="E164" s="11" t="s">
        <v>33</v>
      </c>
    </row>
    <row r="165">
      <c r="B165" s="61" t="s">
        <v>2538</v>
      </c>
      <c r="C165" s="57" t="s">
        <v>289</v>
      </c>
      <c r="D165" s="61" t="s">
        <v>2536</v>
      </c>
      <c r="E165" s="11" t="s">
        <v>29</v>
      </c>
    </row>
    <row r="166">
      <c r="B166" s="61" t="s">
        <v>2537</v>
      </c>
      <c r="C166" s="57" t="s">
        <v>158</v>
      </c>
      <c r="D166" s="61" t="s">
        <v>2535</v>
      </c>
      <c r="E166" s="11" t="s">
        <v>33</v>
      </c>
    </row>
    <row r="167">
      <c r="B167" s="61" t="s">
        <v>2535</v>
      </c>
      <c r="C167" s="57" t="s">
        <v>194</v>
      </c>
      <c r="D167" s="61" t="s">
        <v>2534</v>
      </c>
      <c r="E167" s="11" t="s">
        <v>29</v>
      </c>
    </row>
    <row r="168">
      <c r="B168" s="61" t="s">
        <v>2537</v>
      </c>
      <c r="C168" s="57" t="s">
        <v>196</v>
      </c>
      <c r="D168" s="61" t="s">
        <v>2536</v>
      </c>
      <c r="E168" s="11" t="s">
        <v>33</v>
      </c>
    </row>
    <row r="169">
      <c r="B169" s="61" t="s">
        <v>2534</v>
      </c>
      <c r="C169" s="57" t="s">
        <v>11</v>
      </c>
      <c r="D169" s="61" t="s">
        <v>2538</v>
      </c>
      <c r="E169" s="11" t="s">
        <v>29</v>
      </c>
    </row>
    <row r="170">
      <c r="B170" s="61" t="s">
        <v>2535</v>
      </c>
      <c r="C170" s="57" t="s">
        <v>231</v>
      </c>
      <c r="D170" s="61" t="s">
        <v>2536</v>
      </c>
      <c r="E170" s="11" t="s">
        <v>33</v>
      </c>
      <c r="F170" s="63"/>
    </row>
    <row r="171">
      <c r="B171" s="61" t="s">
        <v>2537</v>
      </c>
      <c r="C171" s="57" t="s">
        <v>193</v>
      </c>
      <c r="D171" s="61" t="s">
        <v>2538</v>
      </c>
      <c r="E171" s="11" t="s">
        <v>29</v>
      </c>
    </row>
    <row r="172">
      <c r="B172" s="61" t="s">
        <v>2534</v>
      </c>
      <c r="C172" s="57" t="s">
        <v>1120</v>
      </c>
      <c r="D172" s="61" t="s">
        <v>2536</v>
      </c>
      <c r="E172" s="11" t="s">
        <v>33</v>
      </c>
    </row>
    <row r="173">
      <c r="B173" s="61" t="s">
        <v>2535</v>
      </c>
      <c r="C173" s="57" t="s">
        <v>195</v>
      </c>
      <c r="D173" s="61" t="s">
        <v>2538</v>
      </c>
      <c r="E173" s="11" t="s">
        <v>29</v>
      </c>
    </row>
    <row r="174">
      <c r="B174" s="61" t="s">
        <v>2534</v>
      </c>
      <c r="C174" s="57" t="s">
        <v>158</v>
      </c>
      <c r="D174" s="61" t="s">
        <v>2537</v>
      </c>
      <c r="E174" s="11" t="s">
        <v>33</v>
      </c>
    </row>
    <row r="175">
      <c r="B175" s="61" t="s">
        <v>2536</v>
      </c>
      <c r="C175" s="57" t="s">
        <v>155</v>
      </c>
      <c r="D175" s="61" t="s">
        <v>2538</v>
      </c>
      <c r="E175" s="11" t="s">
        <v>29</v>
      </c>
    </row>
    <row r="176">
      <c r="B176" s="61" t="s">
        <v>2535</v>
      </c>
      <c r="C176" s="57" t="s">
        <v>155</v>
      </c>
      <c r="D176" s="61" t="s">
        <v>2537</v>
      </c>
      <c r="E176" s="11" t="s">
        <v>33</v>
      </c>
    </row>
    <row r="177">
      <c r="B177" s="1" t="s">
        <v>2483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2539</v>
      </c>
      <c r="C179" s="57" t="s">
        <v>279</v>
      </c>
      <c r="D179" s="61" t="s">
        <v>738</v>
      </c>
      <c r="E179" s="11" t="s">
        <v>9</v>
      </c>
    </row>
    <row r="180">
      <c r="B180" s="61" t="s">
        <v>1167</v>
      </c>
      <c r="C180" s="57" t="s">
        <v>209</v>
      </c>
      <c r="D180" s="61" t="s">
        <v>2540</v>
      </c>
      <c r="E180" s="11" t="s">
        <v>13</v>
      </c>
    </row>
    <row r="181">
      <c r="B181" s="61" t="s">
        <v>2541</v>
      </c>
      <c r="C181" s="57" t="s">
        <v>18</v>
      </c>
      <c r="D181" s="61" t="s">
        <v>2539</v>
      </c>
      <c r="E181" s="11" t="s">
        <v>9</v>
      </c>
    </row>
    <row r="182">
      <c r="B182" s="61" t="s">
        <v>1167</v>
      </c>
      <c r="C182" s="57" t="s">
        <v>233</v>
      </c>
      <c r="D182" s="61" t="s">
        <v>738</v>
      </c>
      <c r="E182" s="11" t="s">
        <v>13</v>
      </c>
    </row>
    <row r="183">
      <c r="B183" s="61" t="s">
        <v>2541</v>
      </c>
      <c r="C183" s="57" t="s">
        <v>193</v>
      </c>
      <c r="D183" s="61" t="s">
        <v>2540</v>
      </c>
      <c r="E183" s="11" t="s">
        <v>9</v>
      </c>
    </row>
    <row r="184">
      <c r="B184" s="61" t="s">
        <v>1167</v>
      </c>
      <c r="C184" s="57" t="s">
        <v>196</v>
      </c>
      <c r="D184" s="61" t="s">
        <v>2539</v>
      </c>
      <c r="E184" s="11" t="s">
        <v>13</v>
      </c>
    </row>
    <row r="185">
      <c r="B185" s="61" t="s">
        <v>2541</v>
      </c>
      <c r="C185" s="57" t="s">
        <v>187</v>
      </c>
      <c r="D185" s="61" t="s">
        <v>738</v>
      </c>
      <c r="E185" s="11" t="s">
        <v>9</v>
      </c>
    </row>
    <row r="186">
      <c r="B186" s="61" t="s">
        <v>2540</v>
      </c>
      <c r="C186" s="57" t="s">
        <v>177</v>
      </c>
      <c r="D186" s="61" t="s">
        <v>2539</v>
      </c>
      <c r="E186" s="11" t="s">
        <v>13</v>
      </c>
    </row>
    <row r="187">
      <c r="B187" s="61" t="s">
        <v>2541</v>
      </c>
      <c r="C187" s="57" t="s">
        <v>194</v>
      </c>
      <c r="D187" s="61" t="s">
        <v>1167</v>
      </c>
      <c r="E187" s="11" t="s">
        <v>9</v>
      </c>
    </row>
    <row r="188">
      <c r="B188" s="61" t="s">
        <v>2540</v>
      </c>
      <c r="C188" s="57" t="s">
        <v>177</v>
      </c>
      <c r="D188" s="61" t="s">
        <v>738</v>
      </c>
      <c r="E188" s="11" t="s">
        <v>13</v>
      </c>
    </row>
    <row r="189">
      <c r="B189" s="61" t="s">
        <v>738</v>
      </c>
      <c r="C189" s="57" t="s">
        <v>313</v>
      </c>
      <c r="D189" s="61" t="s">
        <v>2539</v>
      </c>
      <c r="E189" s="11" t="s">
        <v>9</v>
      </c>
    </row>
    <row r="190">
      <c r="B190" s="61" t="s">
        <v>2540</v>
      </c>
      <c r="C190" s="57" t="s">
        <v>248</v>
      </c>
      <c r="D190" s="61" t="s">
        <v>1167</v>
      </c>
      <c r="E190" s="11" t="s">
        <v>13</v>
      </c>
    </row>
    <row r="191">
      <c r="B191" s="61" t="s">
        <v>2539</v>
      </c>
      <c r="C191" s="45" t="s">
        <v>225</v>
      </c>
      <c r="D191" s="61" t="s">
        <v>2541</v>
      </c>
      <c r="E191" s="11" t="s">
        <v>9</v>
      </c>
    </row>
    <row r="192">
      <c r="B192" s="61" t="s">
        <v>738</v>
      </c>
      <c r="C192" s="45" t="s">
        <v>1389</v>
      </c>
      <c r="D192" s="61" t="s">
        <v>1167</v>
      </c>
      <c r="E192" s="11" t="s">
        <v>13</v>
      </c>
    </row>
    <row r="193">
      <c r="B193" s="61" t="s">
        <v>2540</v>
      </c>
      <c r="C193" s="45" t="s">
        <v>194</v>
      </c>
      <c r="D193" s="61" t="s">
        <v>2541</v>
      </c>
      <c r="E193" s="11" t="s">
        <v>9</v>
      </c>
    </row>
    <row r="194">
      <c r="B194" s="61" t="s">
        <v>2539</v>
      </c>
      <c r="C194" s="45" t="s">
        <v>17</v>
      </c>
      <c r="D194" s="61" t="s">
        <v>1167</v>
      </c>
      <c r="E194" s="11" t="s">
        <v>13</v>
      </c>
    </row>
    <row r="195">
      <c r="B195" s="61" t="s">
        <v>738</v>
      </c>
      <c r="C195" s="45" t="s">
        <v>344</v>
      </c>
      <c r="D195" s="61" t="s">
        <v>2541</v>
      </c>
      <c r="E195" s="11" t="s">
        <v>9</v>
      </c>
    </row>
    <row r="196">
      <c r="B196" s="61" t="s">
        <v>2539</v>
      </c>
      <c r="C196" s="45" t="s">
        <v>225</v>
      </c>
      <c r="D196" s="61" t="s">
        <v>2540</v>
      </c>
      <c r="E196" s="11" t="s">
        <v>13</v>
      </c>
    </row>
    <row r="197">
      <c r="B197" s="61" t="s">
        <v>1167</v>
      </c>
      <c r="C197" s="45" t="s">
        <v>507</v>
      </c>
      <c r="D197" s="61" t="s">
        <v>2541</v>
      </c>
      <c r="E197" s="11" t="s">
        <v>9</v>
      </c>
    </row>
    <row r="198">
      <c r="B198" s="61" t="s">
        <v>738</v>
      </c>
      <c r="C198" s="45" t="s">
        <v>545</v>
      </c>
      <c r="D198" s="61" t="s">
        <v>2540</v>
      </c>
      <c r="E198" s="11" t="s">
        <v>13</v>
      </c>
    </row>
    <row r="199">
      <c r="B199" s="1" t="s">
        <v>2542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2543</v>
      </c>
      <c r="C201" s="57" t="s">
        <v>155</v>
      </c>
      <c r="D201" s="61" t="s">
        <v>2544</v>
      </c>
      <c r="E201" s="11" t="s">
        <v>29</v>
      </c>
    </row>
    <row r="202">
      <c r="B202" s="61" t="s">
        <v>2545</v>
      </c>
      <c r="C202" s="57" t="s">
        <v>419</v>
      </c>
      <c r="D202" s="61" t="s">
        <v>2546</v>
      </c>
      <c r="E202" s="11" t="s">
        <v>33</v>
      </c>
    </row>
    <row r="203">
      <c r="B203" s="61" t="s">
        <v>1687</v>
      </c>
      <c r="C203" s="57" t="s">
        <v>2547</v>
      </c>
      <c r="D203" s="61" t="s">
        <v>2543</v>
      </c>
      <c r="E203" s="11" t="s">
        <v>29</v>
      </c>
    </row>
    <row r="204">
      <c r="B204" s="61" t="s">
        <v>2545</v>
      </c>
      <c r="C204" s="57" t="s">
        <v>1049</v>
      </c>
      <c r="D204" s="61" t="s">
        <v>2544</v>
      </c>
      <c r="E204" s="11" t="s">
        <v>33</v>
      </c>
    </row>
    <row r="205">
      <c r="B205" s="61" t="s">
        <v>1687</v>
      </c>
      <c r="C205" s="57" t="s">
        <v>16</v>
      </c>
      <c r="D205" s="61" t="s">
        <v>2546</v>
      </c>
      <c r="E205" s="11" t="s">
        <v>29</v>
      </c>
    </row>
    <row r="206">
      <c r="B206" s="61" t="s">
        <v>2545</v>
      </c>
      <c r="C206" s="57" t="s">
        <v>1188</v>
      </c>
      <c r="D206" s="61" t="s">
        <v>2543</v>
      </c>
      <c r="E206" s="11" t="s">
        <v>33</v>
      </c>
    </row>
    <row r="207">
      <c r="B207" s="61" t="s">
        <v>1687</v>
      </c>
      <c r="C207" s="57" t="s">
        <v>17</v>
      </c>
      <c r="D207" s="61" t="s">
        <v>2544</v>
      </c>
      <c r="E207" s="11" t="s">
        <v>29</v>
      </c>
    </row>
    <row r="208">
      <c r="B208" s="61" t="s">
        <v>2546</v>
      </c>
      <c r="C208" s="57" t="s">
        <v>203</v>
      </c>
      <c r="D208" s="61" t="s">
        <v>2543</v>
      </c>
      <c r="E208" s="11" t="s">
        <v>33</v>
      </c>
    </row>
    <row r="209">
      <c r="B209" s="61" t="s">
        <v>1687</v>
      </c>
      <c r="C209" s="57" t="s">
        <v>168</v>
      </c>
      <c r="D209" s="61" t="s">
        <v>2545</v>
      </c>
      <c r="E209" s="11" t="s">
        <v>29</v>
      </c>
    </row>
    <row r="210">
      <c r="B210" s="61" t="s">
        <v>2546</v>
      </c>
      <c r="C210" s="57" t="s">
        <v>23</v>
      </c>
      <c r="D210" s="61" t="s">
        <v>2544</v>
      </c>
      <c r="E210" s="11" t="s">
        <v>33</v>
      </c>
    </row>
    <row r="211">
      <c r="B211" s="61" t="s">
        <v>2544</v>
      </c>
      <c r="C211" s="57" t="s">
        <v>640</v>
      </c>
      <c r="D211" s="61" t="s">
        <v>2543</v>
      </c>
      <c r="E211" s="11" t="s">
        <v>29</v>
      </c>
    </row>
    <row r="212">
      <c r="B212" s="61" t="s">
        <v>2546</v>
      </c>
      <c r="C212" s="57" t="s">
        <v>18</v>
      </c>
      <c r="D212" s="61" t="s">
        <v>2545</v>
      </c>
      <c r="E212" s="11" t="s">
        <v>33</v>
      </c>
    </row>
    <row r="213">
      <c r="B213" s="61" t="s">
        <v>2543</v>
      </c>
      <c r="C213" s="57" t="s">
        <v>165</v>
      </c>
      <c r="D213" s="61" t="s">
        <v>1687</v>
      </c>
      <c r="E213" s="11" t="s">
        <v>29</v>
      </c>
    </row>
    <row r="214">
      <c r="B214" s="61" t="s">
        <v>2544</v>
      </c>
      <c r="C214" s="57" t="s">
        <v>251</v>
      </c>
      <c r="D214" s="61" t="s">
        <v>2545</v>
      </c>
      <c r="E214" s="11" t="s">
        <v>33</v>
      </c>
    </row>
    <row r="215">
      <c r="B215" s="61" t="s">
        <v>2546</v>
      </c>
      <c r="C215" s="57" t="s">
        <v>7</v>
      </c>
      <c r="D215" s="61" t="s">
        <v>1687</v>
      </c>
      <c r="E215" s="11" t="s">
        <v>29</v>
      </c>
    </row>
    <row r="216">
      <c r="B216" s="61" t="s">
        <v>2543</v>
      </c>
      <c r="C216" s="57" t="s">
        <v>41</v>
      </c>
      <c r="D216" s="61" t="s">
        <v>2545</v>
      </c>
      <c r="E216" s="11" t="s">
        <v>33</v>
      </c>
    </row>
    <row r="217">
      <c r="B217" s="61" t="s">
        <v>2544</v>
      </c>
      <c r="C217" s="57" t="s">
        <v>158</v>
      </c>
      <c r="D217" s="61" t="s">
        <v>1687</v>
      </c>
      <c r="E217" s="11" t="s">
        <v>29</v>
      </c>
    </row>
    <row r="218">
      <c r="B218" s="61" t="s">
        <v>2543</v>
      </c>
      <c r="C218" s="57" t="s">
        <v>16</v>
      </c>
      <c r="D218" s="61" t="s">
        <v>2546</v>
      </c>
      <c r="E218" s="11" t="s">
        <v>33</v>
      </c>
    </row>
    <row r="219">
      <c r="B219" s="61" t="s">
        <v>2545</v>
      </c>
      <c r="C219" s="57" t="s">
        <v>23</v>
      </c>
      <c r="D219" s="61" t="s">
        <v>1687</v>
      </c>
      <c r="E219" s="11" t="s">
        <v>29</v>
      </c>
    </row>
    <row r="220">
      <c r="B220" s="61" t="s">
        <v>2544</v>
      </c>
      <c r="C220" s="57" t="s">
        <v>248</v>
      </c>
      <c r="D220" s="61" t="s">
        <v>2546</v>
      </c>
      <c r="E220" s="11" t="s">
        <v>33</v>
      </c>
    </row>
    <row r="221">
      <c r="B221" s="52" t="s">
        <v>2486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1088</v>
      </c>
      <c r="C223" s="57" t="s">
        <v>161</v>
      </c>
      <c r="D223" s="62" t="s">
        <v>1279</v>
      </c>
      <c r="E223" s="11" t="s">
        <v>29</v>
      </c>
    </row>
    <row r="224">
      <c r="B224" s="62" t="s">
        <v>1164</v>
      </c>
      <c r="C224" s="57" t="s">
        <v>219</v>
      </c>
      <c r="D224" s="62" t="s">
        <v>1797</v>
      </c>
      <c r="E224" s="11" t="s">
        <v>33</v>
      </c>
    </row>
    <row r="225">
      <c r="B225" s="62" t="s">
        <v>2548</v>
      </c>
      <c r="C225" s="57" t="s">
        <v>208</v>
      </c>
      <c r="D225" s="62" t="s">
        <v>1088</v>
      </c>
      <c r="E225" s="11" t="s">
        <v>29</v>
      </c>
    </row>
    <row r="226">
      <c r="B226" s="62" t="s">
        <v>1164</v>
      </c>
      <c r="C226" s="57" t="s">
        <v>158</v>
      </c>
      <c r="D226" s="62" t="s">
        <v>1279</v>
      </c>
      <c r="E226" s="11" t="s">
        <v>33</v>
      </c>
    </row>
    <row r="227">
      <c r="B227" s="62" t="s">
        <v>2548</v>
      </c>
      <c r="C227" s="57" t="s">
        <v>574</v>
      </c>
      <c r="D227" s="62" t="s">
        <v>1797</v>
      </c>
      <c r="E227" s="11" t="s">
        <v>29</v>
      </c>
    </row>
    <row r="228">
      <c r="B228" s="62" t="s">
        <v>1164</v>
      </c>
      <c r="C228" s="57" t="s">
        <v>23</v>
      </c>
      <c r="D228" s="62" t="s">
        <v>1088</v>
      </c>
      <c r="E228" s="11" t="s">
        <v>33</v>
      </c>
    </row>
    <row r="229">
      <c r="B229" s="62" t="s">
        <v>2548</v>
      </c>
      <c r="C229" s="57" t="s">
        <v>17</v>
      </c>
      <c r="D229" s="62" t="s">
        <v>1279</v>
      </c>
      <c r="E229" s="11" t="s">
        <v>29</v>
      </c>
    </row>
    <row r="230">
      <c r="B230" s="62" t="s">
        <v>1797</v>
      </c>
      <c r="C230" s="57" t="s">
        <v>517</v>
      </c>
      <c r="D230" s="62" t="s">
        <v>1088</v>
      </c>
      <c r="E230" s="11" t="s">
        <v>33</v>
      </c>
    </row>
    <row r="231">
      <c r="B231" s="62" t="s">
        <v>2548</v>
      </c>
      <c r="C231" s="57" t="s">
        <v>313</v>
      </c>
      <c r="D231" s="62" t="s">
        <v>1164</v>
      </c>
      <c r="E231" s="11" t="s">
        <v>29</v>
      </c>
    </row>
    <row r="232">
      <c r="B232" s="62" t="s">
        <v>1797</v>
      </c>
      <c r="C232" s="57" t="s">
        <v>18</v>
      </c>
      <c r="D232" s="62" t="s">
        <v>1279</v>
      </c>
      <c r="E232" s="11" t="s">
        <v>33</v>
      </c>
    </row>
    <row r="233">
      <c r="B233" s="62" t="s">
        <v>1279</v>
      </c>
      <c r="C233" s="57" t="s">
        <v>163</v>
      </c>
      <c r="D233" s="62" t="s">
        <v>1088</v>
      </c>
      <c r="E233" s="11" t="s">
        <v>29</v>
      </c>
    </row>
    <row r="234">
      <c r="B234" s="62" t="s">
        <v>1797</v>
      </c>
      <c r="C234" s="57" t="s">
        <v>404</v>
      </c>
      <c r="D234" s="62" t="s">
        <v>1164</v>
      </c>
      <c r="E234" s="11" t="s">
        <v>33</v>
      </c>
    </row>
    <row r="235">
      <c r="B235" s="62" t="s">
        <v>1088</v>
      </c>
      <c r="C235" s="57" t="s">
        <v>193</v>
      </c>
      <c r="D235" s="62" t="s">
        <v>2548</v>
      </c>
      <c r="E235" s="11" t="s">
        <v>29</v>
      </c>
    </row>
    <row r="236">
      <c r="B236" s="62" t="s">
        <v>1279</v>
      </c>
      <c r="C236" s="57" t="s">
        <v>2549</v>
      </c>
      <c r="D236" s="62" t="s">
        <v>1164</v>
      </c>
      <c r="E236" s="11" t="s">
        <v>33</v>
      </c>
    </row>
    <row r="237">
      <c r="B237" s="62" t="s">
        <v>1797</v>
      </c>
      <c r="C237" s="57" t="s">
        <v>196</v>
      </c>
      <c r="D237" s="62" t="s">
        <v>2548</v>
      </c>
      <c r="E237" s="11" t="s">
        <v>29</v>
      </c>
    </row>
    <row r="238">
      <c r="B238" s="62" t="s">
        <v>1088</v>
      </c>
      <c r="C238" s="57" t="s">
        <v>210</v>
      </c>
      <c r="D238" s="62" t="s">
        <v>1164</v>
      </c>
      <c r="E238" s="11" t="s">
        <v>33</v>
      </c>
    </row>
    <row r="239">
      <c r="B239" s="62" t="s">
        <v>1279</v>
      </c>
      <c r="C239" s="57" t="s">
        <v>162</v>
      </c>
      <c r="D239" s="62" t="s">
        <v>2548</v>
      </c>
      <c r="E239" s="11" t="s">
        <v>29</v>
      </c>
    </row>
    <row r="240">
      <c r="B240" s="62" t="s">
        <v>1088</v>
      </c>
      <c r="C240" s="57" t="s">
        <v>162</v>
      </c>
      <c r="D240" s="62" t="s">
        <v>1797</v>
      </c>
      <c r="E240" s="11" t="s">
        <v>33</v>
      </c>
    </row>
    <row r="241">
      <c r="B241" s="62" t="s">
        <v>1164</v>
      </c>
      <c r="C241" s="57" t="s">
        <v>184</v>
      </c>
      <c r="D241" s="62" t="s">
        <v>2548</v>
      </c>
      <c r="E241" s="11" t="s">
        <v>29</v>
      </c>
    </row>
    <row r="242">
      <c r="B242" s="62" t="s">
        <v>1279</v>
      </c>
      <c r="C242" s="57" t="s">
        <v>208</v>
      </c>
      <c r="D242" s="62" t="s">
        <v>1797</v>
      </c>
      <c r="E242" s="11" t="s">
        <v>33</v>
      </c>
    </row>
    <row r="243">
      <c r="B243" s="52" t="s">
        <v>1803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1780</v>
      </c>
      <c r="C245" s="57" t="s">
        <v>2494</v>
      </c>
      <c r="D245" s="62" t="s">
        <v>752</v>
      </c>
      <c r="E245" s="11" t="s">
        <v>9</v>
      </c>
      <c r="I245" s="50" t="s">
        <v>861</v>
      </c>
    </row>
    <row r="246">
      <c r="B246" s="62" t="s">
        <v>629</v>
      </c>
      <c r="C246" s="57" t="s">
        <v>42</v>
      </c>
      <c r="D246" s="62" t="s">
        <v>2550</v>
      </c>
      <c r="E246" s="11" t="s">
        <v>13</v>
      </c>
    </row>
    <row r="247">
      <c r="B247" s="62" t="s">
        <v>1642</v>
      </c>
      <c r="C247" s="57" t="s">
        <v>394</v>
      </c>
      <c r="D247" s="62" t="s">
        <v>1780</v>
      </c>
      <c r="E247" s="11" t="s">
        <v>9</v>
      </c>
    </row>
    <row r="248">
      <c r="B248" s="62" t="s">
        <v>629</v>
      </c>
      <c r="C248" s="57" t="s">
        <v>193</v>
      </c>
      <c r="D248" s="62" t="s">
        <v>752</v>
      </c>
      <c r="E248" s="11" t="s">
        <v>13</v>
      </c>
    </row>
    <row r="249">
      <c r="B249" s="62" t="s">
        <v>1642</v>
      </c>
      <c r="C249" s="57" t="s">
        <v>20</v>
      </c>
      <c r="D249" s="62" t="s">
        <v>2550</v>
      </c>
      <c r="E249" s="11" t="s">
        <v>9</v>
      </c>
    </row>
    <row r="250">
      <c r="B250" s="62" t="s">
        <v>629</v>
      </c>
      <c r="C250" s="57" t="s">
        <v>41</v>
      </c>
      <c r="D250" s="62" t="s">
        <v>1780</v>
      </c>
      <c r="E250" s="11" t="s">
        <v>13</v>
      </c>
    </row>
    <row r="251">
      <c r="B251" s="62" t="s">
        <v>1642</v>
      </c>
      <c r="C251" s="57" t="s">
        <v>177</v>
      </c>
      <c r="D251" s="62" t="s">
        <v>752</v>
      </c>
      <c r="E251" s="11" t="s">
        <v>9</v>
      </c>
    </row>
    <row r="252">
      <c r="B252" s="62" t="s">
        <v>2550</v>
      </c>
      <c r="C252" s="57" t="s">
        <v>176</v>
      </c>
      <c r="D252" s="62" t="s">
        <v>1780</v>
      </c>
      <c r="E252" s="11" t="s">
        <v>13</v>
      </c>
    </row>
    <row r="253">
      <c r="B253" s="62" t="s">
        <v>1642</v>
      </c>
      <c r="C253" s="57" t="s">
        <v>23</v>
      </c>
      <c r="D253" s="62" t="s">
        <v>629</v>
      </c>
      <c r="E253" s="11" t="s">
        <v>9</v>
      </c>
    </row>
    <row r="254">
      <c r="B254" s="62" t="s">
        <v>2550</v>
      </c>
      <c r="C254" s="57" t="s">
        <v>184</v>
      </c>
      <c r="D254" s="62" t="s">
        <v>752</v>
      </c>
      <c r="E254" s="11" t="s">
        <v>13</v>
      </c>
    </row>
    <row r="255">
      <c r="B255" s="62" t="s">
        <v>752</v>
      </c>
      <c r="C255" s="57" t="s">
        <v>165</v>
      </c>
      <c r="D255" s="62" t="s">
        <v>1780</v>
      </c>
      <c r="E255" s="11" t="s">
        <v>9</v>
      </c>
    </row>
    <row r="256">
      <c r="B256" s="62" t="s">
        <v>2550</v>
      </c>
      <c r="C256" s="57" t="s">
        <v>24</v>
      </c>
      <c r="D256" s="62" t="s">
        <v>629</v>
      </c>
      <c r="E256" s="11" t="s">
        <v>13</v>
      </c>
    </row>
    <row r="257">
      <c r="B257" s="62" t="s">
        <v>1780</v>
      </c>
      <c r="C257" s="45" t="s">
        <v>302</v>
      </c>
      <c r="D257" s="62" t="s">
        <v>1642</v>
      </c>
      <c r="E257" s="11" t="s">
        <v>9</v>
      </c>
    </row>
    <row r="258">
      <c r="B258" s="62" t="s">
        <v>752</v>
      </c>
      <c r="C258" s="45" t="s">
        <v>210</v>
      </c>
      <c r="D258" s="62" t="s">
        <v>629</v>
      </c>
      <c r="E258" s="11" t="s">
        <v>13</v>
      </c>
    </row>
    <row r="259">
      <c r="B259" s="62" t="s">
        <v>2550</v>
      </c>
      <c r="C259" s="45" t="s">
        <v>18</v>
      </c>
      <c r="D259" s="62" t="s">
        <v>1642</v>
      </c>
      <c r="E259" s="11" t="s">
        <v>9</v>
      </c>
    </row>
    <row r="260">
      <c r="B260" s="62" t="s">
        <v>1780</v>
      </c>
      <c r="C260" s="45" t="s">
        <v>19</v>
      </c>
      <c r="D260" s="62" t="s">
        <v>629</v>
      </c>
      <c r="E260" s="11" t="s">
        <v>13</v>
      </c>
    </row>
    <row r="261">
      <c r="B261" s="62" t="s">
        <v>752</v>
      </c>
      <c r="C261" s="45" t="s">
        <v>155</v>
      </c>
      <c r="D261" s="62" t="s">
        <v>1642</v>
      </c>
      <c r="E261" s="11" t="s">
        <v>9</v>
      </c>
    </row>
    <row r="262">
      <c r="B262" s="62" t="s">
        <v>1780</v>
      </c>
      <c r="C262" s="45" t="s">
        <v>180</v>
      </c>
      <c r="D262" s="62" t="s">
        <v>2550</v>
      </c>
      <c r="E262" s="11" t="s">
        <v>13</v>
      </c>
    </row>
    <row r="263">
      <c r="B263" s="62" t="s">
        <v>629</v>
      </c>
      <c r="C263" s="45" t="s">
        <v>158</v>
      </c>
      <c r="D263" s="62" t="s">
        <v>1642</v>
      </c>
      <c r="E263" s="11" t="s">
        <v>9</v>
      </c>
    </row>
    <row r="264">
      <c r="B264" s="62" t="s">
        <v>752</v>
      </c>
      <c r="C264" s="45" t="s">
        <v>7</v>
      </c>
      <c r="D264" s="62" t="s">
        <v>2550</v>
      </c>
      <c r="E264" s="11" t="s">
        <v>13</v>
      </c>
    </row>
    <row r="265">
      <c r="B265" s="52" t="s">
        <v>2166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2551</v>
      </c>
      <c r="C267" s="45" t="s">
        <v>163</v>
      </c>
      <c r="D267" s="62" t="s">
        <v>2552</v>
      </c>
      <c r="E267" s="11" t="s">
        <v>9</v>
      </c>
    </row>
    <row r="268">
      <c r="B268" s="62" t="s">
        <v>2553</v>
      </c>
      <c r="C268" s="45" t="s">
        <v>193</v>
      </c>
      <c r="D268" s="62" t="s">
        <v>2554</v>
      </c>
      <c r="E268" s="11" t="s">
        <v>13</v>
      </c>
    </row>
    <row r="269">
      <c r="B269" s="62" t="s">
        <v>1990</v>
      </c>
      <c r="C269" s="45" t="s">
        <v>164</v>
      </c>
      <c r="D269" s="62" t="s">
        <v>2551</v>
      </c>
      <c r="E269" s="11" t="s">
        <v>9</v>
      </c>
    </row>
    <row r="270">
      <c r="B270" s="62" t="s">
        <v>2553</v>
      </c>
      <c r="C270" s="45" t="s">
        <v>19</v>
      </c>
      <c r="D270" s="62" t="s">
        <v>2552</v>
      </c>
      <c r="E270" s="11" t="s">
        <v>13</v>
      </c>
    </row>
    <row r="271">
      <c r="B271" s="62" t="s">
        <v>1990</v>
      </c>
      <c r="C271" s="45" t="s">
        <v>164</v>
      </c>
      <c r="D271" s="62" t="s">
        <v>2554</v>
      </c>
      <c r="E271" s="11" t="s">
        <v>9</v>
      </c>
    </row>
    <row r="272">
      <c r="B272" s="62" t="s">
        <v>2553</v>
      </c>
      <c r="C272" s="45" t="s">
        <v>155</v>
      </c>
      <c r="D272" s="62" t="s">
        <v>2551</v>
      </c>
      <c r="E272" s="11" t="s">
        <v>13</v>
      </c>
    </row>
    <row r="273">
      <c r="B273" s="62" t="s">
        <v>1990</v>
      </c>
      <c r="C273" s="45" t="s">
        <v>245</v>
      </c>
      <c r="D273" s="62" t="s">
        <v>2552</v>
      </c>
      <c r="E273" s="11" t="s">
        <v>9</v>
      </c>
    </row>
    <row r="274">
      <c r="B274" s="62" t="s">
        <v>2554</v>
      </c>
      <c r="C274" s="45" t="s">
        <v>220</v>
      </c>
      <c r="D274" s="62" t="s">
        <v>2551</v>
      </c>
      <c r="E274" s="11" t="s">
        <v>13</v>
      </c>
    </row>
    <row r="275">
      <c r="B275" s="62" t="s">
        <v>1990</v>
      </c>
      <c r="C275" s="45" t="s">
        <v>248</v>
      </c>
      <c r="D275" s="62" t="s">
        <v>2553</v>
      </c>
      <c r="E275" s="11" t="s">
        <v>9</v>
      </c>
    </row>
    <row r="276">
      <c r="B276" s="62" t="s">
        <v>2554</v>
      </c>
      <c r="C276" s="45" t="s">
        <v>515</v>
      </c>
      <c r="D276" s="62" t="s">
        <v>2552</v>
      </c>
      <c r="E276" s="11" t="s">
        <v>13</v>
      </c>
    </row>
    <row r="277">
      <c r="B277" s="62" t="s">
        <v>2552</v>
      </c>
      <c r="C277" s="45" t="s">
        <v>21</v>
      </c>
      <c r="D277" s="62" t="s">
        <v>2551</v>
      </c>
      <c r="E277" s="11" t="s">
        <v>9</v>
      </c>
    </row>
    <row r="278">
      <c r="B278" s="62" t="s">
        <v>2554</v>
      </c>
      <c r="C278" s="45" t="s">
        <v>324</v>
      </c>
      <c r="D278" s="62" t="s">
        <v>2553</v>
      </c>
      <c r="E278" s="11" t="s">
        <v>13</v>
      </c>
    </row>
    <row r="279">
      <c r="B279" s="62" t="s">
        <v>2551</v>
      </c>
      <c r="C279" s="45" t="s">
        <v>292</v>
      </c>
      <c r="D279" s="62" t="s">
        <v>1990</v>
      </c>
      <c r="E279" s="11" t="s">
        <v>9</v>
      </c>
    </row>
    <row r="280">
      <c r="B280" s="62" t="s">
        <v>2552</v>
      </c>
      <c r="C280" s="45" t="s">
        <v>432</v>
      </c>
      <c r="D280" s="62" t="s">
        <v>2553</v>
      </c>
      <c r="E280" s="11" t="s">
        <v>13</v>
      </c>
    </row>
    <row r="281">
      <c r="B281" s="62" t="s">
        <v>2554</v>
      </c>
      <c r="C281" s="45" t="s">
        <v>162</v>
      </c>
      <c r="D281" s="62" t="s">
        <v>1990</v>
      </c>
      <c r="E281" s="11" t="s">
        <v>9</v>
      </c>
    </row>
    <row r="282">
      <c r="B282" s="62" t="s">
        <v>2551</v>
      </c>
      <c r="C282" s="45" t="s">
        <v>162</v>
      </c>
      <c r="D282" s="62" t="s">
        <v>2553</v>
      </c>
      <c r="E282" s="11" t="s">
        <v>13</v>
      </c>
    </row>
    <row r="283">
      <c r="B283" s="62" t="s">
        <v>2552</v>
      </c>
      <c r="C283" s="45" t="s">
        <v>193</v>
      </c>
      <c r="D283" s="62" t="s">
        <v>1990</v>
      </c>
      <c r="E283" s="11" t="s">
        <v>9</v>
      </c>
    </row>
    <row r="284">
      <c r="B284" s="62" t="s">
        <v>2551</v>
      </c>
      <c r="C284" s="45" t="s">
        <v>302</v>
      </c>
      <c r="D284" s="62" t="s">
        <v>2554</v>
      </c>
      <c r="E284" s="11" t="s">
        <v>13</v>
      </c>
    </row>
    <row r="285">
      <c r="B285" s="62" t="s">
        <v>2553</v>
      </c>
      <c r="C285" s="45" t="s">
        <v>219</v>
      </c>
      <c r="D285" s="62" t="s">
        <v>1990</v>
      </c>
      <c r="E285" s="11" t="s">
        <v>9</v>
      </c>
    </row>
    <row r="286">
      <c r="B286" s="62" t="s">
        <v>2552</v>
      </c>
      <c r="C286" s="45" t="s">
        <v>155</v>
      </c>
      <c r="D286" s="62" t="s">
        <v>2554</v>
      </c>
      <c r="E286" s="11" t="s">
        <v>13</v>
      </c>
    </row>
    <row r="287">
      <c r="B287" s="52" t="s">
        <v>2294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1763</v>
      </c>
      <c r="C289" s="57" t="s">
        <v>7</v>
      </c>
      <c r="D289" s="62" t="s">
        <v>2555</v>
      </c>
      <c r="E289" s="11" t="s">
        <v>29</v>
      </c>
    </row>
    <row r="290">
      <c r="B290" s="62" t="s">
        <v>2556</v>
      </c>
      <c r="C290" s="57" t="s">
        <v>219</v>
      </c>
      <c r="D290" s="62" t="s">
        <v>2008</v>
      </c>
      <c r="E290" s="11" t="s">
        <v>33</v>
      </c>
    </row>
    <row r="291">
      <c r="B291" s="62" t="s">
        <v>2557</v>
      </c>
      <c r="C291" s="57" t="s">
        <v>227</v>
      </c>
      <c r="D291" s="62" t="s">
        <v>1763</v>
      </c>
      <c r="E291" s="11" t="s">
        <v>29</v>
      </c>
    </row>
    <row r="292">
      <c r="B292" s="62" t="s">
        <v>2556</v>
      </c>
      <c r="C292" s="57" t="s">
        <v>158</v>
      </c>
      <c r="D292" s="62" t="s">
        <v>2555</v>
      </c>
      <c r="E292" s="11" t="s">
        <v>33</v>
      </c>
    </row>
    <row r="293">
      <c r="B293" s="62" t="s">
        <v>2557</v>
      </c>
      <c r="C293" s="57" t="s">
        <v>744</v>
      </c>
      <c r="D293" s="62" t="s">
        <v>2008</v>
      </c>
      <c r="E293" s="11" t="s">
        <v>29</v>
      </c>
    </row>
    <row r="294">
      <c r="B294" s="62" t="s">
        <v>2556</v>
      </c>
      <c r="C294" s="57" t="s">
        <v>218</v>
      </c>
      <c r="D294" s="62" t="s">
        <v>1763</v>
      </c>
      <c r="E294" s="11" t="s">
        <v>33</v>
      </c>
    </row>
    <row r="295">
      <c r="B295" s="62" t="s">
        <v>2557</v>
      </c>
      <c r="C295" s="57" t="s">
        <v>237</v>
      </c>
      <c r="D295" s="62" t="s">
        <v>2555</v>
      </c>
      <c r="E295" s="11" t="s">
        <v>29</v>
      </c>
    </row>
    <row r="296">
      <c r="B296" s="62" t="s">
        <v>2008</v>
      </c>
      <c r="C296" s="57" t="s">
        <v>184</v>
      </c>
      <c r="D296" s="62" t="s">
        <v>1763</v>
      </c>
      <c r="E296" s="11" t="s">
        <v>33</v>
      </c>
    </row>
    <row r="297">
      <c r="B297" s="62" t="s">
        <v>2557</v>
      </c>
      <c r="C297" s="57" t="s">
        <v>194</v>
      </c>
      <c r="D297" s="62" t="s">
        <v>2556</v>
      </c>
      <c r="E297" s="11" t="s">
        <v>29</v>
      </c>
    </row>
    <row r="298">
      <c r="B298" s="62" t="s">
        <v>2008</v>
      </c>
      <c r="C298" s="57" t="s">
        <v>171</v>
      </c>
      <c r="D298" s="62" t="s">
        <v>2555</v>
      </c>
      <c r="E298" s="11" t="s">
        <v>33</v>
      </c>
    </row>
    <row r="299">
      <c r="B299" s="62" t="s">
        <v>2555</v>
      </c>
      <c r="C299" s="57" t="s">
        <v>181</v>
      </c>
      <c r="D299" s="62" t="s">
        <v>1763</v>
      </c>
      <c r="E299" s="11" t="s">
        <v>29</v>
      </c>
      <c r="I299" s="50"/>
    </row>
    <row r="300">
      <c r="B300" s="62" t="s">
        <v>2008</v>
      </c>
      <c r="C300" s="57" t="s">
        <v>166</v>
      </c>
      <c r="D300" s="62" t="s">
        <v>2556</v>
      </c>
      <c r="E300" s="11" t="s">
        <v>33</v>
      </c>
    </row>
    <row r="301">
      <c r="B301" s="62" t="s">
        <v>1763</v>
      </c>
      <c r="C301" s="57" t="s">
        <v>524</v>
      </c>
      <c r="D301" s="62" t="s">
        <v>2557</v>
      </c>
      <c r="E301" s="11" t="s">
        <v>29</v>
      </c>
    </row>
    <row r="302">
      <c r="B302" s="62" t="s">
        <v>2555</v>
      </c>
      <c r="C302" s="57" t="s">
        <v>187</v>
      </c>
      <c r="D302" s="62" t="s">
        <v>2556</v>
      </c>
      <c r="E302" s="11" t="s">
        <v>33</v>
      </c>
    </row>
    <row r="303">
      <c r="B303" s="62" t="s">
        <v>2008</v>
      </c>
      <c r="C303" s="57" t="s">
        <v>165</v>
      </c>
      <c r="D303" s="62" t="s">
        <v>2557</v>
      </c>
      <c r="E303" s="11" t="s">
        <v>29</v>
      </c>
    </row>
    <row r="304">
      <c r="B304" s="62" t="s">
        <v>1763</v>
      </c>
      <c r="C304" s="57" t="s">
        <v>19</v>
      </c>
      <c r="D304" s="62" t="s">
        <v>2556</v>
      </c>
      <c r="E304" s="11" t="s">
        <v>33</v>
      </c>
    </row>
    <row r="305">
      <c r="B305" s="62" t="s">
        <v>2555</v>
      </c>
      <c r="C305" s="57" t="s">
        <v>155</v>
      </c>
      <c r="D305" s="62" t="s">
        <v>2557</v>
      </c>
      <c r="E305" s="11" t="s">
        <v>29</v>
      </c>
    </row>
    <row r="306">
      <c r="B306" s="62" t="s">
        <v>1763</v>
      </c>
      <c r="C306" s="57" t="s">
        <v>2416</v>
      </c>
      <c r="D306" s="62" t="s">
        <v>2008</v>
      </c>
      <c r="E306" s="11" t="s">
        <v>33</v>
      </c>
    </row>
    <row r="307">
      <c r="B307" s="62" t="s">
        <v>2556</v>
      </c>
      <c r="C307" s="57" t="s">
        <v>290</v>
      </c>
      <c r="D307" s="62" t="s">
        <v>2557</v>
      </c>
      <c r="E307" s="11" t="s">
        <v>29</v>
      </c>
      <c r="J307" s="50"/>
    </row>
    <row r="308">
      <c r="B308" s="62" t="s">
        <v>2555</v>
      </c>
      <c r="C308" s="57" t="s">
        <v>464</v>
      </c>
      <c r="D308" s="62" t="s">
        <v>2008</v>
      </c>
      <c r="E308" s="11" t="s">
        <v>33</v>
      </c>
    </row>
    <row r="309">
      <c r="B309" s="52" t="s">
        <v>2503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62" t="s">
        <v>1369</v>
      </c>
      <c r="C311" s="57" t="s">
        <v>229</v>
      </c>
      <c r="D311" s="62" t="s">
        <v>2558</v>
      </c>
      <c r="E311" s="11" t="s">
        <v>29</v>
      </c>
    </row>
    <row r="312">
      <c r="B312" s="62" t="s">
        <v>2559</v>
      </c>
      <c r="C312" s="57" t="s">
        <v>2560</v>
      </c>
      <c r="D312" s="62" t="s">
        <v>2561</v>
      </c>
      <c r="E312" s="11" t="s">
        <v>33</v>
      </c>
    </row>
    <row r="313">
      <c r="B313" s="62" t="s">
        <v>1106</v>
      </c>
      <c r="C313" s="57" t="s">
        <v>237</v>
      </c>
      <c r="D313" s="62" t="s">
        <v>1369</v>
      </c>
      <c r="E313" s="11" t="s">
        <v>29</v>
      </c>
    </row>
    <row r="314">
      <c r="B314" s="62" t="s">
        <v>2559</v>
      </c>
      <c r="C314" s="57" t="s">
        <v>166</v>
      </c>
      <c r="D314" s="62" t="s">
        <v>2558</v>
      </c>
      <c r="E314" s="11" t="s">
        <v>33</v>
      </c>
    </row>
    <row r="315">
      <c r="B315" s="62" t="s">
        <v>1106</v>
      </c>
      <c r="C315" s="57" t="s">
        <v>251</v>
      </c>
      <c r="D315" s="62" t="s">
        <v>2561</v>
      </c>
      <c r="E315" s="11" t="s">
        <v>29</v>
      </c>
    </row>
    <row r="316">
      <c r="B316" s="62" t="s">
        <v>2559</v>
      </c>
      <c r="C316" s="57" t="s">
        <v>2562</v>
      </c>
      <c r="D316" s="62" t="s">
        <v>1369</v>
      </c>
      <c r="E316" s="11" t="s">
        <v>33</v>
      </c>
    </row>
    <row r="317">
      <c r="B317" s="62" t="s">
        <v>1106</v>
      </c>
      <c r="C317" s="57" t="s">
        <v>354</v>
      </c>
      <c r="D317" s="62" t="s">
        <v>2558</v>
      </c>
      <c r="E317" s="11" t="s">
        <v>29</v>
      </c>
    </row>
    <row r="318">
      <c r="B318" s="62" t="s">
        <v>2561</v>
      </c>
      <c r="C318" s="57" t="s">
        <v>159</v>
      </c>
      <c r="D318" s="62" t="s">
        <v>1369</v>
      </c>
      <c r="E318" s="11" t="s">
        <v>33</v>
      </c>
    </row>
    <row r="319">
      <c r="B319" s="62" t="s">
        <v>1106</v>
      </c>
      <c r="C319" s="57" t="s">
        <v>233</v>
      </c>
      <c r="D319" s="62" t="s">
        <v>2559</v>
      </c>
      <c r="E319" s="11" t="s">
        <v>29</v>
      </c>
    </row>
    <row r="320">
      <c r="B320" s="62" t="s">
        <v>2561</v>
      </c>
      <c r="C320" s="57" t="s">
        <v>218</v>
      </c>
      <c r="D320" s="62" t="s">
        <v>2558</v>
      </c>
      <c r="E320" s="11" t="s">
        <v>33</v>
      </c>
    </row>
    <row r="321">
      <c r="B321" s="62" t="s">
        <v>2558</v>
      </c>
      <c r="C321" s="57" t="s">
        <v>219</v>
      </c>
      <c r="D321" s="62" t="s">
        <v>1369</v>
      </c>
      <c r="E321" s="11" t="s">
        <v>29</v>
      </c>
    </row>
    <row r="322">
      <c r="B322" s="62" t="s">
        <v>2561</v>
      </c>
      <c r="C322" s="57" t="s">
        <v>219</v>
      </c>
      <c r="D322" s="62" t="s">
        <v>2559</v>
      </c>
      <c r="E322" s="11" t="s">
        <v>33</v>
      </c>
    </row>
    <row r="323">
      <c r="B323" s="62" t="s">
        <v>1369</v>
      </c>
      <c r="C323" s="57" t="s">
        <v>2563</v>
      </c>
      <c r="D323" s="62" t="s">
        <v>1106</v>
      </c>
      <c r="E323" s="11" t="s">
        <v>29</v>
      </c>
    </row>
    <row r="324">
      <c r="B324" s="62" t="s">
        <v>2558</v>
      </c>
      <c r="C324" s="57" t="s">
        <v>336</v>
      </c>
      <c r="D324" s="62" t="s">
        <v>2559</v>
      </c>
      <c r="E324" s="11" t="s">
        <v>33</v>
      </c>
    </row>
    <row r="325">
      <c r="B325" s="62" t="s">
        <v>2561</v>
      </c>
      <c r="C325" s="57" t="s">
        <v>210</v>
      </c>
      <c r="D325" s="62" t="s">
        <v>1106</v>
      </c>
      <c r="E325" s="11" t="s">
        <v>29</v>
      </c>
    </row>
    <row r="326">
      <c r="B326" s="62" t="s">
        <v>1369</v>
      </c>
      <c r="C326" s="57" t="s">
        <v>14</v>
      </c>
      <c r="D326" s="62" t="s">
        <v>2559</v>
      </c>
      <c r="E326" s="11" t="s">
        <v>33</v>
      </c>
    </row>
    <row r="327">
      <c r="B327" s="62" t="s">
        <v>2558</v>
      </c>
      <c r="C327" s="57" t="s">
        <v>166</v>
      </c>
      <c r="D327" s="62" t="s">
        <v>1106</v>
      </c>
      <c r="E327" s="11" t="s">
        <v>29</v>
      </c>
    </row>
    <row r="328">
      <c r="B328" s="62" t="s">
        <v>1369</v>
      </c>
      <c r="C328" s="57" t="s">
        <v>2564</v>
      </c>
      <c r="D328" s="62" t="s">
        <v>2561</v>
      </c>
      <c r="E328" s="11" t="s">
        <v>33</v>
      </c>
    </row>
    <row r="329">
      <c r="B329" s="62" t="s">
        <v>2559</v>
      </c>
      <c r="C329" s="57" t="s">
        <v>298</v>
      </c>
      <c r="D329" s="62" t="s">
        <v>1106</v>
      </c>
      <c r="E329" s="11" t="s">
        <v>29</v>
      </c>
    </row>
    <row r="330">
      <c r="B330" s="62" t="s">
        <v>2558</v>
      </c>
      <c r="C330" s="57" t="s">
        <v>464</v>
      </c>
      <c r="D330" s="62" t="s">
        <v>2561</v>
      </c>
      <c r="E330" s="11" t="s">
        <v>33</v>
      </c>
    </row>
    <row r="331">
      <c r="B331" s="52" t="s">
        <v>2565</v>
      </c>
      <c r="C331" s="2"/>
      <c r="D331" s="3"/>
      <c r="E331" s="53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62" t="s">
        <v>2566</v>
      </c>
      <c r="C333" s="57" t="s">
        <v>225</v>
      </c>
      <c r="D333" s="62" t="s">
        <v>2567</v>
      </c>
      <c r="E333" s="11" t="s">
        <v>9</v>
      </c>
    </row>
    <row r="334">
      <c r="B334" s="62" t="s">
        <v>2568</v>
      </c>
      <c r="C334" s="57" t="s">
        <v>158</v>
      </c>
      <c r="D334" s="62" t="s">
        <v>1270</v>
      </c>
      <c r="E334" s="11" t="s">
        <v>13</v>
      </c>
    </row>
    <row r="335">
      <c r="B335" s="62" t="s">
        <v>2277</v>
      </c>
      <c r="C335" s="57" t="s">
        <v>303</v>
      </c>
      <c r="D335" s="62" t="s">
        <v>2566</v>
      </c>
      <c r="E335" s="11" t="s">
        <v>9</v>
      </c>
    </row>
    <row r="336">
      <c r="B336" s="62" t="s">
        <v>2568</v>
      </c>
      <c r="C336" s="57" t="s">
        <v>239</v>
      </c>
      <c r="D336" s="62" t="s">
        <v>2567</v>
      </c>
      <c r="E336" s="11" t="s">
        <v>13</v>
      </c>
    </row>
    <row r="337">
      <c r="B337" s="62" t="s">
        <v>2277</v>
      </c>
      <c r="C337" s="57" t="s">
        <v>7</v>
      </c>
      <c r="D337" s="62" t="s">
        <v>1270</v>
      </c>
      <c r="E337" s="11" t="s">
        <v>9</v>
      </c>
    </row>
    <row r="338">
      <c r="B338" s="62" t="s">
        <v>2568</v>
      </c>
      <c r="C338" s="57" t="s">
        <v>281</v>
      </c>
      <c r="D338" s="62" t="s">
        <v>2566</v>
      </c>
      <c r="E338" s="11" t="s">
        <v>13</v>
      </c>
    </row>
    <row r="339">
      <c r="B339" s="62" t="s">
        <v>2277</v>
      </c>
      <c r="C339" s="57" t="s">
        <v>998</v>
      </c>
      <c r="D339" s="62" t="s">
        <v>2567</v>
      </c>
      <c r="E339" s="11" t="s">
        <v>9</v>
      </c>
    </row>
    <row r="340">
      <c r="B340" s="62" t="s">
        <v>1270</v>
      </c>
      <c r="C340" s="57" t="s">
        <v>193</v>
      </c>
      <c r="D340" s="62" t="s">
        <v>2566</v>
      </c>
      <c r="E340" s="11" t="s">
        <v>13</v>
      </c>
    </row>
    <row r="341">
      <c r="B341" s="62" t="s">
        <v>2277</v>
      </c>
      <c r="C341" s="57" t="s">
        <v>251</v>
      </c>
      <c r="D341" s="62" t="s">
        <v>2568</v>
      </c>
      <c r="E341" s="11" t="s">
        <v>9</v>
      </c>
    </row>
    <row r="342">
      <c r="B342" s="62" t="s">
        <v>1270</v>
      </c>
      <c r="C342" s="57" t="s">
        <v>219</v>
      </c>
      <c r="D342" s="62" t="s">
        <v>2567</v>
      </c>
      <c r="E342" s="11" t="s">
        <v>13</v>
      </c>
    </row>
    <row r="343">
      <c r="B343" s="62" t="s">
        <v>2567</v>
      </c>
      <c r="C343" s="57" t="s">
        <v>21</v>
      </c>
      <c r="D343" s="62" t="s">
        <v>2566</v>
      </c>
      <c r="E343" s="11" t="s">
        <v>9</v>
      </c>
    </row>
    <row r="344">
      <c r="B344" s="62" t="s">
        <v>1270</v>
      </c>
      <c r="C344" s="57" t="s">
        <v>162</v>
      </c>
      <c r="D344" s="62" t="s">
        <v>2568</v>
      </c>
      <c r="E344" s="11" t="s">
        <v>13</v>
      </c>
    </row>
    <row r="345">
      <c r="B345" s="62" t="s">
        <v>2566</v>
      </c>
      <c r="C345" s="45" t="s">
        <v>193</v>
      </c>
      <c r="D345" s="62" t="s">
        <v>2277</v>
      </c>
      <c r="E345" s="11" t="s">
        <v>9</v>
      </c>
    </row>
    <row r="346">
      <c r="B346" s="62" t="s">
        <v>2567</v>
      </c>
      <c r="C346" s="45" t="s">
        <v>155</v>
      </c>
      <c r="D346" s="62" t="s">
        <v>2568</v>
      </c>
      <c r="E346" s="11" t="s">
        <v>13</v>
      </c>
    </row>
    <row r="347">
      <c r="B347" s="62" t="s">
        <v>1270</v>
      </c>
      <c r="C347" s="45" t="s">
        <v>220</v>
      </c>
      <c r="D347" s="62" t="s">
        <v>2277</v>
      </c>
      <c r="E347" s="11" t="s">
        <v>9</v>
      </c>
    </row>
    <row r="348">
      <c r="B348" s="62" t="s">
        <v>2566</v>
      </c>
      <c r="C348" s="45" t="s">
        <v>336</v>
      </c>
      <c r="D348" s="62" t="s">
        <v>2568</v>
      </c>
      <c r="E348" s="11" t="s">
        <v>13</v>
      </c>
    </row>
    <row r="349">
      <c r="B349" s="62" t="s">
        <v>2567</v>
      </c>
      <c r="C349" s="45" t="s">
        <v>229</v>
      </c>
      <c r="D349" s="62" t="s">
        <v>2277</v>
      </c>
      <c r="E349" s="11" t="s">
        <v>9</v>
      </c>
    </row>
    <row r="350">
      <c r="B350" s="62" t="s">
        <v>2566</v>
      </c>
      <c r="C350" s="45" t="s">
        <v>23</v>
      </c>
      <c r="D350" s="62" t="s">
        <v>1270</v>
      </c>
      <c r="E350" s="11" t="s">
        <v>13</v>
      </c>
    </row>
    <row r="351">
      <c r="B351" s="62" t="s">
        <v>2568</v>
      </c>
      <c r="C351" s="45" t="s">
        <v>158</v>
      </c>
      <c r="D351" s="62" t="s">
        <v>2277</v>
      </c>
      <c r="E351" s="11" t="s">
        <v>9</v>
      </c>
    </row>
    <row r="352">
      <c r="B352" s="62" t="s">
        <v>2567</v>
      </c>
      <c r="C352" s="45" t="s">
        <v>323</v>
      </c>
      <c r="D352" s="62" t="s">
        <v>1270</v>
      </c>
      <c r="E352" s="11" t="s">
        <v>13</v>
      </c>
    </row>
    <row r="353">
      <c r="B353" s="52" t="s">
        <v>2569</v>
      </c>
      <c r="C353" s="2"/>
      <c r="D353" s="3"/>
      <c r="E353" s="53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62" t="s">
        <v>1146</v>
      </c>
      <c r="C355" s="57" t="s">
        <v>43</v>
      </c>
      <c r="D355" s="62" t="s">
        <v>2570</v>
      </c>
      <c r="E355" s="11" t="s">
        <v>29</v>
      </c>
    </row>
    <row r="356">
      <c r="B356" s="62" t="s">
        <v>1399</v>
      </c>
      <c r="C356" s="57" t="s">
        <v>218</v>
      </c>
      <c r="D356" s="62" t="s">
        <v>2571</v>
      </c>
      <c r="E356" s="11" t="s">
        <v>33</v>
      </c>
    </row>
    <row r="357">
      <c r="B357" s="62" t="s">
        <v>2572</v>
      </c>
      <c r="C357" s="57" t="s">
        <v>36</v>
      </c>
      <c r="D357" s="62" t="s">
        <v>1146</v>
      </c>
      <c r="E357" s="11" t="s">
        <v>29</v>
      </c>
    </row>
    <row r="358">
      <c r="B358" s="62" t="s">
        <v>1399</v>
      </c>
      <c r="C358" s="57" t="s">
        <v>18</v>
      </c>
      <c r="D358" s="62" t="s">
        <v>2570</v>
      </c>
      <c r="E358" s="11" t="s">
        <v>33</v>
      </c>
    </row>
    <row r="359">
      <c r="B359" s="62" t="s">
        <v>2572</v>
      </c>
      <c r="C359" s="57" t="s">
        <v>209</v>
      </c>
      <c r="D359" s="62" t="s">
        <v>2571</v>
      </c>
      <c r="E359" s="11" t="s">
        <v>29</v>
      </c>
    </row>
    <row r="360">
      <c r="B360" s="62" t="s">
        <v>1399</v>
      </c>
      <c r="C360" s="57" t="s">
        <v>219</v>
      </c>
      <c r="D360" s="62" t="s">
        <v>1146</v>
      </c>
      <c r="E360" s="11" t="s">
        <v>33</v>
      </c>
    </row>
    <row r="361">
      <c r="B361" s="62" t="s">
        <v>2572</v>
      </c>
      <c r="C361" s="57" t="s">
        <v>291</v>
      </c>
      <c r="D361" s="62" t="s">
        <v>2570</v>
      </c>
      <c r="E361" s="11" t="s">
        <v>29</v>
      </c>
    </row>
    <row r="362">
      <c r="B362" s="62" t="s">
        <v>2571</v>
      </c>
      <c r="C362" s="57" t="s">
        <v>19</v>
      </c>
      <c r="D362" s="62" t="s">
        <v>1146</v>
      </c>
      <c r="E362" s="11" t="s">
        <v>33</v>
      </c>
    </row>
    <row r="363">
      <c r="B363" s="62" t="s">
        <v>2572</v>
      </c>
      <c r="C363" s="57" t="s">
        <v>162</v>
      </c>
      <c r="D363" s="62" t="s">
        <v>1399</v>
      </c>
      <c r="E363" s="11" t="s">
        <v>29</v>
      </c>
    </row>
    <row r="364">
      <c r="B364" s="62" t="s">
        <v>2571</v>
      </c>
      <c r="C364" s="57" t="s">
        <v>187</v>
      </c>
      <c r="D364" s="62" t="s">
        <v>2570</v>
      </c>
      <c r="E364" s="11" t="s">
        <v>33</v>
      </c>
    </row>
    <row r="365">
      <c r="B365" s="62" t="s">
        <v>2570</v>
      </c>
      <c r="C365" s="57" t="s">
        <v>155</v>
      </c>
      <c r="D365" s="62" t="s">
        <v>1146</v>
      </c>
      <c r="E365" s="11" t="s">
        <v>29</v>
      </c>
    </row>
    <row r="366">
      <c r="B366" s="62" t="s">
        <v>2571</v>
      </c>
      <c r="C366" s="57" t="s">
        <v>155</v>
      </c>
      <c r="D366" s="62" t="s">
        <v>1399</v>
      </c>
      <c r="E366" s="11" t="s">
        <v>33</v>
      </c>
    </row>
    <row r="367">
      <c r="B367" s="62" t="s">
        <v>1146</v>
      </c>
      <c r="C367" s="57" t="s">
        <v>23</v>
      </c>
      <c r="D367" s="62" t="s">
        <v>2572</v>
      </c>
      <c r="E367" s="11" t="s">
        <v>29</v>
      </c>
    </row>
    <row r="368">
      <c r="B368" s="62" t="s">
        <v>2570</v>
      </c>
      <c r="C368" s="57" t="s">
        <v>181</v>
      </c>
      <c r="D368" s="62" t="s">
        <v>1399</v>
      </c>
      <c r="E368" s="11" t="s">
        <v>33</v>
      </c>
    </row>
    <row r="369">
      <c r="B369" s="62" t="s">
        <v>2571</v>
      </c>
      <c r="C369" s="57" t="s">
        <v>2494</v>
      </c>
      <c r="D369" s="62" t="s">
        <v>2572</v>
      </c>
      <c r="E369" s="11" t="s">
        <v>29</v>
      </c>
    </row>
    <row r="370">
      <c r="B370" s="62" t="s">
        <v>1146</v>
      </c>
      <c r="C370" s="57" t="s">
        <v>248</v>
      </c>
      <c r="D370" s="62" t="s">
        <v>1399</v>
      </c>
      <c r="E370" s="11" t="s">
        <v>33</v>
      </c>
    </row>
    <row r="371">
      <c r="B371" s="62" t="s">
        <v>2570</v>
      </c>
      <c r="C371" s="57" t="s">
        <v>271</v>
      </c>
      <c r="D371" s="62" t="s">
        <v>2572</v>
      </c>
      <c r="E371" s="11" t="s">
        <v>29</v>
      </c>
    </row>
    <row r="372">
      <c r="B372" s="62" t="s">
        <v>1146</v>
      </c>
      <c r="C372" s="57" t="s">
        <v>198</v>
      </c>
      <c r="D372" s="62" t="s">
        <v>2571</v>
      </c>
      <c r="E372" s="11" t="s">
        <v>33</v>
      </c>
    </row>
    <row r="373">
      <c r="B373" s="62" t="s">
        <v>1399</v>
      </c>
      <c r="C373" s="57" t="s">
        <v>279</v>
      </c>
      <c r="D373" s="62" t="s">
        <v>2572</v>
      </c>
      <c r="E373" s="11" t="s">
        <v>29</v>
      </c>
    </row>
    <row r="374">
      <c r="B374" s="62" t="s">
        <v>2570</v>
      </c>
      <c r="C374" s="57" t="s">
        <v>292</v>
      </c>
      <c r="D374" s="62" t="s">
        <v>2571</v>
      </c>
      <c r="E374" s="100" t="s">
        <v>33</v>
      </c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2573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2574</v>
      </c>
      <c r="C3" s="57" t="s">
        <v>7</v>
      </c>
      <c r="D3" s="62" t="s">
        <v>2322</v>
      </c>
      <c r="E3" s="11" t="s">
        <v>9</v>
      </c>
    </row>
    <row r="4">
      <c r="A4" s="90"/>
      <c r="B4" s="61" t="s">
        <v>2575</v>
      </c>
      <c r="C4" s="57" t="s">
        <v>193</v>
      </c>
      <c r="D4" s="61" t="s">
        <v>1517</v>
      </c>
      <c r="E4" s="11" t="s">
        <v>13</v>
      </c>
    </row>
    <row r="5">
      <c r="A5" s="90"/>
      <c r="B5" s="56" t="s">
        <v>2163</v>
      </c>
      <c r="C5" s="57" t="s">
        <v>155</v>
      </c>
      <c r="D5" s="62" t="s">
        <v>2574</v>
      </c>
      <c r="E5" s="11" t="s">
        <v>9</v>
      </c>
    </row>
    <row r="6">
      <c r="A6" s="90"/>
      <c r="B6" s="61" t="s">
        <v>2575</v>
      </c>
      <c r="C6" s="57" t="s">
        <v>279</v>
      </c>
      <c r="D6" s="62" t="s">
        <v>2322</v>
      </c>
      <c r="E6" s="11" t="s">
        <v>13</v>
      </c>
    </row>
    <row r="7">
      <c r="A7" s="90"/>
      <c r="B7" s="56" t="s">
        <v>2163</v>
      </c>
      <c r="C7" s="57" t="s">
        <v>251</v>
      </c>
      <c r="D7" s="61" t="s">
        <v>1517</v>
      </c>
      <c r="E7" s="11" t="s">
        <v>9</v>
      </c>
    </row>
    <row r="8">
      <c r="A8" s="90"/>
      <c r="B8" s="61" t="s">
        <v>2575</v>
      </c>
      <c r="C8" s="57" t="s">
        <v>155</v>
      </c>
      <c r="D8" s="62" t="s">
        <v>2574</v>
      </c>
      <c r="E8" s="11" t="s">
        <v>13</v>
      </c>
    </row>
    <row r="9">
      <c r="A9" s="90"/>
      <c r="B9" s="56" t="s">
        <v>2163</v>
      </c>
      <c r="C9" s="57" t="s">
        <v>7</v>
      </c>
      <c r="D9" s="62" t="s">
        <v>2322</v>
      </c>
      <c r="E9" s="11" t="s">
        <v>9</v>
      </c>
    </row>
    <row r="10">
      <c r="A10" s="90"/>
      <c r="B10" s="61" t="s">
        <v>1517</v>
      </c>
      <c r="C10" s="57" t="s">
        <v>155</v>
      </c>
      <c r="D10" s="62" t="s">
        <v>2574</v>
      </c>
      <c r="E10" s="11" t="s">
        <v>13</v>
      </c>
    </row>
    <row r="11">
      <c r="A11" s="90"/>
      <c r="B11" s="56" t="s">
        <v>2163</v>
      </c>
      <c r="C11" s="57" t="s">
        <v>185</v>
      </c>
      <c r="D11" s="61" t="s">
        <v>2575</v>
      </c>
      <c r="E11" s="11" t="s">
        <v>9</v>
      </c>
    </row>
    <row r="12">
      <c r="A12" s="90"/>
      <c r="B12" s="61" t="s">
        <v>1517</v>
      </c>
      <c r="C12" s="57" t="s">
        <v>158</v>
      </c>
      <c r="D12" s="62" t="s">
        <v>2322</v>
      </c>
      <c r="E12" s="11" t="s">
        <v>13</v>
      </c>
    </row>
    <row r="13">
      <c r="A13" s="90"/>
      <c r="B13" s="62" t="s">
        <v>2322</v>
      </c>
      <c r="C13" s="57" t="s">
        <v>338</v>
      </c>
      <c r="D13" s="62" t="s">
        <v>2574</v>
      </c>
      <c r="E13" s="11" t="s">
        <v>9</v>
      </c>
    </row>
    <row r="14">
      <c r="A14" s="90"/>
      <c r="B14" s="61" t="s">
        <v>1517</v>
      </c>
      <c r="C14" s="57" t="s">
        <v>193</v>
      </c>
      <c r="D14" s="61" t="s">
        <v>2575</v>
      </c>
      <c r="E14" s="11" t="s">
        <v>13</v>
      </c>
    </row>
    <row r="15">
      <c r="A15" s="90"/>
      <c r="B15" s="62" t="s">
        <v>2574</v>
      </c>
      <c r="C15" s="45" t="s">
        <v>18</v>
      </c>
      <c r="D15" s="56" t="s">
        <v>2163</v>
      </c>
      <c r="E15" s="11" t="s">
        <v>9</v>
      </c>
    </row>
    <row r="16">
      <c r="A16" s="90"/>
      <c r="B16" s="62" t="s">
        <v>2322</v>
      </c>
      <c r="C16" s="45" t="s">
        <v>248</v>
      </c>
      <c r="D16" s="61" t="s">
        <v>2575</v>
      </c>
      <c r="E16" s="11" t="s">
        <v>13</v>
      </c>
    </row>
    <row r="17">
      <c r="A17" s="90"/>
      <c r="B17" s="61" t="s">
        <v>1517</v>
      </c>
      <c r="C17" s="45" t="s">
        <v>239</v>
      </c>
      <c r="D17" s="56" t="s">
        <v>2163</v>
      </c>
      <c r="E17" s="11" t="s">
        <v>9</v>
      </c>
    </row>
    <row r="18">
      <c r="A18" s="90"/>
      <c r="B18" s="62" t="s">
        <v>2574</v>
      </c>
      <c r="C18" s="45" t="s">
        <v>43</v>
      </c>
      <c r="D18" s="61" t="s">
        <v>2575</v>
      </c>
      <c r="E18" s="11" t="s">
        <v>13</v>
      </c>
    </row>
    <row r="19">
      <c r="A19" s="90"/>
      <c r="B19" s="62" t="s">
        <v>2322</v>
      </c>
      <c r="C19" s="45" t="s">
        <v>155</v>
      </c>
      <c r="D19" s="56" t="s">
        <v>2163</v>
      </c>
      <c r="E19" s="11" t="s">
        <v>9</v>
      </c>
    </row>
    <row r="20">
      <c r="A20" s="90"/>
      <c r="B20" s="62" t="s">
        <v>2574</v>
      </c>
      <c r="C20" s="45" t="s">
        <v>181</v>
      </c>
      <c r="D20" s="61" t="s">
        <v>1517</v>
      </c>
      <c r="E20" s="11" t="s">
        <v>13</v>
      </c>
    </row>
    <row r="21">
      <c r="A21" s="90"/>
      <c r="B21" s="61" t="s">
        <v>2575</v>
      </c>
      <c r="C21" s="45" t="s">
        <v>41</v>
      </c>
      <c r="D21" s="56" t="s">
        <v>2163</v>
      </c>
      <c r="E21" s="11" t="s">
        <v>9</v>
      </c>
    </row>
    <row r="22">
      <c r="A22" s="90"/>
      <c r="B22" s="62" t="s">
        <v>2322</v>
      </c>
      <c r="C22" s="45" t="s">
        <v>193</v>
      </c>
      <c r="D22" s="61" t="s">
        <v>1517</v>
      </c>
      <c r="E22" s="11" t="s">
        <v>13</v>
      </c>
    </row>
    <row r="23">
      <c r="A23" s="90"/>
      <c r="B23" s="1" t="s">
        <v>2576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2577</v>
      </c>
      <c r="C25" s="57" t="s">
        <v>189</v>
      </c>
      <c r="D25" s="62" t="s">
        <v>2578</v>
      </c>
      <c r="E25" s="11" t="s">
        <v>9</v>
      </c>
    </row>
    <row r="26">
      <c r="A26" s="90"/>
      <c r="B26" s="61" t="s">
        <v>2579</v>
      </c>
      <c r="C26" s="57" t="s">
        <v>158</v>
      </c>
      <c r="D26" s="61" t="s">
        <v>2580</v>
      </c>
      <c r="E26" s="11" t="s">
        <v>13</v>
      </c>
    </row>
    <row r="27">
      <c r="A27" s="90"/>
      <c r="B27" s="56" t="s">
        <v>2581</v>
      </c>
      <c r="C27" s="57" t="s">
        <v>751</v>
      </c>
      <c r="D27" s="62" t="s">
        <v>2577</v>
      </c>
      <c r="E27" s="11" t="s">
        <v>9</v>
      </c>
    </row>
    <row r="28">
      <c r="A28" s="90"/>
      <c r="B28" s="61" t="s">
        <v>2579</v>
      </c>
      <c r="C28" s="57" t="s">
        <v>573</v>
      </c>
      <c r="D28" s="62" t="s">
        <v>2578</v>
      </c>
      <c r="E28" s="11" t="s">
        <v>13</v>
      </c>
    </row>
    <row r="29">
      <c r="A29" s="90"/>
      <c r="B29" s="56" t="s">
        <v>2581</v>
      </c>
      <c r="C29" s="57" t="s">
        <v>185</v>
      </c>
      <c r="D29" s="61" t="s">
        <v>2580</v>
      </c>
      <c r="E29" s="11" t="s">
        <v>9</v>
      </c>
    </row>
    <row r="30">
      <c r="A30" s="90"/>
      <c r="B30" s="61" t="s">
        <v>2579</v>
      </c>
      <c r="C30" s="57" t="s">
        <v>664</v>
      </c>
      <c r="D30" s="62" t="s">
        <v>2577</v>
      </c>
      <c r="E30" s="11" t="s">
        <v>13</v>
      </c>
    </row>
    <row r="31">
      <c r="A31" s="90"/>
      <c r="B31" s="56" t="s">
        <v>2581</v>
      </c>
      <c r="C31" s="57" t="s">
        <v>18</v>
      </c>
      <c r="D31" s="62" t="s">
        <v>2578</v>
      </c>
      <c r="E31" s="11" t="s">
        <v>9</v>
      </c>
    </row>
    <row r="32">
      <c r="A32" s="90"/>
      <c r="B32" s="61" t="s">
        <v>2580</v>
      </c>
      <c r="C32" s="57" t="s">
        <v>534</v>
      </c>
      <c r="D32" s="62" t="s">
        <v>2577</v>
      </c>
      <c r="E32" s="11" t="s">
        <v>13</v>
      </c>
    </row>
    <row r="33">
      <c r="A33" s="90"/>
      <c r="B33" s="56" t="s">
        <v>2581</v>
      </c>
      <c r="C33" s="57" t="s">
        <v>233</v>
      </c>
      <c r="D33" s="61" t="s">
        <v>2579</v>
      </c>
      <c r="E33" s="11" t="s">
        <v>9</v>
      </c>
    </row>
    <row r="34">
      <c r="A34" s="90"/>
      <c r="B34" s="61" t="s">
        <v>2580</v>
      </c>
      <c r="C34" s="57" t="s">
        <v>24</v>
      </c>
      <c r="D34" s="62" t="s">
        <v>2578</v>
      </c>
      <c r="E34" s="11" t="s">
        <v>13</v>
      </c>
    </row>
    <row r="35">
      <c r="A35" s="90"/>
      <c r="B35" s="62" t="s">
        <v>2578</v>
      </c>
      <c r="C35" s="57" t="s">
        <v>2582</v>
      </c>
      <c r="D35" s="62" t="s">
        <v>2577</v>
      </c>
      <c r="E35" s="11" t="s">
        <v>9</v>
      </c>
    </row>
    <row r="36">
      <c r="A36" s="90"/>
      <c r="B36" s="61" t="s">
        <v>2580</v>
      </c>
      <c r="C36" s="57" t="s">
        <v>23</v>
      </c>
      <c r="D36" s="61" t="s">
        <v>2579</v>
      </c>
      <c r="E36" s="11" t="s">
        <v>13</v>
      </c>
    </row>
    <row r="37">
      <c r="A37" s="90"/>
      <c r="B37" s="62" t="s">
        <v>2577</v>
      </c>
      <c r="C37" s="45" t="s">
        <v>464</v>
      </c>
      <c r="D37" s="56" t="s">
        <v>2581</v>
      </c>
      <c r="E37" s="11" t="s">
        <v>9</v>
      </c>
    </row>
    <row r="38">
      <c r="A38" s="90"/>
      <c r="B38" s="62" t="s">
        <v>2578</v>
      </c>
      <c r="C38" s="45" t="s">
        <v>20</v>
      </c>
      <c r="D38" s="61" t="s">
        <v>2579</v>
      </c>
      <c r="E38" s="11" t="s">
        <v>13</v>
      </c>
    </row>
    <row r="39">
      <c r="A39" s="90"/>
      <c r="B39" s="61" t="s">
        <v>2580</v>
      </c>
      <c r="C39" s="45" t="s">
        <v>18</v>
      </c>
      <c r="D39" s="56" t="s">
        <v>2581</v>
      </c>
      <c r="E39" s="11" t="s">
        <v>9</v>
      </c>
    </row>
    <row r="40">
      <c r="A40" s="90"/>
      <c r="B40" s="62" t="s">
        <v>2577</v>
      </c>
      <c r="C40" s="45" t="s">
        <v>24</v>
      </c>
      <c r="D40" s="61" t="s">
        <v>2579</v>
      </c>
      <c r="E40" s="11" t="s">
        <v>13</v>
      </c>
    </row>
    <row r="41">
      <c r="A41" s="90"/>
      <c r="B41" s="62" t="s">
        <v>2578</v>
      </c>
      <c r="C41" s="45" t="s">
        <v>464</v>
      </c>
      <c r="D41" s="56" t="s">
        <v>2581</v>
      </c>
      <c r="E41" s="11" t="s">
        <v>9</v>
      </c>
    </row>
    <row r="42">
      <c r="A42" s="90"/>
      <c r="B42" s="62" t="s">
        <v>2577</v>
      </c>
      <c r="C42" s="45" t="s">
        <v>14</v>
      </c>
      <c r="D42" s="61" t="s">
        <v>2580</v>
      </c>
      <c r="E42" s="11" t="s">
        <v>13</v>
      </c>
    </row>
    <row r="43">
      <c r="A43" s="90"/>
      <c r="B43" s="61" t="s">
        <v>2579</v>
      </c>
      <c r="C43" s="45" t="s">
        <v>41</v>
      </c>
      <c r="D43" s="56" t="s">
        <v>2581</v>
      </c>
      <c r="E43" s="11" t="s">
        <v>9</v>
      </c>
    </row>
    <row r="44">
      <c r="A44" s="91"/>
      <c r="B44" s="62" t="s">
        <v>2578</v>
      </c>
      <c r="C44" s="45" t="s">
        <v>41</v>
      </c>
      <c r="D44" s="61" t="s">
        <v>2580</v>
      </c>
      <c r="E44" s="11" t="s">
        <v>13</v>
      </c>
    </row>
    <row r="45">
      <c r="B45" s="1" t="s">
        <v>1526</v>
      </c>
      <c r="C45" s="2"/>
      <c r="D45" s="3"/>
      <c r="E45" s="4"/>
    </row>
    <row r="46">
      <c r="B46" s="21" t="s">
        <v>2</v>
      </c>
      <c r="C46" s="101" t="s">
        <v>3</v>
      </c>
      <c r="D46" s="21" t="s">
        <v>4</v>
      </c>
      <c r="E46" s="21" t="s">
        <v>5</v>
      </c>
    </row>
    <row r="47">
      <c r="B47" s="61" t="s">
        <v>2154</v>
      </c>
      <c r="C47" s="102" t="s">
        <v>442</v>
      </c>
      <c r="D47" s="61" t="s">
        <v>918</v>
      </c>
      <c r="E47" s="11" t="s">
        <v>9</v>
      </c>
    </row>
    <row r="48">
      <c r="B48" s="61" t="s">
        <v>832</v>
      </c>
      <c r="C48" s="45" t="s">
        <v>271</v>
      </c>
      <c r="D48" s="61" t="s">
        <v>1069</v>
      </c>
      <c r="E48" s="11" t="s">
        <v>13</v>
      </c>
    </row>
    <row r="49">
      <c r="B49" s="61" t="s">
        <v>2213</v>
      </c>
      <c r="C49" s="45" t="s">
        <v>958</v>
      </c>
      <c r="D49" s="61" t="s">
        <v>2154</v>
      </c>
      <c r="E49" s="11" t="s">
        <v>9</v>
      </c>
    </row>
    <row r="50">
      <c r="B50" s="61" t="s">
        <v>832</v>
      </c>
      <c r="C50" s="45" t="s">
        <v>155</v>
      </c>
      <c r="D50" s="61" t="s">
        <v>918</v>
      </c>
      <c r="E50" s="11" t="s">
        <v>13</v>
      </c>
    </row>
    <row r="51">
      <c r="B51" s="61" t="s">
        <v>2213</v>
      </c>
      <c r="C51" s="45" t="s">
        <v>2583</v>
      </c>
      <c r="D51" s="61" t="s">
        <v>1069</v>
      </c>
      <c r="E51" s="11" t="s">
        <v>9</v>
      </c>
    </row>
    <row r="52">
      <c r="B52" s="61" t="s">
        <v>832</v>
      </c>
      <c r="C52" s="45" t="s">
        <v>155</v>
      </c>
      <c r="D52" s="61" t="s">
        <v>2154</v>
      </c>
      <c r="E52" s="11" t="s">
        <v>13</v>
      </c>
    </row>
    <row r="53">
      <c r="B53" s="61" t="s">
        <v>2213</v>
      </c>
      <c r="C53" s="45" t="s">
        <v>17</v>
      </c>
      <c r="D53" s="61" t="s">
        <v>918</v>
      </c>
      <c r="E53" s="11" t="s">
        <v>9</v>
      </c>
    </row>
    <row r="54">
      <c r="B54" s="61" t="s">
        <v>1069</v>
      </c>
      <c r="C54" s="45" t="s">
        <v>17</v>
      </c>
      <c r="D54" s="61" t="s">
        <v>2154</v>
      </c>
      <c r="E54" s="11" t="s">
        <v>13</v>
      </c>
    </row>
    <row r="55">
      <c r="B55" s="61" t="s">
        <v>2213</v>
      </c>
      <c r="C55" s="45" t="s">
        <v>327</v>
      </c>
      <c r="D55" s="61" t="s">
        <v>832</v>
      </c>
      <c r="E55" s="11" t="s">
        <v>9</v>
      </c>
    </row>
    <row r="56">
      <c r="B56" s="61" t="s">
        <v>1069</v>
      </c>
      <c r="C56" s="45" t="s">
        <v>220</v>
      </c>
      <c r="D56" s="61" t="s">
        <v>918</v>
      </c>
      <c r="E56" s="11" t="s">
        <v>13</v>
      </c>
    </row>
    <row r="57">
      <c r="B57" s="61" t="s">
        <v>918</v>
      </c>
      <c r="C57" s="45" t="s">
        <v>43</v>
      </c>
      <c r="D57" s="61" t="s">
        <v>2154</v>
      </c>
      <c r="E57" s="11" t="s">
        <v>9</v>
      </c>
    </row>
    <row r="58">
      <c r="B58" s="61" t="s">
        <v>1069</v>
      </c>
      <c r="C58" s="45" t="s">
        <v>256</v>
      </c>
      <c r="D58" s="61" t="s">
        <v>832</v>
      </c>
      <c r="E58" s="11" t="s">
        <v>13</v>
      </c>
    </row>
    <row r="59">
      <c r="B59" s="61" t="s">
        <v>2154</v>
      </c>
      <c r="C59" s="45" t="s">
        <v>220</v>
      </c>
      <c r="D59" s="61" t="s">
        <v>2213</v>
      </c>
      <c r="E59" s="11" t="s">
        <v>9</v>
      </c>
    </row>
    <row r="60">
      <c r="B60" s="61" t="s">
        <v>918</v>
      </c>
      <c r="C60" s="45" t="s">
        <v>464</v>
      </c>
      <c r="D60" s="61" t="s">
        <v>832</v>
      </c>
      <c r="E60" s="11" t="s">
        <v>13</v>
      </c>
    </row>
    <row r="61">
      <c r="B61" s="61" t="s">
        <v>1069</v>
      </c>
      <c r="C61" s="45" t="s">
        <v>41</v>
      </c>
      <c r="D61" s="61" t="s">
        <v>2213</v>
      </c>
      <c r="E61" s="11" t="s">
        <v>9</v>
      </c>
    </row>
    <row r="62">
      <c r="B62" s="61" t="s">
        <v>2154</v>
      </c>
      <c r="C62" s="45" t="s">
        <v>433</v>
      </c>
      <c r="D62" s="61" t="s">
        <v>832</v>
      </c>
      <c r="E62" s="11" t="s">
        <v>13</v>
      </c>
    </row>
    <row r="63">
      <c r="B63" s="61" t="s">
        <v>918</v>
      </c>
      <c r="C63" s="45" t="s">
        <v>281</v>
      </c>
      <c r="D63" s="61" t="s">
        <v>2213</v>
      </c>
      <c r="E63" s="11" t="s">
        <v>9</v>
      </c>
    </row>
    <row r="64">
      <c r="B64" s="61" t="s">
        <v>2154</v>
      </c>
      <c r="C64" s="45" t="s">
        <v>20</v>
      </c>
      <c r="D64" s="61" t="s">
        <v>1069</v>
      </c>
      <c r="E64" s="11" t="s">
        <v>13</v>
      </c>
    </row>
    <row r="65">
      <c r="B65" s="61" t="s">
        <v>832</v>
      </c>
      <c r="C65" s="45" t="s">
        <v>278</v>
      </c>
      <c r="D65" s="61" t="s">
        <v>2213</v>
      </c>
      <c r="E65" s="11" t="s">
        <v>9</v>
      </c>
    </row>
    <row r="66">
      <c r="B66" s="61" t="s">
        <v>918</v>
      </c>
      <c r="C66" s="45" t="s">
        <v>181</v>
      </c>
      <c r="D66" s="61" t="s">
        <v>1069</v>
      </c>
      <c r="E66" s="11" t="s">
        <v>13</v>
      </c>
    </row>
    <row r="67">
      <c r="B67" s="96" t="s">
        <v>2584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2585</v>
      </c>
      <c r="C69" s="57" t="s">
        <v>193</v>
      </c>
      <c r="D69" s="61" t="s">
        <v>1269</v>
      </c>
      <c r="E69" s="11" t="s">
        <v>29</v>
      </c>
    </row>
    <row r="70">
      <c r="B70" s="61" t="s">
        <v>2586</v>
      </c>
      <c r="C70" s="57" t="s">
        <v>732</v>
      </c>
      <c r="D70" s="61" t="s">
        <v>658</v>
      </c>
      <c r="E70" s="11" t="s">
        <v>33</v>
      </c>
    </row>
    <row r="71">
      <c r="B71" s="61" t="s">
        <v>2587</v>
      </c>
      <c r="C71" s="57" t="s">
        <v>549</v>
      </c>
      <c r="D71" s="61" t="s">
        <v>2585</v>
      </c>
      <c r="E71" s="11" t="s">
        <v>29</v>
      </c>
    </row>
    <row r="72">
      <c r="B72" s="61" t="s">
        <v>2586</v>
      </c>
      <c r="C72" s="57" t="s">
        <v>155</v>
      </c>
      <c r="D72" s="61" t="s">
        <v>1269</v>
      </c>
      <c r="E72" s="11" t="s">
        <v>33</v>
      </c>
    </row>
    <row r="73">
      <c r="B73" s="61" t="s">
        <v>2587</v>
      </c>
      <c r="C73" s="57" t="s">
        <v>2228</v>
      </c>
      <c r="D73" s="61" t="s">
        <v>658</v>
      </c>
      <c r="E73" s="11" t="s">
        <v>29</v>
      </c>
    </row>
    <row r="74">
      <c r="B74" s="61" t="s">
        <v>2586</v>
      </c>
      <c r="C74" s="57" t="s">
        <v>193</v>
      </c>
      <c r="D74" s="61" t="s">
        <v>2585</v>
      </c>
      <c r="E74" s="11" t="s">
        <v>33</v>
      </c>
    </row>
    <row r="75">
      <c r="B75" s="61" t="s">
        <v>2587</v>
      </c>
      <c r="C75" s="57" t="s">
        <v>155</v>
      </c>
      <c r="D75" s="61" t="s">
        <v>1269</v>
      </c>
      <c r="E75" s="11" t="s">
        <v>29</v>
      </c>
    </row>
    <row r="76">
      <c r="B76" s="61" t="s">
        <v>658</v>
      </c>
      <c r="C76" s="57" t="s">
        <v>38</v>
      </c>
      <c r="D76" s="61" t="s">
        <v>2585</v>
      </c>
      <c r="E76" s="11" t="s">
        <v>33</v>
      </c>
    </row>
    <row r="77">
      <c r="B77" s="61" t="s">
        <v>2587</v>
      </c>
      <c r="C77" s="57" t="s">
        <v>158</v>
      </c>
      <c r="D77" s="61" t="s">
        <v>2586</v>
      </c>
      <c r="E77" s="11" t="s">
        <v>29</v>
      </c>
    </row>
    <row r="78">
      <c r="B78" s="61" t="s">
        <v>658</v>
      </c>
      <c r="C78" s="57" t="s">
        <v>155</v>
      </c>
      <c r="D78" s="61" t="s">
        <v>1269</v>
      </c>
      <c r="E78" s="11" t="s">
        <v>33</v>
      </c>
    </row>
    <row r="79">
      <c r="B79" s="61" t="s">
        <v>1269</v>
      </c>
      <c r="C79" s="57" t="s">
        <v>155</v>
      </c>
      <c r="D79" s="61" t="s">
        <v>2585</v>
      </c>
      <c r="E79" s="11" t="s">
        <v>29</v>
      </c>
    </row>
    <row r="80">
      <c r="B80" s="61" t="s">
        <v>658</v>
      </c>
      <c r="C80" s="57" t="s">
        <v>158</v>
      </c>
      <c r="D80" s="61" t="s">
        <v>2586</v>
      </c>
      <c r="E80" s="11" t="s">
        <v>33</v>
      </c>
    </row>
    <row r="81">
      <c r="B81" s="61" t="s">
        <v>2585</v>
      </c>
      <c r="C81" s="45" t="s">
        <v>189</v>
      </c>
      <c r="D81" s="61" t="s">
        <v>2587</v>
      </c>
      <c r="E81" s="11" t="s">
        <v>29</v>
      </c>
    </row>
    <row r="82">
      <c r="B82" s="61" t="s">
        <v>1269</v>
      </c>
      <c r="C82" s="45" t="s">
        <v>279</v>
      </c>
      <c r="D82" s="61" t="s">
        <v>2586</v>
      </c>
      <c r="E82" s="11" t="s">
        <v>33</v>
      </c>
    </row>
    <row r="83">
      <c r="B83" s="61" t="s">
        <v>658</v>
      </c>
      <c r="C83" s="45" t="s">
        <v>41</v>
      </c>
      <c r="D83" s="61" t="s">
        <v>2587</v>
      </c>
      <c r="E83" s="11" t="s">
        <v>29</v>
      </c>
    </row>
    <row r="84">
      <c r="B84" s="61" t="s">
        <v>2585</v>
      </c>
      <c r="C84" s="45" t="s">
        <v>177</v>
      </c>
      <c r="D84" s="61" t="s">
        <v>2586</v>
      </c>
      <c r="E84" s="11" t="s">
        <v>33</v>
      </c>
    </row>
    <row r="85">
      <c r="B85" s="61" t="s">
        <v>1269</v>
      </c>
      <c r="C85" s="45" t="s">
        <v>155</v>
      </c>
      <c r="D85" s="61" t="s">
        <v>2587</v>
      </c>
      <c r="E85" s="11" t="s">
        <v>29</v>
      </c>
    </row>
    <row r="86">
      <c r="B86" s="61" t="s">
        <v>2585</v>
      </c>
      <c r="C86" s="45" t="s">
        <v>193</v>
      </c>
      <c r="D86" s="61" t="s">
        <v>658</v>
      </c>
      <c r="E86" s="11" t="s">
        <v>33</v>
      </c>
    </row>
    <row r="87">
      <c r="B87" s="61" t="s">
        <v>2586</v>
      </c>
      <c r="C87" s="45" t="s">
        <v>271</v>
      </c>
      <c r="D87" s="61" t="s">
        <v>2587</v>
      </c>
      <c r="E87" s="11" t="s">
        <v>29</v>
      </c>
    </row>
    <row r="88">
      <c r="B88" s="61" t="s">
        <v>1269</v>
      </c>
      <c r="C88" s="45" t="s">
        <v>208</v>
      </c>
      <c r="D88" s="61" t="s">
        <v>658</v>
      </c>
      <c r="E88" s="11" t="s">
        <v>33</v>
      </c>
    </row>
    <row r="89">
      <c r="B89" s="1" t="s">
        <v>2588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1781</v>
      </c>
      <c r="C91" s="57" t="s">
        <v>164</v>
      </c>
      <c r="D91" s="61" t="s">
        <v>926</v>
      </c>
      <c r="E91" s="11" t="s">
        <v>9</v>
      </c>
    </row>
    <row r="92">
      <c r="B92" s="61" t="s">
        <v>1010</v>
      </c>
      <c r="C92" s="57" t="s">
        <v>2589</v>
      </c>
      <c r="D92" s="61" t="s">
        <v>2590</v>
      </c>
      <c r="E92" s="11" t="s">
        <v>13</v>
      </c>
    </row>
    <row r="93">
      <c r="B93" s="61" t="s">
        <v>2591</v>
      </c>
      <c r="C93" s="57" t="s">
        <v>237</v>
      </c>
      <c r="D93" s="61" t="s">
        <v>1781</v>
      </c>
      <c r="E93" s="11" t="s">
        <v>9</v>
      </c>
    </row>
    <row r="94">
      <c r="B94" s="61" t="s">
        <v>1010</v>
      </c>
      <c r="C94" s="57" t="s">
        <v>17</v>
      </c>
      <c r="D94" s="61" t="s">
        <v>926</v>
      </c>
      <c r="E94" s="11" t="s">
        <v>13</v>
      </c>
    </row>
    <row r="95">
      <c r="B95" s="61" t="s">
        <v>2591</v>
      </c>
      <c r="C95" s="57" t="s">
        <v>525</v>
      </c>
      <c r="D95" s="61" t="s">
        <v>2590</v>
      </c>
      <c r="E95" s="11" t="s">
        <v>9</v>
      </c>
    </row>
    <row r="96">
      <c r="B96" s="61" t="s">
        <v>1010</v>
      </c>
      <c r="C96" s="57" t="s">
        <v>302</v>
      </c>
      <c r="D96" s="61" t="s">
        <v>1781</v>
      </c>
      <c r="E96" s="11" t="s">
        <v>13</v>
      </c>
    </row>
    <row r="97">
      <c r="B97" s="61" t="s">
        <v>2591</v>
      </c>
      <c r="C97" s="57" t="s">
        <v>334</v>
      </c>
      <c r="D97" s="61" t="s">
        <v>926</v>
      </c>
      <c r="E97" s="11" t="s">
        <v>9</v>
      </c>
    </row>
    <row r="98">
      <c r="B98" s="61" t="s">
        <v>2590</v>
      </c>
      <c r="C98" s="57" t="s">
        <v>184</v>
      </c>
      <c r="D98" s="61" t="s">
        <v>1781</v>
      </c>
      <c r="E98" s="11" t="s">
        <v>13</v>
      </c>
    </row>
    <row r="99">
      <c r="B99" s="61" t="s">
        <v>2591</v>
      </c>
      <c r="C99" s="57" t="s">
        <v>20</v>
      </c>
      <c r="D99" s="61" t="s">
        <v>1010</v>
      </c>
      <c r="E99" s="11" t="s">
        <v>9</v>
      </c>
    </row>
    <row r="100">
      <c r="B100" s="61" t="s">
        <v>2590</v>
      </c>
      <c r="C100" s="57" t="s">
        <v>16</v>
      </c>
      <c r="D100" s="61" t="s">
        <v>926</v>
      </c>
      <c r="E100" s="11" t="s">
        <v>13</v>
      </c>
    </row>
    <row r="101">
      <c r="B101" s="61" t="s">
        <v>926</v>
      </c>
      <c r="C101" s="57" t="s">
        <v>158</v>
      </c>
      <c r="D101" s="61" t="s">
        <v>1781</v>
      </c>
      <c r="E101" s="11" t="s">
        <v>9</v>
      </c>
    </row>
    <row r="102">
      <c r="B102" s="61" t="s">
        <v>2590</v>
      </c>
      <c r="C102" s="57" t="s">
        <v>1947</v>
      </c>
      <c r="D102" s="61" t="s">
        <v>1010</v>
      </c>
      <c r="E102" s="11" t="s">
        <v>13</v>
      </c>
    </row>
    <row r="103">
      <c r="B103" s="61" t="s">
        <v>1781</v>
      </c>
      <c r="C103" s="45" t="s">
        <v>185</v>
      </c>
      <c r="D103" s="61" t="s">
        <v>2591</v>
      </c>
      <c r="E103" s="11" t="s">
        <v>9</v>
      </c>
    </row>
    <row r="104">
      <c r="B104" s="61" t="s">
        <v>926</v>
      </c>
      <c r="C104" s="45" t="s">
        <v>381</v>
      </c>
      <c r="D104" s="61" t="s">
        <v>1010</v>
      </c>
      <c r="E104" s="11" t="s">
        <v>13</v>
      </c>
    </row>
    <row r="105">
      <c r="B105" s="61" t="s">
        <v>2590</v>
      </c>
      <c r="C105" s="45" t="s">
        <v>24</v>
      </c>
      <c r="D105" s="61" t="s">
        <v>2591</v>
      </c>
      <c r="E105" s="11" t="s">
        <v>9</v>
      </c>
    </row>
    <row r="106">
      <c r="B106" s="61" t="s">
        <v>1781</v>
      </c>
      <c r="C106" s="45" t="s">
        <v>281</v>
      </c>
      <c r="D106" s="61" t="s">
        <v>1010</v>
      </c>
      <c r="E106" s="11" t="s">
        <v>13</v>
      </c>
    </row>
    <row r="107">
      <c r="B107" s="61" t="s">
        <v>926</v>
      </c>
      <c r="C107" s="45" t="s">
        <v>946</v>
      </c>
      <c r="D107" s="61" t="s">
        <v>2591</v>
      </c>
      <c r="E107" s="11" t="s">
        <v>9</v>
      </c>
    </row>
    <row r="108">
      <c r="B108" s="61" t="s">
        <v>1781</v>
      </c>
      <c r="C108" s="45" t="s">
        <v>573</v>
      </c>
      <c r="D108" s="61" t="s">
        <v>2590</v>
      </c>
      <c r="E108" s="11" t="s">
        <v>13</v>
      </c>
    </row>
    <row r="109">
      <c r="B109" s="61" t="s">
        <v>1010</v>
      </c>
      <c r="C109" s="45" t="s">
        <v>1444</v>
      </c>
      <c r="D109" s="61" t="s">
        <v>2591</v>
      </c>
      <c r="E109" s="11" t="s">
        <v>9</v>
      </c>
    </row>
    <row r="110">
      <c r="B110" s="61" t="s">
        <v>926</v>
      </c>
      <c r="C110" s="45" t="s">
        <v>298</v>
      </c>
      <c r="D110" s="61" t="s">
        <v>2590</v>
      </c>
      <c r="E110" s="11" t="s">
        <v>13</v>
      </c>
    </row>
    <row r="111">
      <c r="B111" s="1" t="s">
        <v>2341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2592</v>
      </c>
      <c r="C113" s="45" t="s">
        <v>194</v>
      </c>
      <c r="D113" s="61" t="s">
        <v>2253</v>
      </c>
      <c r="E113" s="11" t="s">
        <v>29</v>
      </c>
    </row>
    <row r="114">
      <c r="B114" s="61" t="s">
        <v>2593</v>
      </c>
      <c r="C114" s="45" t="s">
        <v>301</v>
      </c>
      <c r="D114" s="61" t="s">
        <v>1499</v>
      </c>
      <c r="E114" s="11" t="s">
        <v>33</v>
      </c>
    </row>
    <row r="115">
      <c r="B115" s="61" t="s">
        <v>2594</v>
      </c>
      <c r="C115" s="45" t="s">
        <v>517</v>
      </c>
      <c r="D115" s="61" t="s">
        <v>2592</v>
      </c>
      <c r="E115" s="11" t="s">
        <v>29</v>
      </c>
    </row>
    <row r="116">
      <c r="B116" s="61" t="s">
        <v>2593</v>
      </c>
      <c r="C116" s="45" t="s">
        <v>41</v>
      </c>
      <c r="D116" s="61" t="s">
        <v>2253</v>
      </c>
      <c r="E116" s="11" t="s">
        <v>33</v>
      </c>
    </row>
    <row r="117">
      <c r="B117" s="61" t="s">
        <v>2594</v>
      </c>
      <c r="C117" s="45" t="s">
        <v>426</v>
      </c>
      <c r="D117" s="61" t="s">
        <v>1499</v>
      </c>
      <c r="E117" s="11" t="s">
        <v>29</v>
      </c>
    </row>
    <row r="118">
      <c r="B118" s="61" t="s">
        <v>2593</v>
      </c>
      <c r="C118" s="45" t="s">
        <v>233</v>
      </c>
      <c r="D118" s="61" t="s">
        <v>2592</v>
      </c>
      <c r="E118" s="11" t="s">
        <v>33</v>
      </c>
    </row>
    <row r="119">
      <c r="B119" s="61" t="s">
        <v>2594</v>
      </c>
      <c r="C119" s="45" t="s">
        <v>165</v>
      </c>
      <c r="D119" s="61" t="s">
        <v>2253</v>
      </c>
      <c r="E119" s="11" t="s">
        <v>29</v>
      </c>
    </row>
    <row r="120">
      <c r="B120" s="61" t="s">
        <v>1499</v>
      </c>
      <c r="C120" s="45" t="s">
        <v>404</v>
      </c>
      <c r="D120" s="61" t="s">
        <v>2592</v>
      </c>
      <c r="E120" s="11" t="s">
        <v>33</v>
      </c>
    </row>
    <row r="121">
      <c r="B121" s="61" t="s">
        <v>2594</v>
      </c>
      <c r="C121" s="45" t="s">
        <v>219</v>
      </c>
      <c r="D121" s="61" t="s">
        <v>2593</v>
      </c>
      <c r="E121" s="11" t="s">
        <v>29</v>
      </c>
    </row>
    <row r="122">
      <c r="B122" s="61" t="s">
        <v>1499</v>
      </c>
      <c r="C122" s="45" t="s">
        <v>164</v>
      </c>
      <c r="D122" s="61" t="s">
        <v>2253</v>
      </c>
      <c r="E122" s="11" t="s">
        <v>33</v>
      </c>
    </row>
    <row r="123">
      <c r="B123" s="61" t="s">
        <v>2253</v>
      </c>
      <c r="C123" s="45" t="s">
        <v>515</v>
      </c>
      <c r="D123" s="61" t="s">
        <v>2592</v>
      </c>
      <c r="E123" s="11" t="s">
        <v>29</v>
      </c>
    </row>
    <row r="124">
      <c r="B124" s="61" t="s">
        <v>1499</v>
      </c>
      <c r="C124" s="45" t="s">
        <v>16</v>
      </c>
      <c r="D124" s="61" t="s">
        <v>2593</v>
      </c>
      <c r="E124" s="11" t="s">
        <v>33</v>
      </c>
    </row>
    <row r="125">
      <c r="B125" s="61" t="s">
        <v>2592</v>
      </c>
      <c r="C125" s="45" t="s">
        <v>16</v>
      </c>
      <c r="D125" s="61" t="s">
        <v>2594</v>
      </c>
      <c r="E125" s="11" t="s">
        <v>29</v>
      </c>
    </row>
    <row r="126">
      <c r="B126" s="61" t="s">
        <v>2253</v>
      </c>
      <c r="C126" s="45" t="s">
        <v>23</v>
      </c>
      <c r="D126" s="61" t="s">
        <v>2593</v>
      </c>
      <c r="E126" s="11" t="s">
        <v>33</v>
      </c>
    </row>
    <row r="127">
      <c r="B127" s="61" t="s">
        <v>1499</v>
      </c>
      <c r="C127" s="45" t="s">
        <v>163</v>
      </c>
      <c r="D127" s="61" t="s">
        <v>2594</v>
      </c>
      <c r="E127" s="11" t="s">
        <v>29</v>
      </c>
    </row>
    <row r="128">
      <c r="B128" s="61" t="s">
        <v>2592</v>
      </c>
      <c r="C128" s="45" t="s">
        <v>173</v>
      </c>
      <c r="D128" s="61" t="s">
        <v>2593</v>
      </c>
      <c r="E128" s="11" t="s">
        <v>33</v>
      </c>
    </row>
    <row r="129">
      <c r="B129" s="61" t="s">
        <v>2253</v>
      </c>
      <c r="C129" s="45" t="s">
        <v>257</v>
      </c>
      <c r="D129" s="61" t="s">
        <v>2594</v>
      </c>
      <c r="E129" s="11" t="s">
        <v>29</v>
      </c>
    </row>
    <row r="130">
      <c r="B130" s="61" t="s">
        <v>2592</v>
      </c>
      <c r="C130" s="45" t="s">
        <v>17</v>
      </c>
      <c r="D130" s="61" t="s">
        <v>1499</v>
      </c>
      <c r="E130" s="11" t="s">
        <v>33</v>
      </c>
    </row>
    <row r="131">
      <c r="B131" s="61" t="s">
        <v>2593</v>
      </c>
      <c r="C131" s="45" t="s">
        <v>7</v>
      </c>
      <c r="D131" s="61" t="s">
        <v>2594</v>
      </c>
      <c r="E131" s="11" t="s">
        <v>29</v>
      </c>
    </row>
    <row r="132">
      <c r="B132" s="61" t="s">
        <v>2253</v>
      </c>
      <c r="C132" s="45" t="s">
        <v>549</v>
      </c>
      <c r="D132" s="61" t="s">
        <v>1499</v>
      </c>
      <c r="E132" s="11" t="s">
        <v>33</v>
      </c>
    </row>
    <row r="133">
      <c r="B133" s="1" t="s">
        <v>1544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2309</v>
      </c>
      <c r="C135" s="57" t="s">
        <v>1121</v>
      </c>
      <c r="D135" s="61" t="s">
        <v>1309</v>
      </c>
      <c r="E135" s="11" t="s">
        <v>9</v>
      </c>
    </row>
    <row r="136">
      <c r="B136" s="61" t="s">
        <v>102</v>
      </c>
      <c r="C136" s="57" t="s">
        <v>1255</v>
      </c>
      <c r="D136" s="61" t="s">
        <v>1496</v>
      </c>
      <c r="E136" s="11" t="s">
        <v>13</v>
      </c>
    </row>
    <row r="137">
      <c r="B137" s="61" t="s">
        <v>2595</v>
      </c>
      <c r="C137" s="57" t="s">
        <v>161</v>
      </c>
      <c r="D137" s="61" t="s">
        <v>2309</v>
      </c>
      <c r="E137" s="11" t="s">
        <v>9</v>
      </c>
    </row>
    <row r="138">
      <c r="B138" s="61" t="s">
        <v>102</v>
      </c>
      <c r="C138" s="57" t="s">
        <v>210</v>
      </c>
      <c r="D138" s="61" t="s">
        <v>1309</v>
      </c>
      <c r="E138" s="11" t="s">
        <v>13</v>
      </c>
    </row>
    <row r="139">
      <c r="B139" s="61" t="s">
        <v>2595</v>
      </c>
      <c r="C139" s="57" t="s">
        <v>162</v>
      </c>
      <c r="D139" s="61" t="s">
        <v>1496</v>
      </c>
      <c r="E139" s="11" t="s">
        <v>9</v>
      </c>
    </row>
    <row r="140">
      <c r="B140" s="61" t="s">
        <v>102</v>
      </c>
      <c r="C140" s="57" t="s">
        <v>163</v>
      </c>
      <c r="D140" s="61" t="s">
        <v>2309</v>
      </c>
      <c r="E140" s="11" t="s">
        <v>13</v>
      </c>
    </row>
    <row r="141">
      <c r="B141" s="61" t="s">
        <v>2595</v>
      </c>
      <c r="C141" s="57" t="s">
        <v>181</v>
      </c>
      <c r="D141" s="61" t="s">
        <v>1309</v>
      </c>
      <c r="E141" s="11" t="s">
        <v>9</v>
      </c>
    </row>
    <row r="142">
      <c r="B142" s="61" t="s">
        <v>1496</v>
      </c>
      <c r="C142" s="57" t="s">
        <v>910</v>
      </c>
      <c r="D142" s="61" t="s">
        <v>2309</v>
      </c>
      <c r="E142" s="11" t="s">
        <v>13</v>
      </c>
    </row>
    <row r="143">
      <c r="B143" s="61" t="s">
        <v>2595</v>
      </c>
      <c r="C143" s="57" t="s">
        <v>404</v>
      </c>
      <c r="D143" s="61" t="s">
        <v>102</v>
      </c>
      <c r="E143" s="11" t="s">
        <v>9</v>
      </c>
    </row>
    <row r="144">
      <c r="B144" s="61" t="s">
        <v>1496</v>
      </c>
      <c r="C144" s="57" t="s">
        <v>16</v>
      </c>
      <c r="D144" s="61" t="s">
        <v>1309</v>
      </c>
      <c r="E144" s="11" t="s">
        <v>13</v>
      </c>
    </row>
    <row r="145">
      <c r="B145" s="61" t="s">
        <v>1309</v>
      </c>
      <c r="C145" s="57" t="s">
        <v>565</v>
      </c>
      <c r="D145" s="61" t="s">
        <v>2309</v>
      </c>
      <c r="E145" s="11" t="s">
        <v>9</v>
      </c>
    </row>
    <row r="146">
      <c r="B146" s="61" t="s">
        <v>1496</v>
      </c>
      <c r="C146" s="57" t="s">
        <v>567</v>
      </c>
      <c r="D146" s="61" t="s">
        <v>102</v>
      </c>
      <c r="E146" s="11" t="s">
        <v>13</v>
      </c>
    </row>
    <row r="147">
      <c r="B147" s="61" t="s">
        <v>2309</v>
      </c>
      <c r="C147" s="45" t="s">
        <v>1854</v>
      </c>
      <c r="D147" s="61" t="s">
        <v>2595</v>
      </c>
      <c r="E147" s="11" t="s">
        <v>9</v>
      </c>
    </row>
    <row r="148">
      <c r="B148" s="61" t="s">
        <v>1309</v>
      </c>
      <c r="C148" s="45" t="s">
        <v>181</v>
      </c>
      <c r="D148" s="61" t="s">
        <v>102</v>
      </c>
      <c r="E148" s="11" t="s">
        <v>13</v>
      </c>
    </row>
    <row r="149">
      <c r="B149" s="61" t="s">
        <v>1496</v>
      </c>
      <c r="C149" s="45" t="s">
        <v>194</v>
      </c>
      <c r="D149" s="61" t="s">
        <v>2595</v>
      </c>
      <c r="E149" s="11" t="s">
        <v>9</v>
      </c>
    </row>
    <row r="150">
      <c r="B150" s="61" t="s">
        <v>2309</v>
      </c>
      <c r="C150" s="45" t="s">
        <v>957</v>
      </c>
      <c r="D150" s="61" t="s">
        <v>102</v>
      </c>
      <c r="E150" s="11" t="s">
        <v>13</v>
      </c>
    </row>
    <row r="151">
      <c r="B151" s="61" t="s">
        <v>1309</v>
      </c>
      <c r="C151" s="45" t="s">
        <v>181</v>
      </c>
      <c r="D151" s="61" t="s">
        <v>2595</v>
      </c>
      <c r="E151" s="11" t="s">
        <v>9</v>
      </c>
    </row>
    <row r="152">
      <c r="B152" s="61" t="s">
        <v>2309</v>
      </c>
      <c r="C152" s="45" t="s">
        <v>651</v>
      </c>
      <c r="D152" s="61" t="s">
        <v>1496</v>
      </c>
      <c r="E152" s="11" t="s">
        <v>13</v>
      </c>
    </row>
    <row r="153">
      <c r="B153" s="61" t="s">
        <v>102</v>
      </c>
      <c r="C153" s="45" t="s">
        <v>163</v>
      </c>
      <c r="D153" s="61" t="s">
        <v>2595</v>
      </c>
      <c r="E153" s="11" t="s">
        <v>9</v>
      </c>
    </row>
    <row r="154">
      <c r="B154" s="61" t="s">
        <v>1309</v>
      </c>
      <c r="C154" s="45" t="s">
        <v>158</v>
      </c>
      <c r="D154" s="61" t="s">
        <v>1496</v>
      </c>
      <c r="E154" s="11" t="s">
        <v>13</v>
      </c>
    </row>
    <row r="155">
      <c r="B155" s="96" t="s">
        <v>78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2596</v>
      </c>
      <c r="C157" s="45" t="s">
        <v>301</v>
      </c>
      <c r="D157" s="61" t="s">
        <v>495</v>
      </c>
      <c r="E157" s="11" t="s">
        <v>29</v>
      </c>
    </row>
    <row r="158">
      <c r="B158" s="61" t="s">
        <v>2597</v>
      </c>
      <c r="C158" s="45" t="s">
        <v>16</v>
      </c>
      <c r="D158" s="61" t="s">
        <v>2598</v>
      </c>
      <c r="E158" s="11" t="s">
        <v>33</v>
      </c>
    </row>
    <row r="159">
      <c r="B159" s="61" t="s">
        <v>2599</v>
      </c>
      <c r="C159" s="45" t="s">
        <v>1472</v>
      </c>
      <c r="D159" s="61" t="s">
        <v>2596</v>
      </c>
      <c r="E159" s="11" t="s">
        <v>29</v>
      </c>
    </row>
    <row r="160">
      <c r="B160" s="61" t="s">
        <v>2597</v>
      </c>
      <c r="C160" s="45" t="s">
        <v>181</v>
      </c>
      <c r="D160" s="61" t="s">
        <v>495</v>
      </c>
      <c r="E160" s="11" t="s">
        <v>33</v>
      </c>
    </row>
    <row r="161">
      <c r="B161" s="61" t="s">
        <v>2599</v>
      </c>
      <c r="C161" s="45" t="s">
        <v>208</v>
      </c>
      <c r="D161" s="61" t="s">
        <v>2598</v>
      </c>
      <c r="E161" s="11" t="s">
        <v>29</v>
      </c>
    </row>
    <row r="162">
      <c r="B162" s="61" t="s">
        <v>2597</v>
      </c>
      <c r="C162" s="45" t="s">
        <v>1002</v>
      </c>
      <c r="D162" s="61" t="s">
        <v>2596</v>
      </c>
      <c r="E162" s="11" t="s">
        <v>33</v>
      </c>
    </row>
    <row r="163">
      <c r="B163" s="61" t="s">
        <v>2599</v>
      </c>
      <c r="C163" s="45" t="s">
        <v>158</v>
      </c>
      <c r="D163" s="61" t="s">
        <v>495</v>
      </c>
      <c r="E163" s="11" t="s">
        <v>29</v>
      </c>
    </row>
    <row r="164">
      <c r="B164" s="61" t="s">
        <v>2598</v>
      </c>
      <c r="C164" s="45" t="s">
        <v>302</v>
      </c>
      <c r="D164" s="61" t="s">
        <v>2596</v>
      </c>
      <c r="E164" s="11" t="s">
        <v>33</v>
      </c>
    </row>
    <row r="165">
      <c r="B165" s="61" t="s">
        <v>2599</v>
      </c>
      <c r="C165" s="45" t="s">
        <v>302</v>
      </c>
      <c r="D165" s="61" t="s">
        <v>2597</v>
      </c>
      <c r="E165" s="11" t="s">
        <v>29</v>
      </c>
    </row>
    <row r="166">
      <c r="B166" s="61" t="s">
        <v>2598</v>
      </c>
      <c r="C166" s="45" t="s">
        <v>2600</v>
      </c>
      <c r="D166" s="61" t="s">
        <v>495</v>
      </c>
      <c r="E166" s="11" t="s">
        <v>33</v>
      </c>
    </row>
    <row r="167">
      <c r="B167" s="61" t="s">
        <v>495</v>
      </c>
      <c r="C167" s="45" t="s">
        <v>218</v>
      </c>
      <c r="D167" s="61" t="s">
        <v>2596</v>
      </c>
      <c r="E167" s="11" t="s">
        <v>29</v>
      </c>
    </row>
    <row r="168">
      <c r="B168" s="61" t="s">
        <v>2598</v>
      </c>
      <c r="C168" s="45" t="s">
        <v>19</v>
      </c>
      <c r="D168" s="61" t="s">
        <v>2597</v>
      </c>
      <c r="E168" s="11" t="s">
        <v>33</v>
      </c>
    </row>
    <row r="169">
      <c r="B169" s="61" t="s">
        <v>2596</v>
      </c>
      <c r="C169" s="45" t="s">
        <v>19</v>
      </c>
      <c r="D169" s="61" t="s">
        <v>2599</v>
      </c>
      <c r="E169" s="11" t="s">
        <v>29</v>
      </c>
    </row>
    <row r="170">
      <c r="B170" s="61" t="s">
        <v>495</v>
      </c>
      <c r="C170" s="45" t="s">
        <v>380</v>
      </c>
      <c r="D170" s="61" t="s">
        <v>2597</v>
      </c>
      <c r="E170" s="11" t="s">
        <v>33</v>
      </c>
    </row>
    <row r="171">
      <c r="B171" s="61" t="s">
        <v>2598</v>
      </c>
      <c r="C171" s="45" t="s">
        <v>233</v>
      </c>
      <c r="D171" s="61" t="s">
        <v>2599</v>
      </c>
      <c r="E171" s="11" t="s">
        <v>29</v>
      </c>
    </row>
    <row r="172">
      <c r="B172" s="61" t="s">
        <v>2596</v>
      </c>
      <c r="C172" s="45" t="s">
        <v>181</v>
      </c>
      <c r="D172" s="61" t="s">
        <v>2597</v>
      </c>
      <c r="E172" s="11" t="s">
        <v>33</v>
      </c>
    </row>
    <row r="173">
      <c r="B173" s="61" t="s">
        <v>495</v>
      </c>
      <c r="C173" s="45" t="s">
        <v>256</v>
      </c>
      <c r="D173" s="61" t="s">
        <v>2599</v>
      </c>
      <c r="E173" s="11" t="s">
        <v>29</v>
      </c>
    </row>
    <row r="174">
      <c r="B174" s="61" t="s">
        <v>2596</v>
      </c>
      <c r="C174" s="45" t="s">
        <v>324</v>
      </c>
      <c r="D174" s="61" t="s">
        <v>2598</v>
      </c>
      <c r="E174" s="11" t="s">
        <v>33</v>
      </c>
    </row>
    <row r="175">
      <c r="B175" s="61" t="s">
        <v>2597</v>
      </c>
      <c r="C175" s="45" t="s">
        <v>251</v>
      </c>
      <c r="D175" s="61" t="s">
        <v>2599</v>
      </c>
      <c r="E175" s="11" t="s">
        <v>29</v>
      </c>
      <c r="G175" s="63"/>
    </row>
    <row r="176">
      <c r="B176" s="61" t="s">
        <v>495</v>
      </c>
      <c r="C176" s="45" t="s">
        <v>155</v>
      </c>
      <c r="D176" s="61" t="s">
        <v>2598</v>
      </c>
      <c r="E176" s="11" t="s">
        <v>33</v>
      </c>
    </row>
    <row r="177">
      <c r="B177" s="96" t="s">
        <v>2601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1071</v>
      </c>
      <c r="C179" s="45" t="s">
        <v>171</v>
      </c>
      <c r="D179" s="61" t="s">
        <v>2602</v>
      </c>
      <c r="E179" s="11" t="s">
        <v>29</v>
      </c>
    </row>
    <row r="180">
      <c r="B180" s="61" t="s">
        <v>1145</v>
      </c>
      <c r="C180" s="45" t="s">
        <v>177</v>
      </c>
      <c r="D180" s="61" t="s">
        <v>2302</v>
      </c>
      <c r="E180" s="11" t="s">
        <v>33</v>
      </c>
      <c r="K180" s="50" t="s">
        <v>861</v>
      </c>
    </row>
    <row r="181">
      <c r="B181" s="61" t="s">
        <v>2603</v>
      </c>
      <c r="C181" s="45" t="s">
        <v>220</v>
      </c>
      <c r="D181" s="61" t="s">
        <v>1071</v>
      </c>
      <c r="E181" s="11" t="s">
        <v>29</v>
      </c>
    </row>
    <row r="182">
      <c r="B182" s="61" t="s">
        <v>1145</v>
      </c>
      <c r="C182" s="45" t="s">
        <v>256</v>
      </c>
      <c r="D182" s="61" t="s">
        <v>2602</v>
      </c>
      <c r="E182" s="11" t="s">
        <v>33</v>
      </c>
    </row>
    <row r="183">
      <c r="B183" s="61" t="s">
        <v>2603</v>
      </c>
      <c r="C183" s="45" t="s">
        <v>7</v>
      </c>
      <c r="D183" s="61" t="s">
        <v>2302</v>
      </c>
      <c r="E183" s="11" t="s">
        <v>29</v>
      </c>
    </row>
    <row r="184">
      <c r="B184" s="61" t="s">
        <v>1145</v>
      </c>
      <c r="C184" s="45" t="s">
        <v>304</v>
      </c>
      <c r="D184" s="61" t="s">
        <v>1071</v>
      </c>
      <c r="E184" s="11" t="s">
        <v>33</v>
      </c>
    </row>
    <row r="185">
      <c r="B185" s="61" t="s">
        <v>2603</v>
      </c>
      <c r="C185" s="45" t="s">
        <v>161</v>
      </c>
      <c r="D185" s="61" t="s">
        <v>2602</v>
      </c>
      <c r="E185" s="11" t="s">
        <v>29</v>
      </c>
    </row>
    <row r="186">
      <c r="B186" s="61" t="s">
        <v>2302</v>
      </c>
      <c r="C186" s="45" t="s">
        <v>166</v>
      </c>
      <c r="D186" s="61" t="s">
        <v>1071</v>
      </c>
      <c r="E186" s="11" t="s">
        <v>33</v>
      </c>
    </row>
    <row r="187">
      <c r="B187" s="61" t="s">
        <v>2603</v>
      </c>
      <c r="C187" s="45" t="s">
        <v>251</v>
      </c>
      <c r="D187" s="61" t="s">
        <v>1145</v>
      </c>
      <c r="E187" s="11" t="s">
        <v>29</v>
      </c>
    </row>
    <row r="188">
      <c r="B188" s="61" t="s">
        <v>2302</v>
      </c>
      <c r="C188" s="45" t="s">
        <v>271</v>
      </c>
      <c r="D188" s="61" t="s">
        <v>2602</v>
      </c>
      <c r="E188" s="11" t="s">
        <v>33</v>
      </c>
    </row>
    <row r="189">
      <c r="B189" s="61" t="s">
        <v>2602</v>
      </c>
      <c r="C189" s="45" t="s">
        <v>326</v>
      </c>
      <c r="D189" s="61" t="s">
        <v>1071</v>
      </c>
      <c r="E189" s="11" t="s">
        <v>29</v>
      </c>
    </row>
    <row r="190">
      <c r="B190" s="61" t="s">
        <v>2302</v>
      </c>
      <c r="C190" s="45" t="s">
        <v>250</v>
      </c>
      <c r="D190" s="61" t="s">
        <v>1145</v>
      </c>
      <c r="E190" s="11" t="s">
        <v>33</v>
      </c>
    </row>
    <row r="191">
      <c r="B191" s="61" t="s">
        <v>1071</v>
      </c>
      <c r="C191" s="45" t="s">
        <v>194</v>
      </c>
      <c r="D191" s="61" t="s">
        <v>2603</v>
      </c>
      <c r="E191" s="11" t="s">
        <v>29</v>
      </c>
    </row>
    <row r="192">
      <c r="B192" s="61" t="s">
        <v>2602</v>
      </c>
      <c r="C192" s="45" t="s">
        <v>208</v>
      </c>
      <c r="D192" s="61" t="s">
        <v>1145</v>
      </c>
      <c r="E192" s="11" t="s">
        <v>33</v>
      </c>
    </row>
    <row r="193">
      <c r="B193" s="61" t="s">
        <v>2302</v>
      </c>
      <c r="C193" s="45" t="s">
        <v>23</v>
      </c>
      <c r="D193" s="61" t="s">
        <v>2603</v>
      </c>
      <c r="E193" s="11" t="s">
        <v>29</v>
      </c>
    </row>
    <row r="194">
      <c r="B194" s="61" t="s">
        <v>1071</v>
      </c>
      <c r="C194" s="45" t="s">
        <v>19</v>
      </c>
      <c r="D194" s="61" t="s">
        <v>1145</v>
      </c>
      <c r="E194" s="11" t="s">
        <v>33</v>
      </c>
    </row>
    <row r="195">
      <c r="B195" s="61" t="s">
        <v>2602</v>
      </c>
      <c r="C195" s="45" t="s">
        <v>20</v>
      </c>
      <c r="D195" s="61" t="s">
        <v>2603</v>
      </c>
      <c r="E195" s="11" t="s">
        <v>29</v>
      </c>
    </row>
    <row r="196">
      <c r="B196" s="61" t="s">
        <v>1071</v>
      </c>
      <c r="C196" s="45" t="s">
        <v>210</v>
      </c>
      <c r="D196" s="61" t="s">
        <v>2302</v>
      </c>
      <c r="E196" s="11" t="s">
        <v>33</v>
      </c>
    </row>
    <row r="197">
      <c r="B197" s="61" t="s">
        <v>1145</v>
      </c>
      <c r="C197" s="45" t="s">
        <v>16</v>
      </c>
      <c r="D197" s="61" t="s">
        <v>2603</v>
      </c>
      <c r="E197" s="11" t="s">
        <v>29</v>
      </c>
    </row>
    <row r="198">
      <c r="B198" s="61" t="s">
        <v>2602</v>
      </c>
      <c r="C198" s="45" t="s">
        <v>248</v>
      </c>
      <c r="D198" s="61" t="s">
        <v>2302</v>
      </c>
      <c r="E198" s="11" t="s">
        <v>33</v>
      </c>
    </row>
    <row r="199">
      <c r="B199" s="1" t="s">
        <v>1803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2604</v>
      </c>
      <c r="C201" s="57" t="s">
        <v>184</v>
      </c>
      <c r="D201" s="61" t="s">
        <v>2605</v>
      </c>
      <c r="E201" s="11" t="s">
        <v>9</v>
      </c>
    </row>
    <row r="202">
      <c r="B202" s="61" t="s">
        <v>1017</v>
      </c>
      <c r="C202" s="57" t="s">
        <v>38</v>
      </c>
      <c r="D202" s="61" t="s">
        <v>1011</v>
      </c>
      <c r="E202" s="11" t="s">
        <v>13</v>
      </c>
    </row>
    <row r="203">
      <c r="B203" s="61" t="s">
        <v>1158</v>
      </c>
      <c r="C203" s="57" t="s">
        <v>257</v>
      </c>
      <c r="D203" s="61" t="s">
        <v>2604</v>
      </c>
      <c r="E203" s="11" t="s">
        <v>9</v>
      </c>
    </row>
    <row r="204">
      <c r="B204" s="61" t="s">
        <v>1017</v>
      </c>
      <c r="C204" s="57" t="s">
        <v>342</v>
      </c>
      <c r="D204" s="61" t="s">
        <v>2605</v>
      </c>
      <c r="E204" s="11" t="s">
        <v>13</v>
      </c>
    </row>
    <row r="205">
      <c r="B205" s="61" t="s">
        <v>1158</v>
      </c>
      <c r="C205" s="57" t="s">
        <v>43</v>
      </c>
      <c r="D205" s="61" t="s">
        <v>1011</v>
      </c>
      <c r="E205" s="11" t="s">
        <v>9</v>
      </c>
    </row>
    <row r="206">
      <c r="B206" s="61" t="s">
        <v>1017</v>
      </c>
      <c r="C206" s="57" t="s">
        <v>916</v>
      </c>
      <c r="D206" s="61" t="s">
        <v>2604</v>
      </c>
      <c r="E206" s="11" t="s">
        <v>13</v>
      </c>
    </row>
    <row r="207">
      <c r="B207" s="61" t="s">
        <v>1158</v>
      </c>
      <c r="C207" s="57" t="s">
        <v>39</v>
      </c>
      <c r="D207" s="61" t="s">
        <v>2605</v>
      </c>
      <c r="E207" s="11" t="s">
        <v>9</v>
      </c>
    </row>
    <row r="208">
      <c r="B208" s="61" t="s">
        <v>1011</v>
      </c>
      <c r="C208" s="57" t="s">
        <v>545</v>
      </c>
      <c r="D208" s="61" t="s">
        <v>2604</v>
      </c>
      <c r="E208" s="11" t="s">
        <v>13</v>
      </c>
    </row>
    <row r="209">
      <c r="B209" s="61" t="s">
        <v>1158</v>
      </c>
      <c r="C209" s="57" t="s">
        <v>380</v>
      </c>
      <c r="D209" s="61" t="s">
        <v>1017</v>
      </c>
      <c r="E209" s="11" t="s">
        <v>9</v>
      </c>
    </row>
    <row r="210">
      <c r="B210" s="61" t="s">
        <v>1011</v>
      </c>
      <c r="C210" s="57" t="s">
        <v>181</v>
      </c>
      <c r="D210" s="61" t="s">
        <v>2605</v>
      </c>
      <c r="E210" s="11" t="s">
        <v>13</v>
      </c>
    </row>
    <row r="211">
      <c r="B211" s="61" t="s">
        <v>2605</v>
      </c>
      <c r="C211" s="57" t="s">
        <v>2606</v>
      </c>
      <c r="D211" s="61" t="s">
        <v>2604</v>
      </c>
      <c r="E211" s="11" t="s">
        <v>9</v>
      </c>
    </row>
    <row r="212">
      <c r="B212" s="61" t="s">
        <v>1011</v>
      </c>
      <c r="C212" s="57" t="s">
        <v>250</v>
      </c>
      <c r="D212" s="61" t="s">
        <v>1017</v>
      </c>
      <c r="E212" s="11" t="s">
        <v>13</v>
      </c>
    </row>
    <row r="213">
      <c r="B213" s="61" t="s">
        <v>2604</v>
      </c>
      <c r="C213" s="45" t="s">
        <v>185</v>
      </c>
      <c r="D213" s="61" t="s">
        <v>1158</v>
      </c>
      <c r="E213" s="11" t="s">
        <v>9</v>
      </c>
    </row>
    <row r="214">
      <c r="B214" s="61" t="s">
        <v>2605</v>
      </c>
      <c r="C214" s="45" t="s">
        <v>289</v>
      </c>
      <c r="D214" s="61" t="s">
        <v>1017</v>
      </c>
      <c r="E214" s="11" t="s">
        <v>13</v>
      </c>
    </row>
    <row r="215">
      <c r="B215" s="61" t="s">
        <v>1011</v>
      </c>
      <c r="C215" s="45" t="s">
        <v>301</v>
      </c>
      <c r="D215" s="61" t="s">
        <v>1158</v>
      </c>
      <c r="E215" s="11" t="s">
        <v>9</v>
      </c>
    </row>
    <row r="216">
      <c r="B216" s="61" t="s">
        <v>2604</v>
      </c>
      <c r="C216" s="45" t="s">
        <v>176</v>
      </c>
      <c r="D216" s="61" t="s">
        <v>1017</v>
      </c>
      <c r="E216" s="11" t="s">
        <v>13</v>
      </c>
    </row>
    <row r="217">
      <c r="B217" s="61" t="s">
        <v>2605</v>
      </c>
      <c r="C217" s="45" t="s">
        <v>166</v>
      </c>
      <c r="D217" s="61" t="s">
        <v>1158</v>
      </c>
      <c r="E217" s="11" t="s">
        <v>9</v>
      </c>
    </row>
    <row r="218">
      <c r="B218" s="61" t="s">
        <v>2604</v>
      </c>
      <c r="C218" s="45" t="s">
        <v>184</v>
      </c>
      <c r="D218" s="61" t="s">
        <v>1011</v>
      </c>
      <c r="E218" s="11" t="s">
        <v>13</v>
      </c>
    </row>
    <row r="219">
      <c r="B219" s="61" t="s">
        <v>1017</v>
      </c>
      <c r="C219" s="45" t="s">
        <v>344</v>
      </c>
      <c r="D219" s="61" t="s">
        <v>1158</v>
      </c>
      <c r="E219" s="11" t="s">
        <v>9</v>
      </c>
    </row>
    <row r="220">
      <c r="B220" s="61" t="s">
        <v>2605</v>
      </c>
      <c r="C220" s="45" t="s">
        <v>162</v>
      </c>
      <c r="D220" s="61" t="s">
        <v>1011</v>
      </c>
      <c r="E220" s="11" t="s">
        <v>13</v>
      </c>
    </row>
    <row r="221">
      <c r="B221" s="52" t="s">
        <v>2607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2608</v>
      </c>
      <c r="C223" s="45" t="s">
        <v>14</v>
      </c>
      <c r="D223" s="62" t="s">
        <v>2609</v>
      </c>
      <c r="E223" s="11" t="s">
        <v>9</v>
      </c>
    </row>
    <row r="224">
      <c r="B224" s="62" t="s">
        <v>800</v>
      </c>
      <c r="C224" s="45" t="s">
        <v>419</v>
      </c>
      <c r="D224" s="62" t="s">
        <v>1993</v>
      </c>
      <c r="E224" s="11" t="s">
        <v>13</v>
      </c>
    </row>
    <row r="225">
      <c r="B225" s="62" t="s">
        <v>2610</v>
      </c>
      <c r="C225" s="45" t="s">
        <v>20</v>
      </c>
      <c r="D225" s="62" t="s">
        <v>2608</v>
      </c>
      <c r="E225" s="11" t="s">
        <v>9</v>
      </c>
    </row>
    <row r="226">
      <c r="B226" s="62" t="s">
        <v>800</v>
      </c>
      <c r="C226" s="45" t="s">
        <v>163</v>
      </c>
      <c r="D226" s="62" t="s">
        <v>2609</v>
      </c>
      <c r="E226" s="11" t="s">
        <v>13</v>
      </c>
    </row>
    <row r="227">
      <c r="B227" s="62" t="s">
        <v>2610</v>
      </c>
      <c r="C227" s="45" t="s">
        <v>14</v>
      </c>
      <c r="D227" s="62" t="s">
        <v>1993</v>
      </c>
      <c r="E227" s="11" t="s">
        <v>9</v>
      </c>
    </row>
    <row r="228">
      <c r="B228" s="62" t="s">
        <v>800</v>
      </c>
      <c r="C228" s="45" t="s">
        <v>218</v>
      </c>
      <c r="D228" s="62" t="s">
        <v>2608</v>
      </c>
      <c r="E228" s="11" t="s">
        <v>13</v>
      </c>
    </row>
    <row r="229">
      <c r="B229" s="62" t="s">
        <v>2610</v>
      </c>
      <c r="C229" s="45" t="s">
        <v>23</v>
      </c>
      <c r="D229" s="62" t="s">
        <v>2609</v>
      </c>
      <c r="E229" s="11" t="s">
        <v>9</v>
      </c>
    </row>
    <row r="230">
      <c r="B230" s="62" t="s">
        <v>1993</v>
      </c>
      <c r="C230" s="45" t="s">
        <v>23</v>
      </c>
      <c r="D230" s="62" t="s">
        <v>2608</v>
      </c>
      <c r="E230" s="11" t="s">
        <v>13</v>
      </c>
    </row>
    <row r="231">
      <c r="B231" s="62" t="s">
        <v>2610</v>
      </c>
      <c r="C231" s="45" t="s">
        <v>7</v>
      </c>
      <c r="D231" s="62" t="s">
        <v>800</v>
      </c>
      <c r="E231" s="11" t="s">
        <v>9</v>
      </c>
    </row>
    <row r="232">
      <c r="B232" s="62" t="s">
        <v>1993</v>
      </c>
      <c r="C232" s="45" t="s">
        <v>162</v>
      </c>
      <c r="D232" s="62" t="s">
        <v>2609</v>
      </c>
      <c r="E232" s="11" t="s">
        <v>13</v>
      </c>
    </row>
    <row r="233">
      <c r="B233" s="62" t="s">
        <v>2609</v>
      </c>
      <c r="C233" s="45" t="s">
        <v>394</v>
      </c>
      <c r="D233" s="62" t="s">
        <v>2608</v>
      </c>
      <c r="E233" s="11" t="s">
        <v>9</v>
      </c>
    </row>
    <row r="234">
      <c r="B234" s="62" t="s">
        <v>1993</v>
      </c>
      <c r="C234" s="45" t="s">
        <v>37</v>
      </c>
      <c r="D234" s="62" t="s">
        <v>800</v>
      </c>
      <c r="E234" s="11" t="s">
        <v>13</v>
      </c>
    </row>
    <row r="235">
      <c r="B235" s="62" t="s">
        <v>2608</v>
      </c>
      <c r="C235" s="45" t="s">
        <v>7</v>
      </c>
      <c r="D235" s="62" t="s">
        <v>2610</v>
      </c>
      <c r="E235" s="11" t="s">
        <v>9</v>
      </c>
    </row>
    <row r="236">
      <c r="B236" s="62" t="s">
        <v>2609</v>
      </c>
      <c r="C236" s="45" t="s">
        <v>43</v>
      </c>
      <c r="D236" s="62" t="s">
        <v>800</v>
      </c>
      <c r="E236" s="11" t="s">
        <v>13</v>
      </c>
    </row>
    <row r="237">
      <c r="B237" s="62" t="s">
        <v>1993</v>
      </c>
      <c r="C237" s="45" t="s">
        <v>344</v>
      </c>
      <c r="D237" s="62" t="s">
        <v>2610</v>
      </c>
      <c r="E237" s="11" t="s">
        <v>9</v>
      </c>
    </row>
    <row r="238">
      <c r="B238" s="62" t="s">
        <v>2608</v>
      </c>
      <c r="C238" s="45" t="s">
        <v>158</v>
      </c>
      <c r="D238" s="62" t="s">
        <v>800</v>
      </c>
      <c r="E238" s="11" t="s">
        <v>13</v>
      </c>
    </row>
    <row r="239">
      <c r="B239" s="62" t="s">
        <v>2609</v>
      </c>
      <c r="C239" s="45" t="s">
        <v>162</v>
      </c>
      <c r="D239" s="62" t="s">
        <v>2610</v>
      </c>
      <c r="E239" s="11" t="s">
        <v>9</v>
      </c>
    </row>
    <row r="240">
      <c r="B240" s="62" t="s">
        <v>2608</v>
      </c>
      <c r="C240" s="45" t="s">
        <v>380</v>
      </c>
      <c r="D240" s="62" t="s">
        <v>1993</v>
      </c>
      <c r="E240" s="11" t="s">
        <v>13</v>
      </c>
    </row>
    <row r="241">
      <c r="B241" s="62" t="s">
        <v>800</v>
      </c>
      <c r="C241" s="45" t="s">
        <v>7</v>
      </c>
      <c r="D241" s="62" t="s">
        <v>2610</v>
      </c>
      <c r="E241" s="11" t="s">
        <v>9</v>
      </c>
    </row>
    <row r="242">
      <c r="B242" s="62" t="s">
        <v>2609</v>
      </c>
      <c r="C242" s="45" t="s">
        <v>2427</v>
      </c>
      <c r="D242" s="62" t="s">
        <v>1993</v>
      </c>
      <c r="E242" s="11" t="s">
        <v>13</v>
      </c>
    </row>
    <row r="243">
      <c r="B243" s="96" t="s">
        <v>2611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2612</v>
      </c>
      <c r="C245" s="45" t="s">
        <v>334</v>
      </c>
      <c r="D245" s="62" t="s">
        <v>2613</v>
      </c>
      <c r="E245" s="11" t="s">
        <v>29</v>
      </c>
    </row>
    <row r="246">
      <c r="B246" s="62" t="s">
        <v>2472</v>
      </c>
      <c r="C246" s="45" t="s">
        <v>208</v>
      </c>
      <c r="D246" s="62" t="s">
        <v>2614</v>
      </c>
      <c r="E246" s="11" t="s">
        <v>33</v>
      </c>
    </row>
    <row r="247">
      <c r="B247" s="62" t="s">
        <v>2021</v>
      </c>
      <c r="C247" s="45" t="s">
        <v>193</v>
      </c>
      <c r="D247" s="62" t="s">
        <v>2612</v>
      </c>
      <c r="E247" s="11" t="s">
        <v>29</v>
      </c>
    </row>
    <row r="248">
      <c r="B248" s="62" t="s">
        <v>2472</v>
      </c>
      <c r="C248" s="45" t="s">
        <v>302</v>
      </c>
      <c r="D248" s="62" t="s">
        <v>2613</v>
      </c>
      <c r="E248" s="11" t="s">
        <v>33</v>
      </c>
    </row>
    <row r="249">
      <c r="B249" s="62" t="s">
        <v>2021</v>
      </c>
      <c r="C249" s="45" t="s">
        <v>163</v>
      </c>
      <c r="D249" s="62" t="s">
        <v>2614</v>
      </c>
      <c r="E249" s="11" t="s">
        <v>29</v>
      </c>
    </row>
    <row r="250">
      <c r="B250" s="62" t="s">
        <v>2472</v>
      </c>
      <c r="C250" s="45" t="s">
        <v>351</v>
      </c>
      <c r="D250" s="62" t="s">
        <v>2612</v>
      </c>
      <c r="E250" s="11" t="s">
        <v>33</v>
      </c>
    </row>
    <row r="251">
      <c r="B251" s="62" t="s">
        <v>2021</v>
      </c>
      <c r="C251" s="45" t="s">
        <v>245</v>
      </c>
      <c r="D251" s="62" t="s">
        <v>2613</v>
      </c>
      <c r="E251" s="11" t="s">
        <v>29</v>
      </c>
    </row>
    <row r="252">
      <c r="B252" s="62" t="s">
        <v>2614</v>
      </c>
      <c r="C252" s="45" t="s">
        <v>375</v>
      </c>
      <c r="D252" s="62" t="s">
        <v>2612</v>
      </c>
      <c r="E252" s="11" t="s">
        <v>33</v>
      </c>
    </row>
    <row r="253">
      <c r="B253" s="62" t="s">
        <v>2021</v>
      </c>
      <c r="C253" s="45" t="s">
        <v>219</v>
      </c>
      <c r="D253" s="62" t="s">
        <v>2472</v>
      </c>
      <c r="E253" s="11" t="s">
        <v>29</v>
      </c>
    </row>
    <row r="254">
      <c r="B254" s="62" t="s">
        <v>2614</v>
      </c>
      <c r="C254" s="45" t="s">
        <v>525</v>
      </c>
      <c r="D254" s="62" t="s">
        <v>2613</v>
      </c>
      <c r="E254" s="11" t="s">
        <v>33</v>
      </c>
    </row>
    <row r="255">
      <c r="B255" s="62" t="s">
        <v>2613</v>
      </c>
      <c r="C255" s="45" t="s">
        <v>220</v>
      </c>
      <c r="D255" s="62" t="s">
        <v>2612</v>
      </c>
      <c r="E255" s="11" t="s">
        <v>29</v>
      </c>
    </row>
    <row r="256">
      <c r="B256" s="62" t="s">
        <v>2614</v>
      </c>
      <c r="C256" s="45" t="s">
        <v>280</v>
      </c>
      <c r="D256" s="62" t="s">
        <v>2472</v>
      </c>
      <c r="E256" s="11" t="s">
        <v>33</v>
      </c>
    </row>
    <row r="257">
      <c r="B257" s="62" t="s">
        <v>2612</v>
      </c>
      <c r="C257" s="45" t="s">
        <v>301</v>
      </c>
      <c r="D257" s="62" t="s">
        <v>2021</v>
      </c>
      <c r="E257" s="11" t="s">
        <v>29</v>
      </c>
    </row>
    <row r="258">
      <c r="B258" s="62" t="s">
        <v>2613</v>
      </c>
      <c r="C258" s="45" t="s">
        <v>2615</v>
      </c>
      <c r="D258" s="62" t="s">
        <v>2472</v>
      </c>
      <c r="E258" s="11" t="s">
        <v>33</v>
      </c>
    </row>
    <row r="259">
      <c r="B259" s="62" t="s">
        <v>2614</v>
      </c>
      <c r="C259" s="45" t="s">
        <v>173</v>
      </c>
      <c r="D259" s="62" t="s">
        <v>2021</v>
      </c>
      <c r="E259" s="11" t="s">
        <v>29</v>
      </c>
    </row>
    <row r="260">
      <c r="B260" s="62" t="s">
        <v>2612</v>
      </c>
      <c r="C260" s="45" t="s">
        <v>2616</v>
      </c>
      <c r="D260" s="62" t="s">
        <v>2472</v>
      </c>
      <c r="E260" s="11" t="s">
        <v>33</v>
      </c>
    </row>
    <row r="261">
      <c r="B261" s="62" t="s">
        <v>2613</v>
      </c>
      <c r="C261" s="45" t="s">
        <v>1506</v>
      </c>
      <c r="D261" s="62" t="s">
        <v>2021</v>
      </c>
      <c r="E261" s="11" t="s">
        <v>29</v>
      </c>
    </row>
    <row r="262">
      <c r="B262" s="62" t="s">
        <v>2612</v>
      </c>
      <c r="C262" s="45" t="s">
        <v>16</v>
      </c>
      <c r="D262" s="62" t="s">
        <v>2614</v>
      </c>
      <c r="E262" s="55" t="s">
        <v>33</v>
      </c>
    </row>
    <row r="263">
      <c r="B263" s="62" t="s">
        <v>2472</v>
      </c>
      <c r="C263" s="45" t="s">
        <v>182</v>
      </c>
      <c r="D263" s="62" t="s">
        <v>2021</v>
      </c>
      <c r="E263" s="11" t="s">
        <v>29</v>
      </c>
    </row>
    <row r="264">
      <c r="B264" s="62" t="s">
        <v>2613</v>
      </c>
      <c r="C264" s="45" t="s">
        <v>225</v>
      </c>
      <c r="D264" s="62" t="s">
        <v>2614</v>
      </c>
      <c r="E264" s="11" t="s">
        <v>33</v>
      </c>
    </row>
    <row r="265">
      <c r="B265" s="52" t="s">
        <v>2371</v>
      </c>
      <c r="C265" s="2"/>
      <c r="D265" s="3"/>
      <c r="E265" s="53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62" t="s">
        <v>328</v>
      </c>
      <c r="C267" s="45" t="s">
        <v>258</v>
      </c>
      <c r="D267" s="62" t="s">
        <v>2617</v>
      </c>
      <c r="E267" s="11" t="s">
        <v>29</v>
      </c>
    </row>
    <row r="268">
      <c r="B268" s="62" t="s">
        <v>2177</v>
      </c>
      <c r="C268" s="45" t="s">
        <v>159</v>
      </c>
      <c r="D268" s="62" t="s">
        <v>2077</v>
      </c>
      <c r="E268" s="11" t="s">
        <v>33</v>
      </c>
    </row>
    <row r="269">
      <c r="B269" s="62" t="s">
        <v>1907</v>
      </c>
      <c r="C269" s="45" t="s">
        <v>181</v>
      </c>
      <c r="D269" s="62" t="s">
        <v>328</v>
      </c>
      <c r="E269" s="11" t="s">
        <v>29</v>
      </c>
    </row>
    <row r="270">
      <c r="B270" s="62" t="s">
        <v>2177</v>
      </c>
      <c r="C270" s="45" t="s">
        <v>20</v>
      </c>
      <c r="D270" s="62" t="s">
        <v>2617</v>
      </c>
      <c r="E270" s="11" t="s">
        <v>33</v>
      </c>
    </row>
    <row r="271">
      <c r="B271" s="62" t="s">
        <v>1907</v>
      </c>
      <c r="C271" s="45" t="s">
        <v>251</v>
      </c>
      <c r="D271" s="62" t="s">
        <v>2077</v>
      </c>
      <c r="E271" s="11" t="s">
        <v>29</v>
      </c>
    </row>
    <row r="272">
      <c r="B272" s="62" t="s">
        <v>2177</v>
      </c>
      <c r="C272" s="45" t="s">
        <v>2618</v>
      </c>
      <c r="D272" s="62" t="s">
        <v>328</v>
      </c>
      <c r="E272" s="11" t="s">
        <v>33</v>
      </c>
    </row>
    <row r="273">
      <c r="B273" s="62" t="s">
        <v>1907</v>
      </c>
      <c r="C273" s="45" t="s">
        <v>185</v>
      </c>
      <c r="D273" s="62" t="s">
        <v>2617</v>
      </c>
      <c r="E273" s="11" t="s">
        <v>29</v>
      </c>
    </row>
    <row r="274">
      <c r="B274" s="62" t="s">
        <v>2077</v>
      </c>
      <c r="C274" s="45" t="s">
        <v>425</v>
      </c>
      <c r="D274" s="62" t="s">
        <v>328</v>
      </c>
      <c r="E274" s="11" t="s">
        <v>33</v>
      </c>
    </row>
    <row r="275">
      <c r="B275" s="62" t="s">
        <v>1907</v>
      </c>
      <c r="C275" s="45" t="s">
        <v>181</v>
      </c>
      <c r="D275" s="62" t="s">
        <v>2177</v>
      </c>
      <c r="E275" s="11" t="s">
        <v>29</v>
      </c>
    </row>
    <row r="276">
      <c r="B276" s="62" t="s">
        <v>2077</v>
      </c>
      <c r="C276" s="45" t="s">
        <v>19</v>
      </c>
      <c r="D276" s="62" t="s">
        <v>2617</v>
      </c>
      <c r="E276" s="11" t="s">
        <v>33</v>
      </c>
    </row>
    <row r="277">
      <c r="B277" s="62" t="s">
        <v>2617</v>
      </c>
      <c r="C277" s="45" t="s">
        <v>16</v>
      </c>
      <c r="D277" s="62" t="s">
        <v>328</v>
      </c>
      <c r="E277" s="11" t="s">
        <v>29</v>
      </c>
    </row>
    <row r="278">
      <c r="B278" s="62" t="s">
        <v>2077</v>
      </c>
      <c r="C278" s="45" t="s">
        <v>344</v>
      </c>
      <c r="D278" s="62" t="s">
        <v>2177</v>
      </c>
      <c r="E278" s="11" t="s">
        <v>33</v>
      </c>
    </row>
    <row r="279">
      <c r="B279" s="62" t="s">
        <v>328</v>
      </c>
      <c r="C279" s="45" t="s">
        <v>36</v>
      </c>
      <c r="D279" s="62" t="s">
        <v>1907</v>
      </c>
      <c r="E279" s="11" t="s">
        <v>29</v>
      </c>
    </row>
    <row r="280">
      <c r="B280" s="62" t="s">
        <v>2617</v>
      </c>
      <c r="C280" s="45" t="s">
        <v>181</v>
      </c>
      <c r="D280" s="62" t="s">
        <v>2177</v>
      </c>
      <c r="E280" s="11" t="s">
        <v>33</v>
      </c>
    </row>
    <row r="281">
      <c r="B281" s="62" t="s">
        <v>2077</v>
      </c>
      <c r="C281" s="45" t="s">
        <v>18</v>
      </c>
      <c r="D281" s="62" t="s">
        <v>1907</v>
      </c>
      <c r="E281" s="11" t="s">
        <v>29</v>
      </c>
    </row>
    <row r="282">
      <c r="B282" s="62" t="s">
        <v>328</v>
      </c>
      <c r="C282" s="45" t="s">
        <v>19</v>
      </c>
      <c r="D282" s="62" t="s">
        <v>2177</v>
      </c>
      <c r="E282" s="11" t="s">
        <v>33</v>
      </c>
    </row>
    <row r="283">
      <c r="B283" s="62" t="s">
        <v>2617</v>
      </c>
      <c r="C283" s="45" t="s">
        <v>41</v>
      </c>
      <c r="D283" s="62" t="s">
        <v>1907</v>
      </c>
      <c r="E283" s="11" t="s">
        <v>29</v>
      </c>
    </row>
    <row r="284">
      <c r="B284" s="62" t="s">
        <v>328</v>
      </c>
      <c r="C284" s="45" t="s">
        <v>2619</v>
      </c>
      <c r="D284" s="62" t="s">
        <v>2077</v>
      </c>
      <c r="E284" s="11" t="s">
        <v>33</v>
      </c>
    </row>
    <row r="285">
      <c r="B285" s="62" t="s">
        <v>2177</v>
      </c>
      <c r="C285" s="45" t="s">
        <v>16</v>
      </c>
      <c r="D285" s="62" t="s">
        <v>1907</v>
      </c>
      <c r="E285" s="11" t="s">
        <v>29</v>
      </c>
    </row>
    <row r="286">
      <c r="B286" s="62" t="s">
        <v>2617</v>
      </c>
      <c r="C286" s="45" t="s">
        <v>208</v>
      </c>
      <c r="D286" s="62" t="s">
        <v>2077</v>
      </c>
      <c r="E286" s="11" t="s">
        <v>33</v>
      </c>
    </row>
    <row r="287">
      <c r="B287" s="52" t="s">
        <v>2620</v>
      </c>
      <c r="C287" s="2"/>
      <c r="D287" s="3"/>
      <c r="E287" s="53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62" t="s">
        <v>1987</v>
      </c>
      <c r="C289" s="57" t="s">
        <v>43</v>
      </c>
      <c r="D289" s="62" t="s">
        <v>2252</v>
      </c>
      <c r="E289" s="11" t="s">
        <v>9</v>
      </c>
    </row>
    <row r="290">
      <c r="B290" s="62" t="s">
        <v>949</v>
      </c>
      <c r="C290" s="57" t="s">
        <v>155</v>
      </c>
      <c r="D290" s="62" t="s">
        <v>1810</v>
      </c>
      <c r="E290" s="11" t="s">
        <v>13</v>
      </c>
    </row>
    <row r="291">
      <c r="B291" s="62" t="s">
        <v>2621</v>
      </c>
      <c r="C291" s="57" t="s">
        <v>193</v>
      </c>
      <c r="D291" s="62" t="s">
        <v>1987</v>
      </c>
      <c r="E291" s="11" t="s">
        <v>9</v>
      </c>
    </row>
    <row r="292">
      <c r="B292" s="62" t="s">
        <v>949</v>
      </c>
      <c r="C292" s="57" t="s">
        <v>165</v>
      </c>
      <c r="D292" s="62" t="s">
        <v>2252</v>
      </c>
      <c r="E292" s="11" t="s">
        <v>13</v>
      </c>
    </row>
    <row r="293">
      <c r="B293" s="62" t="s">
        <v>2621</v>
      </c>
      <c r="C293" s="57" t="s">
        <v>279</v>
      </c>
      <c r="D293" s="62" t="s">
        <v>1810</v>
      </c>
      <c r="E293" s="11" t="s">
        <v>9</v>
      </c>
    </row>
    <row r="294">
      <c r="B294" s="62" t="s">
        <v>949</v>
      </c>
      <c r="C294" s="57" t="s">
        <v>304</v>
      </c>
      <c r="D294" s="62" t="s">
        <v>1987</v>
      </c>
      <c r="E294" s="11" t="s">
        <v>13</v>
      </c>
    </row>
    <row r="295">
      <c r="B295" s="62" t="s">
        <v>2621</v>
      </c>
      <c r="C295" s="57" t="s">
        <v>554</v>
      </c>
      <c r="D295" s="62" t="s">
        <v>2252</v>
      </c>
      <c r="E295" s="11" t="s">
        <v>9</v>
      </c>
    </row>
    <row r="296">
      <c r="B296" s="62" t="s">
        <v>1810</v>
      </c>
      <c r="C296" s="57" t="s">
        <v>7</v>
      </c>
      <c r="D296" s="62" t="s">
        <v>1987</v>
      </c>
      <c r="E296" s="11" t="s">
        <v>13</v>
      </c>
    </row>
    <row r="297">
      <c r="B297" s="62" t="s">
        <v>2621</v>
      </c>
      <c r="C297" s="57" t="s">
        <v>193</v>
      </c>
      <c r="D297" s="62" t="s">
        <v>949</v>
      </c>
      <c r="E297" s="11" t="s">
        <v>9</v>
      </c>
    </row>
    <row r="298">
      <c r="B298" s="62" t="s">
        <v>1810</v>
      </c>
      <c r="C298" s="57" t="s">
        <v>322</v>
      </c>
      <c r="D298" s="62" t="s">
        <v>2252</v>
      </c>
      <c r="E298" s="11" t="s">
        <v>13</v>
      </c>
    </row>
    <row r="299">
      <c r="B299" s="62" t="s">
        <v>2252</v>
      </c>
      <c r="C299" s="57" t="s">
        <v>164</v>
      </c>
      <c r="D299" s="62" t="s">
        <v>1987</v>
      </c>
      <c r="E299" s="11" t="s">
        <v>9</v>
      </c>
    </row>
    <row r="300">
      <c r="B300" s="62" t="s">
        <v>1810</v>
      </c>
      <c r="C300" s="57" t="s">
        <v>36</v>
      </c>
      <c r="D300" s="62" t="s">
        <v>949</v>
      </c>
      <c r="E300" s="11" t="s">
        <v>13</v>
      </c>
    </row>
    <row r="301">
      <c r="B301" s="62" t="s">
        <v>1987</v>
      </c>
      <c r="C301" s="45" t="s">
        <v>536</v>
      </c>
      <c r="D301" s="62" t="s">
        <v>2621</v>
      </c>
      <c r="E301" s="11" t="s">
        <v>9</v>
      </c>
    </row>
    <row r="302">
      <c r="B302" s="62" t="s">
        <v>2252</v>
      </c>
      <c r="C302" s="45" t="s">
        <v>651</v>
      </c>
      <c r="D302" s="62" t="s">
        <v>949</v>
      </c>
      <c r="E302" s="11" t="s">
        <v>13</v>
      </c>
    </row>
    <row r="303">
      <c r="B303" s="62" t="s">
        <v>1810</v>
      </c>
      <c r="C303" s="45" t="s">
        <v>196</v>
      </c>
      <c r="D303" s="62" t="s">
        <v>2621</v>
      </c>
      <c r="E303" s="11" t="s">
        <v>9</v>
      </c>
    </row>
    <row r="304">
      <c r="B304" s="62" t="s">
        <v>1987</v>
      </c>
      <c r="C304" s="45" t="s">
        <v>19</v>
      </c>
      <c r="D304" s="62" t="s">
        <v>949</v>
      </c>
      <c r="E304" s="11" t="s">
        <v>13</v>
      </c>
    </row>
    <row r="305">
      <c r="B305" s="62" t="s">
        <v>2252</v>
      </c>
      <c r="C305" s="45" t="s">
        <v>176</v>
      </c>
      <c r="D305" s="62" t="s">
        <v>2621</v>
      </c>
      <c r="E305" s="11" t="s">
        <v>9</v>
      </c>
    </row>
    <row r="306">
      <c r="B306" s="62" t="s">
        <v>1987</v>
      </c>
      <c r="C306" s="45" t="s">
        <v>311</v>
      </c>
      <c r="D306" s="62" t="s">
        <v>1810</v>
      </c>
      <c r="E306" s="11" t="s">
        <v>13</v>
      </c>
    </row>
    <row r="307">
      <c r="B307" s="62" t="s">
        <v>949</v>
      </c>
      <c r="C307" s="45" t="s">
        <v>264</v>
      </c>
      <c r="D307" s="62" t="s">
        <v>2621</v>
      </c>
      <c r="E307" s="11" t="s">
        <v>9</v>
      </c>
    </row>
    <row r="308">
      <c r="B308" s="62" t="s">
        <v>2252</v>
      </c>
      <c r="C308" s="45" t="s">
        <v>17</v>
      </c>
      <c r="D308" s="62" t="s">
        <v>1810</v>
      </c>
      <c r="E308" s="11" t="s">
        <v>13</v>
      </c>
    </row>
    <row r="309">
      <c r="B309" s="96" t="s">
        <v>2622</v>
      </c>
      <c r="C309" s="2"/>
      <c r="D309" s="3"/>
      <c r="E309" s="53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56" t="s">
        <v>2623</v>
      </c>
      <c r="C311" s="45" t="s">
        <v>248</v>
      </c>
      <c r="D311" s="62" t="s">
        <v>2193</v>
      </c>
      <c r="E311" s="11" t="s">
        <v>29</v>
      </c>
    </row>
    <row r="312">
      <c r="B312" s="62" t="s">
        <v>103</v>
      </c>
      <c r="C312" s="45" t="s">
        <v>209</v>
      </c>
      <c r="D312" s="62" t="s">
        <v>2624</v>
      </c>
      <c r="E312" s="11" t="s">
        <v>33</v>
      </c>
    </row>
    <row r="313">
      <c r="B313" s="56" t="s">
        <v>2100</v>
      </c>
      <c r="C313" s="103" t="s">
        <v>2625</v>
      </c>
      <c r="D313" s="56" t="s">
        <v>2623</v>
      </c>
      <c r="E313" s="55" t="s">
        <v>29</v>
      </c>
      <c r="J313" s="50" t="s">
        <v>861</v>
      </c>
    </row>
    <row r="314">
      <c r="B314" s="62" t="s">
        <v>103</v>
      </c>
      <c r="C314" s="45" t="s">
        <v>219</v>
      </c>
      <c r="D314" s="62" t="s">
        <v>2193</v>
      </c>
      <c r="E314" s="11" t="s">
        <v>33</v>
      </c>
    </row>
    <row r="315">
      <c r="B315" s="56" t="s">
        <v>2100</v>
      </c>
      <c r="C315" s="103" t="s">
        <v>2625</v>
      </c>
      <c r="D315" s="62" t="s">
        <v>2624</v>
      </c>
      <c r="E315" s="55" t="s">
        <v>29</v>
      </c>
    </row>
    <row r="316">
      <c r="B316" s="62" t="s">
        <v>103</v>
      </c>
      <c r="C316" s="45" t="s">
        <v>195</v>
      </c>
      <c r="D316" s="56" t="s">
        <v>2623</v>
      </c>
      <c r="E316" s="11" t="s">
        <v>33</v>
      </c>
    </row>
    <row r="317">
      <c r="B317" s="56" t="s">
        <v>2100</v>
      </c>
      <c r="C317" s="103" t="s">
        <v>2625</v>
      </c>
      <c r="D317" s="62" t="s">
        <v>2193</v>
      </c>
      <c r="E317" s="55" t="s">
        <v>29</v>
      </c>
    </row>
    <row r="318">
      <c r="B318" s="62" t="s">
        <v>2624</v>
      </c>
      <c r="C318" s="45" t="s">
        <v>43</v>
      </c>
      <c r="D318" s="56" t="s">
        <v>2623</v>
      </c>
      <c r="E318" s="11" t="s">
        <v>33</v>
      </c>
    </row>
    <row r="319">
      <c r="B319" s="56" t="s">
        <v>2100</v>
      </c>
      <c r="C319" s="45" t="s">
        <v>19</v>
      </c>
      <c r="D319" s="62" t="s">
        <v>103</v>
      </c>
      <c r="E319" s="11" t="s">
        <v>29</v>
      </c>
    </row>
    <row r="320">
      <c r="B320" s="62" t="s">
        <v>2624</v>
      </c>
      <c r="C320" s="45" t="s">
        <v>196</v>
      </c>
      <c r="D320" s="62" t="s">
        <v>2193</v>
      </c>
      <c r="E320" s="11" t="s">
        <v>33</v>
      </c>
    </row>
    <row r="321">
      <c r="B321" s="62" t="s">
        <v>2193</v>
      </c>
      <c r="C321" s="45" t="s">
        <v>163</v>
      </c>
      <c r="D321" s="56" t="s">
        <v>2623</v>
      </c>
      <c r="E321" s="11" t="s">
        <v>29</v>
      </c>
    </row>
    <row r="322">
      <c r="B322" s="62" t="s">
        <v>2624</v>
      </c>
      <c r="C322" s="45" t="s">
        <v>176</v>
      </c>
      <c r="D322" s="62" t="s">
        <v>103</v>
      </c>
      <c r="E322" s="11" t="s">
        <v>33</v>
      </c>
    </row>
    <row r="323">
      <c r="B323" s="56" t="s">
        <v>2623</v>
      </c>
      <c r="C323" s="45" t="s">
        <v>783</v>
      </c>
      <c r="D323" s="56" t="s">
        <v>2100</v>
      </c>
      <c r="E323" s="11" t="s">
        <v>29</v>
      </c>
    </row>
    <row r="324">
      <c r="B324" s="62" t="s">
        <v>2193</v>
      </c>
      <c r="C324" s="45" t="s">
        <v>173</v>
      </c>
      <c r="D324" s="62" t="s">
        <v>103</v>
      </c>
      <c r="E324" s="11" t="s">
        <v>33</v>
      </c>
    </row>
    <row r="325">
      <c r="B325" s="62" t="s">
        <v>2624</v>
      </c>
      <c r="C325" s="45" t="s">
        <v>181</v>
      </c>
      <c r="D325" s="56" t="s">
        <v>2100</v>
      </c>
      <c r="E325" s="11" t="s">
        <v>29</v>
      </c>
    </row>
    <row r="326">
      <c r="B326" s="56" t="s">
        <v>2623</v>
      </c>
      <c r="C326" s="45" t="s">
        <v>968</v>
      </c>
      <c r="D326" s="62" t="s">
        <v>103</v>
      </c>
      <c r="E326" s="11" t="s">
        <v>33</v>
      </c>
    </row>
    <row r="327">
      <c r="B327" s="62" t="s">
        <v>2193</v>
      </c>
      <c r="C327" s="45" t="s">
        <v>525</v>
      </c>
      <c r="D327" s="56" t="s">
        <v>2100</v>
      </c>
      <c r="E327" s="11" t="s">
        <v>29</v>
      </c>
    </row>
    <row r="328">
      <c r="B328" s="56" t="s">
        <v>2623</v>
      </c>
      <c r="C328" s="45" t="s">
        <v>248</v>
      </c>
      <c r="D328" s="62" t="s">
        <v>2624</v>
      </c>
      <c r="E328" s="11" t="s">
        <v>33</v>
      </c>
    </row>
    <row r="329">
      <c r="B329" s="62" t="s">
        <v>103</v>
      </c>
      <c r="C329" s="45" t="s">
        <v>344</v>
      </c>
      <c r="D329" s="56" t="s">
        <v>2100</v>
      </c>
      <c r="E329" s="11" t="s">
        <v>29</v>
      </c>
    </row>
    <row r="330">
      <c r="B330" s="62" t="s">
        <v>2193</v>
      </c>
      <c r="C330" s="45" t="s">
        <v>227</v>
      </c>
      <c r="D330" s="62" t="s">
        <v>2624</v>
      </c>
      <c r="E330" s="11" t="s">
        <v>33</v>
      </c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  <c r="I333" s="50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2626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2627</v>
      </c>
      <c r="C3" s="57" t="s">
        <v>573</v>
      </c>
      <c r="D3" s="62" t="s">
        <v>2628</v>
      </c>
      <c r="E3" s="11" t="s">
        <v>9</v>
      </c>
    </row>
    <row r="4">
      <c r="A4" s="90"/>
      <c r="B4" s="61" t="s">
        <v>2629</v>
      </c>
      <c r="C4" s="57" t="s">
        <v>209</v>
      </c>
      <c r="D4" s="61" t="s">
        <v>2630</v>
      </c>
      <c r="E4" s="11" t="s">
        <v>13</v>
      </c>
    </row>
    <row r="5">
      <c r="A5" s="90"/>
      <c r="B5" s="62" t="s">
        <v>2058</v>
      </c>
      <c r="C5" s="57" t="s">
        <v>1675</v>
      </c>
      <c r="D5" s="62" t="s">
        <v>2627</v>
      </c>
      <c r="E5" s="11" t="s">
        <v>9</v>
      </c>
    </row>
    <row r="6">
      <c r="A6" s="90"/>
      <c r="B6" s="61" t="s">
        <v>2629</v>
      </c>
      <c r="C6" s="57" t="s">
        <v>248</v>
      </c>
      <c r="D6" s="62" t="s">
        <v>2628</v>
      </c>
      <c r="E6" s="11" t="s">
        <v>13</v>
      </c>
    </row>
    <row r="7">
      <c r="A7" s="90"/>
      <c r="B7" s="62" t="s">
        <v>2058</v>
      </c>
      <c r="C7" s="57" t="s">
        <v>11</v>
      </c>
      <c r="D7" s="61" t="s">
        <v>2630</v>
      </c>
      <c r="E7" s="11" t="s">
        <v>9</v>
      </c>
    </row>
    <row r="8">
      <c r="A8" s="90"/>
      <c r="B8" s="61" t="s">
        <v>2629</v>
      </c>
      <c r="C8" s="57" t="s">
        <v>43</v>
      </c>
      <c r="D8" s="62" t="s">
        <v>2627</v>
      </c>
      <c r="E8" s="11" t="s">
        <v>13</v>
      </c>
    </row>
    <row r="9">
      <c r="A9" s="90"/>
      <c r="B9" s="62" t="s">
        <v>2058</v>
      </c>
      <c r="C9" s="57" t="s">
        <v>18</v>
      </c>
      <c r="D9" s="62" t="s">
        <v>2628</v>
      </c>
      <c r="E9" s="11" t="s">
        <v>9</v>
      </c>
    </row>
    <row r="10">
      <c r="A10" s="90"/>
      <c r="B10" s="61" t="s">
        <v>2630</v>
      </c>
      <c r="C10" s="57" t="s">
        <v>177</v>
      </c>
      <c r="D10" s="62" t="s">
        <v>2627</v>
      </c>
      <c r="E10" s="11" t="s">
        <v>13</v>
      </c>
    </row>
    <row r="11">
      <c r="A11" s="90"/>
      <c r="B11" s="62" t="s">
        <v>2058</v>
      </c>
      <c r="C11" s="57" t="s">
        <v>20</v>
      </c>
      <c r="D11" s="61" t="s">
        <v>2629</v>
      </c>
      <c r="E11" s="11" t="s">
        <v>9</v>
      </c>
    </row>
    <row r="12">
      <c r="A12" s="90"/>
      <c r="B12" s="61" t="s">
        <v>2630</v>
      </c>
      <c r="C12" s="57" t="s">
        <v>155</v>
      </c>
      <c r="D12" s="62" t="s">
        <v>2628</v>
      </c>
      <c r="E12" s="11" t="s">
        <v>13</v>
      </c>
    </row>
    <row r="13">
      <c r="A13" s="90"/>
      <c r="B13" s="62" t="s">
        <v>2628</v>
      </c>
      <c r="C13" s="57" t="s">
        <v>697</v>
      </c>
      <c r="D13" s="62" t="s">
        <v>2627</v>
      </c>
      <c r="E13" s="11" t="s">
        <v>9</v>
      </c>
    </row>
    <row r="14">
      <c r="A14" s="90"/>
      <c r="B14" s="61" t="s">
        <v>2630</v>
      </c>
      <c r="C14" s="57" t="s">
        <v>791</v>
      </c>
      <c r="D14" s="61" t="s">
        <v>2629</v>
      </c>
      <c r="E14" s="11" t="s">
        <v>13</v>
      </c>
    </row>
    <row r="15">
      <c r="A15" s="90"/>
      <c r="B15" s="62" t="s">
        <v>2627</v>
      </c>
      <c r="C15" s="45" t="s">
        <v>185</v>
      </c>
      <c r="D15" s="62" t="s">
        <v>2058</v>
      </c>
      <c r="E15" s="11" t="s">
        <v>9</v>
      </c>
    </row>
    <row r="16">
      <c r="A16" s="90"/>
      <c r="B16" s="62" t="s">
        <v>2628</v>
      </c>
      <c r="C16" s="45" t="s">
        <v>185</v>
      </c>
      <c r="D16" s="61" t="s">
        <v>2629</v>
      </c>
      <c r="E16" s="11" t="s">
        <v>13</v>
      </c>
    </row>
    <row r="17">
      <c r="A17" s="90"/>
      <c r="B17" s="61" t="s">
        <v>2630</v>
      </c>
      <c r="C17" s="45" t="s">
        <v>547</v>
      </c>
      <c r="D17" s="62" t="s">
        <v>2058</v>
      </c>
      <c r="E17" s="11" t="s">
        <v>9</v>
      </c>
    </row>
    <row r="18">
      <c r="A18" s="90"/>
      <c r="B18" s="62" t="s">
        <v>2627</v>
      </c>
      <c r="C18" s="45" t="s">
        <v>256</v>
      </c>
      <c r="D18" s="61" t="s">
        <v>2629</v>
      </c>
      <c r="E18" s="11" t="s">
        <v>13</v>
      </c>
    </row>
    <row r="19">
      <c r="A19" s="90"/>
      <c r="B19" s="62" t="s">
        <v>2628</v>
      </c>
      <c r="C19" s="45" t="s">
        <v>289</v>
      </c>
      <c r="D19" s="62" t="s">
        <v>2058</v>
      </c>
      <c r="E19" s="11" t="s">
        <v>9</v>
      </c>
    </row>
    <row r="20">
      <c r="A20" s="90"/>
      <c r="B20" s="62" t="s">
        <v>2627</v>
      </c>
      <c r="C20" s="45" t="s">
        <v>998</v>
      </c>
      <c r="D20" s="61" t="s">
        <v>2630</v>
      </c>
      <c r="E20" s="11" t="s">
        <v>13</v>
      </c>
    </row>
    <row r="21">
      <c r="A21" s="90"/>
      <c r="B21" s="61" t="s">
        <v>2629</v>
      </c>
      <c r="C21" s="45" t="s">
        <v>155</v>
      </c>
      <c r="D21" s="62" t="s">
        <v>2058</v>
      </c>
      <c r="E21" s="11" t="s">
        <v>9</v>
      </c>
    </row>
    <row r="22">
      <c r="A22" s="90"/>
      <c r="B22" s="62" t="s">
        <v>2628</v>
      </c>
      <c r="C22" s="45" t="s">
        <v>175</v>
      </c>
      <c r="D22" s="61" t="s">
        <v>2630</v>
      </c>
      <c r="E22" s="11" t="s">
        <v>13</v>
      </c>
    </row>
    <row r="23">
      <c r="A23" s="90"/>
      <c r="B23" s="1" t="s">
        <v>2631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2632</v>
      </c>
      <c r="C25" s="57" t="s">
        <v>302</v>
      </c>
      <c r="D25" s="62" t="s">
        <v>2633</v>
      </c>
      <c r="E25" s="11" t="s">
        <v>9</v>
      </c>
    </row>
    <row r="26">
      <c r="A26" s="90"/>
      <c r="B26" s="61" t="s">
        <v>2634</v>
      </c>
      <c r="C26" s="57" t="s">
        <v>344</v>
      </c>
      <c r="D26" s="61" t="s">
        <v>2096</v>
      </c>
      <c r="E26" s="11" t="s">
        <v>13</v>
      </c>
    </row>
    <row r="27">
      <c r="A27" s="90"/>
      <c r="B27" s="62" t="s">
        <v>2635</v>
      </c>
      <c r="C27" s="57" t="s">
        <v>908</v>
      </c>
      <c r="D27" s="62" t="s">
        <v>2632</v>
      </c>
      <c r="E27" s="11" t="s">
        <v>9</v>
      </c>
    </row>
    <row r="28">
      <c r="A28" s="90"/>
      <c r="B28" s="61" t="s">
        <v>2634</v>
      </c>
      <c r="C28" s="57" t="s">
        <v>16</v>
      </c>
      <c r="D28" s="62" t="s">
        <v>2633</v>
      </c>
      <c r="E28" s="11" t="s">
        <v>13</v>
      </c>
    </row>
    <row r="29">
      <c r="A29" s="90"/>
      <c r="B29" s="62" t="s">
        <v>2635</v>
      </c>
      <c r="C29" s="57" t="s">
        <v>508</v>
      </c>
      <c r="D29" s="61" t="s">
        <v>2096</v>
      </c>
      <c r="E29" s="11" t="s">
        <v>9</v>
      </c>
    </row>
    <row r="30">
      <c r="A30" s="90"/>
      <c r="B30" s="61" t="s">
        <v>2634</v>
      </c>
      <c r="C30" s="57" t="s">
        <v>164</v>
      </c>
      <c r="D30" s="62" t="s">
        <v>2632</v>
      </c>
      <c r="E30" s="11" t="s">
        <v>13</v>
      </c>
    </row>
    <row r="31">
      <c r="A31" s="90"/>
      <c r="B31" s="62" t="s">
        <v>2635</v>
      </c>
      <c r="C31" s="57" t="s">
        <v>610</v>
      </c>
      <c r="D31" s="62" t="s">
        <v>2633</v>
      </c>
      <c r="E31" s="11" t="s">
        <v>9</v>
      </c>
    </row>
    <row r="32">
      <c r="A32" s="90"/>
      <c r="B32" s="61" t="s">
        <v>2096</v>
      </c>
      <c r="C32" s="57" t="s">
        <v>281</v>
      </c>
      <c r="D32" s="62" t="s">
        <v>2632</v>
      </c>
      <c r="E32" s="11" t="s">
        <v>13</v>
      </c>
    </row>
    <row r="33">
      <c r="A33" s="90"/>
      <c r="B33" s="62" t="s">
        <v>2635</v>
      </c>
      <c r="C33" s="57" t="s">
        <v>463</v>
      </c>
      <c r="D33" s="61" t="s">
        <v>2634</v>
      </c>
      <c r="E33" s="11" t="s">
        <v>9</v>
      </c>
    </row>
    <row r="34">
      <c r="A34" s="90"/>
      <c r="B34" s="61" t="s">
        <v>2096</v>
      </c>
      <c r="C34" s="57" t="s">
        <v>248</v>
      </c>
      <c r="D34" s="62" t="s">
        <v>2633</v>
      </c>
      <c r="E34" s="11" t="s">
        <v>13</v>
      </c>
    </row>
    <row r="35">
      <c r="A35" s="90"/>
      <c r="B35" s="62" t="s">
        <v>2633</v>
      </c>
      <c r="C35" s="57" t="s">
        <v>162</v>
      </c>
      <c r="D35" s="62" t="s">
        <v>2632</v>
      </c>
      <c r="E35" s="11" t="s">
        <v>9</v>
      </c>
    </row>
    <row r="36">
      <c r="A36" s="90"/>
      <c r="B36" s="61" t="s">
        <v>2096</v>
      </c>
      <c r="C36" s="57" t="s">
        <v>1948</v>
      </c>
      <c r="D36" s="61" t="s">
        <v>2634</v>
      </c>
      <c r="E36" s="11" t="s">
        <v>13</v>
      </c>
    </row>
    <row r="37">
      <c r="A37" s="90"/>
      <c r="B37" s="62" t="s">
        <v>2632</v>
      </c>
      <c r="C37" s="45" t="s">
        <v>181</v>
      </c>
      <c r="D37" s="62" t="s">
        <v>2635</v>
      </c>
      <c r="E37" s="11" t="s">
        <v>9</v>
      </c>
    </row>
    <row r="38">
      <c r="A38" s="90"/>
      <c r="B38" s="62" t="s">
        <v>2633</v>
      </c>
      <c r="C38" s="45" t="s">
        <v>185</v>
      </c>
      <c r="D38" s="61" t="s">
        <v>2634</v>
      </c>
      <c r="E38" s="11" t="s">
        <v>13</v>
      </c>
    </row>
    <row r="39">
      <c r="A39" s="90"/>
      <c r="B39" s="61" t="s">
        <v>2096</v>
      </c>
      <c r="C39" s="45" t="s">
        <v>207</v>
      </c>
      <c r="D39" s="62" t="s">
        <v>2635</v>
      </c>
      <c r="E39" s="11" t="s">
        <v>9</v>
      </c>
    </row>
    <row r="40">
      <c r="A40" s="90"/>
      <c r="B40" s="62" t="s">
        <v>2632</v>
      </c>
      <c r="C40" s="45" t="s">
        <v>250</v>
      </c>
      <c r="D40" s="61" t="s">
        <v>2634</v>
      </c>
      <c r="E40" s="11" t="s">
        <v>13</v>
      </c>
    </row>
    <row r="41">
      <c r="A41" s="90"/>
      <c r="B41" s="62" t="s">
        <v>2633</v>
      </c>
      <c r="C41" s="45" t="s">
        <v>23</v>
      </c>
      <c r="D41" s="62" t="s">
        <v>2635</v>
      </c>
      <c r="E41" s="11" t="s">
        <v>9</v>
      </c>
    </row>
    <row r="42">
      <c r="A42" s="90"/>
      <c r="B42" s="62" t="s">
        <v>2632</v>
      </c>
      <c r="C42" s="45" t="s">
        <v>163</v>
      </c>
      <c r="D42" s="61" t="s">
        <v>2096</v>
      </c>
      <c r="E42" s="11" t="s">
        <v>13</v>
      </c>
    </row>
    <row r="43">
      <c r="A43" s="90"/>
      <c r="B43" s="61" t="s">
        <v>2634</v>
      </c>
      <c r="C43" s="45" t="s">
        <v>233</v>
      </c>
      <c r="D43" s="62" t="s">
        <v>2635</v>
      </c>
      <c r="E43" s="11" t="s">
        <v>9</v>
      </c>
    </row>
    <row r="44">
      <c r="A44" s="91"/>
      <c r="B44" s="62" t="s">
        <v>2633</v>
      </c>
      <c r="C44" s="45" t="s">
        <v>433</v>
      </c>
      <c r="D44" s="61" t="s">
        <v>2096</v>
      </c>
      <c r="E44" s="11" t="s">
        <v>13</v>
      </c>
    </row>
    <row r="45">
      <c r="B45" s="1" t="s">
        <v>2636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2637</v>
      </c>
      <c r="C47" s="45" t="s">
        <v>17</v>
      </c>
      <c r="D47" s="61" t="s">
        <v>2638</v>
      </c>
      <c r="E47" s="11" t="s">
        <v>9</v>
      </c>
    </row>
    <row r="48">
      <c r="B48" s="61" t="s">
        <v>2639</v>
      </c>
      <c r="C48" s="45" t="s">
        <v>248</v>
      </c>
      <c r="D48" s="61" t="s">
        <v>2640</v>
      </c>
      <c r="E48" s="11" t="s">
        <v>13</v>
      </c>
    </row>
    <row r="49">
      <c r="B49" s="61" t="s">
        <v>2641</v>
      </c>
      <c r="C49" s="45" t="s">
        <v>248</v>
      </c>
      <c r="D49" s="61" t="s">
        <v>2637</v>
      </c>
      <c r="E49" s="11" t="s">
        <v>9</v>
      </c>
    </row>
    <row r="50">
      <c r="B50" s="61" t="s">
        <v>2639</v>
      </c>
      <c r="C50" s="45" t="s">
        <v>23</v>
      </c>
      <c r="D50" s="61" t="s">
        <v>2638</v>
      </c>
      <c r="E50" s="11" t="s">
        <v>13</v>
      </c>
    </row>
    <row r="51">
      <c r="B51" s="61" t="s">
        <v>2641</v>
      </c>
      <c r="C51" s="45" t="s">
        <v>218</v>
      </c>
      <c r="D51" s="61" t="s">
        <v>2640</v>
      </c>
      <c r="E51" s="11" t="s">
        <v>9</v>
      </c>
    </row>
    <row r="52">
      <c r="B52" s="61" t="s">
        <v>2639</v>
      </c>
      <c r="C52" s="45" t="s">
        <v>366</v>
      </c>
      <c r="D52" s="61" t="s">
        <v>2637</v>
      </c>
      <c r="E52" s="11" t="s">
        <v>13</v>
      </c>
    </row>
    <row r="53">
      <c r="B53" s="61" t="s">
        <v>2641</v>
      </c>
      <c r="C53" s="45" t="s">
        <v>280</v>
      </c>
      <c r="D53" s="61" t="s">
        <v>2638</v>
      </c>
      <c r="E53" s="11" t="s">
        <v>9</v>
      </c>
    </row>
    <row r="54">
      <c r="B54" s="61" t="s">
        <v>2640</v>
      </c>
      <c r="C54" s="45" t="s">
        <v>856</v>
      </c>
      <c r="D54" s="61" t="s">
        <v>2637</v>
      </c>
      <c r="E54" s="11" t="s">
        <v>13</v>
      </c>
    </row>
    <row r="55">
      <c r="B55" s="61" t="s">
        <v>2641</v>
      </c>
      <c r="C55" s="45" t="s">
        <v>256</v>
      </c>
      <c r="D55" s="61" t="s">
        <v>2639</v>
      </c>
      <c r="E55" s="11" t="s">
        <v>9</v>
      </c>
    </row>
    <row r="56">
      <c r="B56" s="61" t="s">
        <v>2640</v>
      </c>
      <c r="C56" s="45" t="s">
        <v>43</v>
      </c>
      <c r="D56" s="61" t="s">
        <v>2638</v>
      </c>
      <c r="E56" s="11" t="s">
        <v>13</v>
      </c>
    </row>
    <row r="57">
      <c r="B57" s="61" t="s">
        <v>2638</v>
      </c>
      <c r="C57" s="45" t="s">
        <v>18</v>
      </c>
      <c r="D57" s="61" t="s">
        <v>2637</v>
      </c>
      <c r="E57" s="11" t="s">
        <v>9</v>
      </c>
    </row>
    <row r="58">
      <c r="B58" s="61" t="s">
        <v>2640</v>
      </c>
      <c r="C58" s="45" t="s">
        <v>195</v>
      </c>
      <c r="D58" s="61" t="s">
        <v>2639</v>
      </c>
      <c r="E58" s="11" t="s">
        <v>13</v>
      </c>
    </row>
    <row r="59">
      <c r="B59" s="61" t="s">
        <v>2637</v>
      </c>
      <c r="C59" s="45" t="s">
        <v>338</v>
      </c>
      <c r="D59" s="61" t="s">
        <v>2641</v>
      </c>
      <c r="E59" s="11" t="s">
        <v>9</v>
      </c>
    </row>
    <row r="60">
      <c r="B60" s="61" t="s">
        <v>2638</v>
      </c>
      <c r="C60" s="45" t="s">
        <v>162</v>
      </c>
      <c r="D60" s="61" t="s">
        <v>2639</v>
      </c>
      <c r="E60" s="11" t="s">
        <v>13</v>
      </c>
    </row>
    <row r="61">
      <c r="B61" s="61" t="s">
        <v>2640</v>
      </c>
      <c r="C61" s="45" t="s">
        <v>487</v>
      </c>
      <c r="D61" s="61" t="s">
        <v>2641</v>
      </c>
      <c r="E61" s="11" t="s">
        <v>9</v>
      </c>
    </row>
    <row r="62">
      <c r="B62" s="61" t="s">
        <v>2637</v>
      </c>
      <c r="C62" s="45" t="s">
        <v>14</v>
      </c>
      <c r="D62" s="61" t="s">
        <v>2639</v>
      </c>
      <c r="E62" s="11" t="s">
        <v>13</v>
      </c>
    </row>
    <row r="63">
      <c r="B63" s="61" t="s">
        <v>2638</v>
      </c>
      <c r="C63" s="45" t="s">
        <v>195</v>
      </c>
      <c r="D63" s="61" t="s">
        <v>2641</v>
      </c>
      <c r="E63" s="11" t="s">
        <v>9</v>
      </c>
    </row>
    <row r="64">
      <c r="B64" s="61" t="s">
        <v>2637</v>
      </c>
      <c r="C64" s="45" t="s">
        <v>165</v>
      </c>
      <c r="D64" s="61" t="s">
        <v>2640</v>
      </c>
      <c r="E64" s="11" t="s">
        <v>13</v>
      </c>
    </row>
    <row r="65">
      <c r="B65" s="61" t="s">
        <v>2639</v>
      </c>
      <c r="C65" s="45" t="s">
        <v>164</v>
      </c>
      <c r="D65" s="61" t="s">
        <v>2641</v>
      </c>
      <c r="E65" s="11" t="s">
        <v>9</v>
      </c>
    </row>
    <row r="66">
      <c r="B66" s="61" t="s">
        <v>2638</v>
      </c>
      <c r="C66" s="45" t="s">
        <v>439</v>
      </c>
      <c r="D66" s="61" t="s">
        <v>2640</v>
      </c>
      <c r="E66" s="11" t="s">
        <v>13</v>
      </c>
    </row>
    <row r="67">
      <c r="B67" s="1" t="s">
        <v>2207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2642</v>
      </c>
      <c r="C69" s="45" t="s">
        <v>610</v>
      </c>
      <c r="D69" s="61" t="s">
        <v>2643</v>
      </c>
      <c r="E69" s="11" t="s">
        <v>9</v>
      </c>
    </row>
    <row r="70">
      <c r="B70" s="61" t="s">
        <v>2644</v>
      </c>
      <c r="C70" s="45" t="s">
        <v>194</v>
      </c>
      <c r="D70" s="61" t="s">
        <v>2645</v>
      </c>
      <c r="E70" s="11" t="s">
        <v>13</v>
      </c>
    </row>
    <row r="71">
      <c r="B71" s="61" t="s">
        <v>2235</v>
      </c>
      <c r="C71" s="45" t="s">
        <v>17</v>
      </c>
      <c r="D71" s="61" t="s">
        <v>2642</v>
      </c>
      <c r="E71" s="11" t="s">
        <v>9</v>
      </c>
    </row>
    <row r="72">
      <c r="B72" s="61" t="s">
        <v>2644</v>
      </c>
      <c r="C72" s="45" t="s">
        <v>442</v>
      </c>
      <c r="D72" s="61" t="s">
        <v>2643</v>
      </c>
      <c r="E72" s="11" t="s">
        <v>13</v>
      </c>
    </row>
    <row r="73">
      <c r="B73" s="61" t="s">
        <v>2235</v>
      </c>
      <c r="C73" s="45" t="s">
        <v>292</v>
      </c>
      <c r="D73" s="61" t="s">
        <v>2645</v>
      </c>
      <c r="E73" s="11" t="s">
        <v>9</v>
      </c>
    </row>
    <row r="74">
      <c r="B74" s="61" t="s">
        <v>2644</v>
      </c>
      <c r="C74" s="45" t="s">
        <v>173</v>
      </c>
      <c r="D74" s="61" t="s">
        <v>2642</v>
      </c>
      <c r="E74" s="11" t="s">
        <v>13</v>
      </c>
    </row>
    <row r="75">
      <c r="B75" s="61" t="s">
        <v>2235</v>
      </c>
      <c r="C75" s="45" t="s">
        <v>173</v>
      </c>
      <c r="D75" s="61" t="s">
        <v>2643</v>
      </c>
      <c r="E75" s="11" t="s">
        <v>9</v>
      </c>
    </row>
    <row r="76">
      <c r="B76" s="61" t="s">
        <v>2645</v>
      </c>
      <c r="C76" s="45" t="s">
        <v>14</v>
      </c>
      <c r="D76" s="61" t="s">
        <v>2642</v>
      </c>
      <c r="E76" s="11" t="s">
        <v>13</v>
      </c>
    </row>
    <row r="77">
      <c r="B77" s="61" t="s">
        <v>2235</v>
      </c>
      <c r="C77" s="45" t="s">
        <v>357</v>
      </c>
      <c r="D77" s="61" t="s">
        <v>2644</v>
      </c>
      <c r="E77" s="11" t="s">
        <v>9</v>
      </c>
    </row>
    <row r="78">
      <c r="B78" s="61" t="s">
        <v>2645</v>
      </c>
      <c r="C78" s="45" t="s">
        <v>43</v>
      </c>
      <c r="D78" s="61" t="s">
        <v>2643</v>
      </c>
      <c r="E78" s="11" t="s">
        <v>13</v>
      </c>
    </row>
    <row r="79">
      <c r="B79" s="61" t="s">
        <v>2643</v>
      </c>
      <c r="C79" s="45" t="s">
        <v>209</v>
      </c>
      <c r="D79" s="61" t="s">
        <v>2642</v>
      </c>
      <c r="E79" s="11" t="s">
        <v>9</v>
      </c>
    </row>
    <row r="80">
      <c r="B80" s="61" t="s">
        <v>2645</v>
      </c>
      <c r="C80" s="45" t="s">
        <v>196</v>
      </c>
      <c r="D80" s="61" t="s">
        <v>2644</v>
      </c>
      <c r="E80" s="11" t="s">
        <v>13</v>
      </c>
    </row>
    <row r="81">
      <c r="B81" s="61" t="s">
        <v>2642</v>
      </c>
      <c r="C81" s="45" t="s">
        <v>195</v>
      </c>
      <c r="D81" s="61" t="s">
        <v>2235</v>
      </c>
      <c r="E81" s="11" t="s">
        <v>9</v>
      </c>
    </row>
    <row r="82">
      <c r="B82" s="61" t="s">
        <v>2643</v>
      </c>
      <c r="C82" s="45" t="s">
        <v>181</v>
      </c>
      <c r="D82" s="61" t="s">
        <v>2644</v>
      </c>
      <c r="E82" s="11" t="s">
        <v>13</v>
      </c>
    </row>
    <row r="83">
      <c r="B83" s="61" t="s">
        <v>2645</v>
      </c>
      <c r="C83" s="45" t="s">
        <v>196</v>
      </c>
      <c r="D83" s="61" t="s">
        <v>2235</v>
      </c>
      <c r="E83" s="11" t="s">
        <v>9</v>
      </c>
    </row>
    <row r="84">
      <c r="B84" s="61" t="s">
        <v>2642</v>
      </c>
      <c r="C84" s="45" t="s">
        <v>17</v>
      </c>
      <c r="D84" s="61" t="s">
        <v>2644</v>
      </c>
      <c r="E84" s="11" t="s">
        <v>13</v>
      </c>
    </row>
    <row r="85">
      <c r="B85" s="61" t="s">
        <v>2643</v>
      </c>
      <c r="C85" s="45" t="s">
        <v>211</v>
      </c>
      <c r="D85" s="61" t="s">
        <v>2235</v>
      </c>
      <c r="E85" s="11" t="s">
        <v>9</v>
      </c>
    </row>
    <row r="86">
      <c r="B86" s="61" t="s">
        <v>2642</v>
      </c>
      <c r="C86" s="45" t="s">
        <v>7</v>
      </c>
      <c r="D86" s="61" t="s">
        <v>2645</v>
      </c>
      <c r="E86" s="11" t="s">
        <v>13</v>
      </c>
    </row>
    <row r="87">
      <c r="B87" s="61" t="s">
        <v>2644</v>
      </c>
      <c r="C87" s="45" t="s">
        <v>21</v>
      </c>
      <c r="D87" s="61" t="s">
        <v>2235</v>
      </c>
      <c r="E87" s="11" t="s">
        <v>9</v>
      </c>
    </row>
    <row r="88">
      <c r="B88" s="61" t="s">
        <v>2643</v>
      </c>
      <c r="C88" s="45" t="s">
        <v>17</v>
      </c>
      <c r="D88" s="61" t="s">
        <v>2645</v>
      </c>
      <c r="E88" s="11" t="s">
        <v>13</v>
      </c>
    </row>
    <row r="89">
      <c r="B89" s="1" t="s">
        <v>2646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2447</v>
      </c>
      <c r="C91" s="45" t="s">
        <v>196</v>
      </c>
      <c r="D91" s="61" t="s">
        <v>1695</v>
      </c>
      <c r="E91" s="11" t="s">
        <v>29</v>
      </c>
    </row>
    <row r="92">
      <c r="B92" s="61" t="s">
        <v>2647</v>
      </c>
      <c r="C92" s="57" t="s">
        <v>662</v>
      </c>
      <c r="D92" s="61" t="s">
        <v>2648</v>
      </c>
      <c r="E92" s="11" t="s">
        <v>33</v>
      </c>
    </row>
    <row r="93">
      <c r="B93" s="61" t="s">
        <v>2431</v>
      </c>
      <c r="C93" s="57" t="s">
        <v>216</v>
      </c>
      <c r="D93" s="61" t="s">
        <v>2447</v>
      </c>
      <c r="E93" s="11" t="s">
        <v>29</v>
      </c>
    </row>
    <row r="94">
      <c r="B94" s="61" t="s">
        <v>2647</v>
      </c>
      <c r="C94" s="57" t="s">
        <v>16</v>
      </c>
      <c r="D94" s="61" t="s">
        <v>1695</v>
      </c>
      <c r="E94" s="11" t="s">
        <v>33</v>
      </c>
    </row>
    <row r="95">
      <c r="B95" s="61" t="s">
        <v>2431</v>
      </c>
      <c r="C95" s="57" t="s">
        <v>42</v>
      </c>
      <c r="D95" s="61" t="s">
        <v>2648</v>
      </c>
      <c r="E95" s="11" t="s">
        <v>29</v>
      </c>
    </row>
    <row r="96">
      <c r="B96" s="61" t="s">
        <v>2647</v>
      </c>
      <c r="C96" s="57" t="s">
        <v>508</v>
      </c>
      <c r="D96" s="61" t="s">
        <v>2447</v>
      </c>
      <c r="E96" s="11" t="s">
        <v>33</v>
      </c>
    </row>
    <row r="97">
      <c r="B97" s="61" t="s">
        <v>2431</v>
      </c>
      <c r="C97" s="57" t="s">
        <v>155</v>
      </c>
      <c r="D97" s="61" t="s">
        <v>1695</v>
      </c>
      <c r="E97" s="11" t="s">
        <v>29</v>
      </c>
    </row>
    <row r="98">
      <c r="B98" s="61" t="s">
        <v>2648</v>
      </c>
      <c r="C98" s="57" t="s">
        <v>574</v>
      </c>
      <c r="D98" s="61" t="s">
        <v>2447</v>
      </c>
      <c r="E98" s="11" t="s">
        <v>33</v>
      </c>
    </row>
    <row r="99">
      <c r="B99" s="61" t="s">
        <v>2431</v>
      </c>
      <c r="C99" s="57" t="s">
        <v>219</v>
      </c>
      <c r="D99" s="61" t="s">
        <v>2647</v>
      </c>
      <c r="E99" s="11" t="s">
        <v>29</v>
      </c>
    </row>
    <row r="100">
      <c r="B100" s="61" t="s">
        <v>2648</v>
      </c>
      <c r="C100" s="57" t="s">
        <v>230</v>
      </c>
      <c r="D100" s="61" t="s">
        <v>1695</v>
      </c>
      <c r="E100" s="11" t="s">
        <v>33</v>
      </c>
    </row>
    <row r="101">
      <c r="B101" s="61" t="s">
        <v>1695</v>
      </c>
      <c r="C101" s="57" t="s">
        <v>2649</v>
      </c>
      <c r="D101" s="61" t="s">
        <v>2447</v>
      </c>
      <c r="E101" s="11" t="s">
        <v>29</v>
      </c>
    </row>
    <row r="102">
      <c r="B102" s="61" t="s">
        <v>2648</v>
      </c>
      <c r="C102" s="57" t="s">
        <v>448</v>
      </c>
      <c r="D102" s="61" t="s">
        <v>2647</v>
      </c>
      <c r="E102" s="11" t="s">
        <v>33</v>
      </c>
    </row>
    <row r="103">
      <c r="B103" s="61" t="s">
        <v>2447</v>
      </c>
      <c r="C103" s="45" t="s">
        <v>279</v>
      </c>
      <c r="D103" s="61" t="s">
        <v>2431</v>
      </c>
      <c r="E103" s="11" t="s">
        <v>29</v>
      </c>
    </row>
    <row r="104">
      <c r="B104" s="61" t="s">
        <v>1695</v>
      </c>
      <c r="C104" s="45" t="s">
        <v>16</v>
      </c>
      <c r="D104" s="61" t="s">
        <v>2647</v>
      </c>
      <c r="E104" s="11" t="s">
        <v>33</v>
      </c>
    </row>
    <row r="105">
      <c r="B105" s="61" t="s">
        <v>2648</v>
      </c>
      <c r="C105" s="45" t="s">
        <v>18</v>
      </c>
      <c r="D105" s="61" t="s">
        <v>2431</v>
      </c>
      <c r="E105" s="11" t="s">
        <v>29</v>
      </c>
    </row>
    <row r="106">
      <c r="B106" s="61" t="s">
        <v>2447</v>
      </c>
      <c r="C106" s="45" t="s">
        <v>16</v>
      </c>
      <c r="D106" s="61" t="s">
        <v>2647</v>
      </c>
      <c r="E106" s="11" t="s">
        <v>33</v>
      </c>
    </row>
    <row r="107">
      <c r="B107" s="61" t="s">
        <v>1695</v>
      </c>
      <c r="C107" s="45" t="s">
        <v>165</v>
      </c>
      <c r="D107" s="61" t="s">
        <v>2431</v>
      </c>
      <c r="E107" s="11" t="s">
        <v>29</v>
      </c>
    </row>
    <row r="108">
      <c r="B108" s="61" t="s">
        <v>2447</v>
      </c>
      <c r="C108" s="45" t="s">
        <v>155</v>
      </c>
      <c r="D108" s="61" t="s">
        <v>2648</v>
      </c>
      <c r="E108" s="11" t="s">
        <v>33</v>
      </c>
    </row>
    <row r="109">
      <c r="B109" s="61" t="s">
        <v>2647</v>
      </c>
      <c r="C109" s="45" t="s">
        <v>426</v>
      </c>
      <c r="D109" s="61" t="s">
        <v>2431</v>
      </c>
      <c r="E109" s="11" t="s">
        <v>29</v>
      </c>
    </row>
    <row r="110">
      <c r="B110" s="61" t="s">
        <v>1695</v>
      </c>
      <c r="C110" s="45" t="s">
        <v>209</v>
      </c>
      <c r="D110" s="61" t="s">
        <v>2648</v>
      </c>
      <c r="E110" s="11" t="s">
        <v>33</v>
      </c>
    </row>
    <row r="111">
      <c r="B111" s="1" t="s">
        <v>2650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2651</v>
      </c>
      <c r="C113" s="45" t="s">
        <v>19</v>
      </c>
      <c r="D113" s="61" t="s">
        <v>1867</v>
      </c>
      <c r="E113" s="11" t="s">
        <v>29</v>
      </c>
      <c r="H113" s="50" t="s">
        <v>861</v>
      </c>
    </row>
    <row r="114">
      <c r="B114" s="61" t="s">
        <v>2271</v>
      </c>
      <c r="C114" s="45" t="s">
        <v>42</v>
      </c>
      <c r="D114" s="61" t="s">
        <v>2652</v>
      </c>
      <c r="E114" s="11" t="s">
        <v>33</v>
      </c>
    </row>
    <row r="115">
      <c r="B115" s="61" t="s">
        <v>920</v>
      </c>
      <c r="C115" s="45" t="s">
        <v>376</v>
      </c>
      <c r="D115" s="61" t="s">
        <v>2651</v>
      </c>
      <c r="E115" s="11" t="s">
        <v>29</v>
      </c>
    </row>
    <row r="116">
      <c r="B116" s="61" t="s">
        <v>2271</v>
      </c>
      <c r="C116" s="45" t="s">
        <v>18</v>
      </c>
      <c r="D116" s="61" t="s">
        <v>1867</v>
      </c>
      <c r="E116" s="11" t="s">
        <v>33</v>
      </c>
    </row>
    <row r="117">
      <c r="B117" s="61" t="s">
        <v>920</v>
      </c>
      <c r="C117" s="45" t="s">
        <v>225</v>
      </c>
      <c r="D117" s="61" t="s">
        <v>2652</v>
      </c>
      <c r="E117" s="11" t="s">
        <v>29</v>
      </c>
    </row>
    <row r="118">
      <c r="B118" s="61" t="s">
        <v>2271</v>
      </c>
      <c r="C118" s="45" t="s">
        <v>18</v>
      </c>
      <c r="D118" s="61" t="s">
        <v>2651</v>
      </c>
      <c r="E118" s="11" t="s">
        <v>33</v>
      </c>
    </row>
    <row r="119">
      <c r="B119" s="61" t="s">
        <v>920</v>
      </c>
      <c r="C119" s="45" t="s">
        <v>338</v>
      </c>
      <c r="D119" s="61" t="s">
        <v>1867</v>
      </c>
      <c r="E119" s="11" t="s">
        <v>29</v>
      </c>
    </row>
    <row r="120">
      <c r="B120" s="61" t="s">
        <v>2652</v>
      </c>
      <c r="C120" s="45" t="s">
        <v>195</v>
      </c>
      <c r="D120" s="61" t="s">
        <v>2651</v>
      </c>
      <c r="E120" s="11" t="s">
        <v>33</v>
      </c>
    </row>
    <row r="121">
      <c r="B121" s="61" t="s">
        <v>920</v>
      </c>
      <c r="C121" s="45" t="s">
        <v>724</v>
      </c>
      <c r="D121" s="61" t="s">
        <v>2271</v>
      </c>
      <c r="E121" s="11" t="s">
        <v>29</v>
      </c>
    </row>
    <row r="122">
      <c r="B122" s="61" t="s">
        <v>2652</v>
      </c>
      <c r="C122" s="45" t="s">
        <v>181</v>
      </c>
      <c r="D122" s="61" t="s">
        <v>1867</v>
      </c>
      <c r="E122" s="11" t="s">
        <v>33</v>
      </c>
    </row>
    <row r="123">
      <c r="B123" s="61" t="s">
        <v>1867</v>
      </c>
      <c r="C123" s="45" t="s">
        <v>517</v>
      </c>
      <c r="D123" s="61" t="s">
        <v>2651</v>
      </c>
      <c r="E123" s="11" t="s">
        <v>29</v>
      </c>
    </row>
    <row r="124">
      <c r="B124" s="61" t="s">
        <v>2652</v>
      </c>
      <c r="C124" s="45" t="s">
        <v>195</v>
      </c>
      <c r="D124" s="61" t="s">
        <v>2271</v>
      </c>
      <c r="E124" s="11" t="s">
        <v>33</v>
      </c>
    </row>
    <row r="125">
      <c r="B125" s="61" t="s">
        <v>2651</v>
      </c>
      <c r="C125" s="45" t="s">
        <v>366</v>
      </c>
      <c r="D125" s="61" t="s">
        <v>920</v>
      </c>
      <c r="E125" s="11" t="s">
        <v>29</v>
      </c>
    </row>
    <row r="126">
      <c r="B126" s="61" t="s">
        <v>1867</v>
      </c>
      <c r="C126" s="45" t="s">
        <v>210</v>
      </c>
      <c r="D126" s="61" t="s">
        <v>2271</v>
      </c>
      <c r="E126" s="11" t="s">
        <v>33</v>
      </c>
    </row>
    <row r="127">
      <c r="B127" s="61" t="s">
        <v>2652</v>
      </c>
      <c r="C127" s="45" t="s">
        <v>176</v>
      </c>
      <c r="D127" s="61" t="s">
        <v>920</v>
      </c>
      <c r="E127" s="11" t="s">
        <v>29</v>
      </c>
    </row>
    <row r="128">
      <c r="B128" s="61" t="s">
        <v>2651</v>
      </c>
      <c r="C128" s="45" t="s">
        <v>250</v>
      </c>
      <c r="D128" s="61" t="s">
        <v>2271</v>
      </c>
      <c r="E128" s="11" t="s">
        <v>33</v>
      </c>
    </row>
    <row r="129">
      <c r="B129" s="61" t="s">
        <v>1867</v>
      </c>
      <c r="C129" s="45" t="s">
        <v>44</v>
      </c>
      <c r="D129" s="61" t="s">
        <v>920</v>
      </c>
      <c r="E129" s="11" t="s">
        <v>29</v>
      </c>
    </row>
    <row r="130">
      <c r="B130" s="61" t="s">
        <v>2651</v>
      </c>
      <c r="C130" s="45" t="s">
        <v>227</v>
      </c>
      <c r="D130" s="61" t="s">
        <v>2652</v>
      </c>
      <c r="E130" s="11" t="s">
        <v>33</v>
      </c>
    </row>
    <row r="131">
      <c r="B131" s="61" t="s">
        <v>2271</v>
      </c>
      <c r="C131" s="45" t="s">
        <v>36</v>
      </c>
      <c r="D131" s="61" t="s">
        <v>920</v>
      </c>
      <c r="E131" s="11" t="s">
        <v>29</v>
      </c>
    </row>
    <row r="132">
      <c r="B132" s="61" t="s">
        <v>1867</v>
      </c>
      <c r="C132" s="45" t="s">
        <v>227</v>
      </c>
      <c r="D132" s="61" t="s">
        <v>2652</v>
      </c>
      <c r="E132" s="11" t="s">
        <v>33</v>
      </c>
    </row>
    <row r="133">
      <c r="B133" s="1" t="s">
        <v>2653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2654</v>
      </c>
      <c r="C135" s="45" t="s">
        <v>344</v>
      </c>
      <c r="D135" s="61" t="s">
        <v>1278</v>
      </c>
      <c r="E135" s="11" t="s">
        <v>9</v>
      </c>
    </row>
    <row r="136">
      <c r="B136" s="61" t="s">
        <v>2655</v>
      </c>
      <c r="C136" s="45" t="s">
        <v>20</v>
      </c>
      <c r="D136" s="61" t="s">
        <v>2656</v>
      </c>
      <c r="E136" s="11" t="s">
        <v>13</v>
      </c>
    </row>
    <row r="137">
      <c r="B137" s="61" t="s">
        <v>2657</v>
      </c>
      <c r="C137" s="45" t="s">
        <v>291</v>
      </c>
      <c r="D137" s="61" t="s">
        <v>2654</v>
      </c>
      <c r="E137" s="11" t="s">
        <v>9</v>
      </c>
    </row>
    <row r="138">
      <c r="B138" s="61" t="s">
        <v>2655</v>
      </c>
      <c r="C138" s="45" t="s">
        <v>16</v>
      </c>
      <c r="D138" s="61" t="s">
        <v>1278</v>
      </c>
      <c r="E138" s="11" t="s">
        <v>13</v>
      </c>
    </row>
    <row r="139">
      <c r="B139" s="61" t="s">
        <v>2657</v>
      </c>
      <c r="C139" s="45" t="s">
        <v>301</v>
      </c>
      <c r="D139" s="61" t="s">
        <v>2656</v>
      </c>
      <c r="E139" s="11" t="s">
        <v>9</v>
      </c>
    </row>
    <row r="140">
      <c r="B140" s="61" t="s">
        <v>2655</v>
      </c>
      <c r="C140" s="45" t="s">
        <v>344</v>
      </c>
      <c r="D140" s="61" t="s">
        <v>2654</v>
      </c>
      <c r="E140" s="11" t="s">
        <v>13</v>
      </c>
    </row>
    <row r="141">
      <c r="B141" s="61" t="s">
        <v>2657</v>
      </c>
      <c r="C141" s="45" t="s">
        <v>554</v>
      </c>
      <c r="D141" s="61" t="s">
        <v>1278</v>
      </c>
      <c r="E141" s="11" t="s">
        <v>9</v>
      </c>
    </row>
    <row r="142">
      <c r="B142" s="61" t="s">
        <v>2656</v>
      </c>
      <c r="C142" s="45" t="s">
        <v>173</v>
      </c>
      <c r="D142" s="61" t="s">
        <v>2654</v>
      </c>
      <c r="E142" s="11" t="s">
        <v>13</v>
      </c>
    </row>
    <row r="143">
      <c r="B143" s="61" t="s">
        <v>2657</v>
      </c>
      <c r="C143" s="45" t="s">
        <v>376</v>
      </c>
      <c r="D143" s="61" t="s">
        <v>2655</v>
      </c>
      <c r="E143" s="11" t="s">
        <v>9</v>
      </c>
    </row>
    <row r="144">
      <c r="B144" s="61" t="s">
        <v>2656</v>
      </c>
      <c r="C144" s="45" t="s">
        <v>239</v>
      </c>
      <c r="D144" s="61" t="s">
        <v>1278</v>
      </c>
      <c r="E144" s="11" t="s">
        <v>13</v>
      </c>
    </row>
    <row r="145">
      <c r="B145" s="61" t="s">
        <v>1278</v>
      </c>
      <c r="C145" s="45" t="s">
        <v>203</v>
      </c>
      <c r="D145" s="61" t="s">
        <v>2654</v>
      </c>
      <c r="E145" s="11" t="s">
        <v>9</v>
      </c>
    </row>
    <row r="146">
      <c r="B146" s="61" t="s">
        <v>2656</v>
      </c>
      <c r="C146" s="45" t="s">
        <v>2658</v>
      </c>
      <c r="D146" s="61" t="s">
        <v>2655</v>
      </c>
      <c r="E146" s="11" t="s">
        <v>13</v>
      </c>
    </row>
    <row r="147">
      <c r="B147" s="61" t="s">
        <v>2654</v>
      </c>
      <c r="C147" s="45" t="s">
        <v>23</v>
      </c>
      <c r="D147" s="61" t="s">
        <v>2657</v>
      </c>
      <c r="E147" s="11" t="s">
        <v>9</v>
      </c>
    </row>
    <row r="148">
      <c r="B148" s="61" t="s">
        <v>1278</v>
      </c>
      <c r="C148" s="45" t="s">
        <v>693</v>
      </c>
      <c r="D148" s="61" t="s">
        <v>2655</v>
      </c>
      <c r="E148" s="11" t="s">
        <v>13</v>
      </c>
    </row>
    <row r="149">
      <c r="B149" s="61" t="s">
        <v>2656</v>
      </c>
      <c r="C149" s="45" t="s">
        <v>257</v>
      </c>
      <c r="D149" s="61" t="s">
        <v>2657</v>
      </c>
      <c r="E149" s="11" t="s">
        <v>9</v>
      </c>
    </row>
    <row r="150">
      <c r="B150" s="61" t="s">
        <v>2654</v>
      </c>
      <c r="C150" s="45" t="s">
        <v>298</v>
      </c>
      <c r="D150" s="61" t="s">
        <v>2655</v>
      </c>
      <c r="E150" s="11" t="s">
        <v>13</v>
      </c>
    </row>
    <row r="151">
      <c r="B151" s="61" t="s">
        <v>1278</v>
      </c>
      <c r="C151" s="45" t="s">
        <v>394</v>
      </c>
      <c r="D151" s="61" t="s">
        <v>2657</v>
      </c>
      <c r="E151" s="11" t="s">
        <v>9</v>
      </c>
    </row>
    <row r="152">
      <c r="B152" s="61" t="s">
        <v>2654</v>
      </c>
      <c r="C152" s="45" t="s">
        <v>168</v>
      </c>
      <c r="D152" s="61" t="s">
        <v>2656</v>
      </c>
      <c r="E152" s="11" t="s">
        <v>13</v>
      </c>
    </row>
    <row r="153">
      <c r="B153" s="61" t="s">
        <v>2655</v>
      </c>
      <c r="C153" s="45" t="s">
        <v>718</v>
      </c>
      <c r="D153" s="61" t="s">
        <v>2657</v>
      </c>
      <c r="E153" s="11" t="s">
        <v>9</v>
      </c>
    </row>
    <row r="154">
      <c r="B154" s="61" t="s">
        <v>1278</v>
      </c>
      <c r="C154" s="45" t="s">
        <v>289</v>
      </c>
      <c r="D154" s="61" t="s">
        <v>2656</v>
      </c>
      <c r="E154" s="11" t="s">
        <v>13</v>
      </c>
    </row>
    <row r="155">
      <c r="B155" s="1" t="s">
        <v>2659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2660</v>
      </c>
      <c r="C157" s="45" t="s">
        <v>248</v>
      </c>
      <c r="D157" s="61" t="s">
        <v>2661</v>
      </c>
      <c r="E157" s="11" t="s">
        <v>9</v>
      </c>
    </row>
    <row r="158">
      <c r="B158" s="61" t="s">
        <v>1605</v>
      </c>
      <c r="C158" s="45" t="s">
        <v>162</v>
      </c>
      <c r="D158" s="61" t="s">
        <v>2662</v>
      </c>
      <c r="E158" s="11" t="s">
        <v>13</v>
      </c>
    </row>
    <row r="159">
      <c r="B159" s="61" t="s">
        <v>2663</v>
      </c>
      <c r="C159" s="45" t="s">
        <v>573</v>
      </c>
      <c r="D159" s="61" t="s">
        <v>2660</v>
      </c>
      <c r="E159" s="11" t="s">
        <v>9</v>
      </c>
    </row>
    <row r="160">
      <c r="B160" s="61" t="s">
        <v>1605</v>
      </c>
      <c r="C160" s="45" t="s">
        <v>211</v>
      </c>
      <c r="D160" s="61" t="s">
        <v>2661</v>
      </c>
      <c r="E160" s="11" t="s">
        <v>13</v>
      </c>
    </row>
    <row r="161">
      <c r="B161" s="61" t="s">
        <v>2663</v>
      </c>
      <c r="C161" s="45" t="s">
        <v>338</v>
      </c>
      <c r="D161" s="61" t="s">
        <v>2662</v>
      </c>
      <c r="E161" s="11" t="s">
        <v>9</v>
      </c>
    </row>
    <row r="162">
      <c r="B162" s="61" t="s">
        <v>1605</v>
      </c>
      <c r="C162" s="45" t="s">
        <v>162</v>
      </c>
      <c r="D162" s="61" t="s">
        <v>2660</v>
      </c>
      <c r="E162" s="11" t="s">
        <v>13</v>
      </c>
    </row>
    <row r="163">
      <c r="B163" s="61" t="s">
        <v>2663</v>
      </c>
      <c r="C163" s="45" t="s">
        <v>17</v>
      </c>
      <c r="D163" s="61" t="s">
        <v>2661</v>
      </c>
      <c r="E163" s="11" t="s">
        <v>9</v>
      </c>
    </row>
    <row r="164">
      <c r="B164" s="61" t="s">
        <v>2662</v>
      </c>
      <c r="C164" s="45" t="s">
        <v>245</v>
      </c>
      <c r="D164" s="61" t="s">
        <v>2660</v>
      </c>
      <c r="E164" s="11" t="s">
        <v>13</v>
      </c>
    </row>
    <row r="165">
      <c r="B165" s="61" t="s">
        <v>2663</v>
      </c>
      <c r="C165" s="45" t="s">
        <v>181</v>
      </c>
      <c r="D165" s="61" t="s">
        <v>1605</v>
      </c>
      <c r="E165" s="11" t="s">
        <v>9</v>
      </c>
    </row>
    <row r="166">
      <c r="B166" s="61" t="s">
        <v>2662</v>
      </c>
      <c r="C166" s="45" t="s">
        <v>248</v>
      </c>
      <c r="D166" s="61" t="s">
        <v>2661</v>
      </c>
      <c r="E166" s="11" t="s">
        <v>13</v>
      </c>
    </row>
    <row r="167">
      <c r="B167" s="61" t="s">
        <v>2661</v>
      </c>
      <c r="C167" s="45" t="s">
        <v>43</v>
      </c>
      <c r="D167" s="61" t="s">
        <v>2660</v>
      </c>
      <c r="E167" s="11" t="s">
        <v>9</v>
      </c>
    </row>
    <row r="168">
      <c r="B168" s="61" t="s">
        <v>2662</v>
      </c>
      <c r="C168" s="45" t="s">
        <v>251</v>
      </c>
      <c r="D168" s="61" t="s">
        <v>1605</v>
      </c>
      <c r="E168" s="11" t="s">
        <v>13</v>
      </c>
    </row>
    <row r="169">
      <c r="B169" s="61" t="s">
        <v>2660</v>
      </c>
      <c r="C169" s="45" t="s">
        <v>344</v>
      </c>
      <c r="D169" s="61" t="s">
        <v>2663</v>
      </c>
      <c r="E169" s="11" t="s">
        <v>9</v>
      </c>
    </row>
    <row r="170">
      <c r="B170" s="61" t="s">
        <v>2661</v>
      </c>
      <c r="C170" s="45" t="s">
        <v>394</v>
      </c>
      <c r="D170" s="61" t="s">
        <v>1605</v>
      </c>
      <c r="E170" s="11" t="s">
        <v>13</v>
      </c>
    </row>
    <row r="171">
      <c r="B171" s="61" t="s">
        <v>2662</v>
      </c>
      <c r="C171" s="45" t="s">
        <v>158</v>
      </c>
      <c r="D171" s="61" t="s">
        <v>2663</v>
      </c>
      <c r="E171" s="11" t="s">
        <v>9</v>
      </c>
    </row>
    <row r="172">
      <c r="B172" s="61" t="s">
        <v>2660</v>
      </c>
      <c r="C172" s="45" t="s">
        <v>2664</v>
      </c>
      <c r="D172" s="61" t="s">
        <v>1605</v>
      </c>
      <c r="E172" s="11" t="s">
        <v>13</v>
      </c>
    </row>
    <row r="173">
      <c r="B173" s="61" t="s">
        <v>2661</v>
      </c>
      <c r="C173" s="45" t="s">
        <v>162</v>
      </c>
      <c r="D173" s="61" t="s">
        <v>2663</v>
      </c>
      <c r="E173" s="11" t="s">
        <v>9</v>
      </c>
    </row>
    <row r="174">
      <c r="B174" s="61" t="s">
        <v>2660</v>
      </c>
      <c r="C174" s="45" t="s">
        <v>196</v>
      </c>
      <c r="D174" s="61" t="s">
        <v>2662</v>
      </c>
      <c r="E174" s="11" t="s">
        <v>13</v>
      </c>
    </row>
    <row r="175">
      <c r="B175" s="61" t="s">
        <v>1605</v>
      </c>
      <c r="C175" s="45" t="s">
        <v>2665</v>
      </c>
      <c r="D175" s="61" t="s">
        <v>2663</v>
      </c>
      <c r="E175" s="11" t="s">
        <v>9</v>
      </c>
    </row>
    <row r="176">
      <c r="B176" s="61" t="s">
        <v>2661</v>
      </c>
      <c r="C176" s="45" t="s">
        <v>574</v>
      </c>
      <c r="D176" s="61" t="s">
        <v>2662</v>
      </c>
      <c r="E176" s="11" t="s">
        <v>13</v>
      </c>
    </row>
    <row r="177">
      <c r="B177" s="1" t="s">
        <v>2666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  <c r="H178" s="50"/>
    </row>
    <row r="179">
      <c r="B179" s="61" t="s">
        <v>2472</v>
      </c>
      <c r="C179" s="57" t="s">
        <v>164</v>
      </c>
      <c r="D179" s="61" t="s">
        <v>2667</v>
      </c>
      <c r="E179" s="11" t="s">
        <v>29</v>
      </c>
    </row>
    <row r="180">
      <c r="B180" s="61" t="s">
        <v>2668</v>
      </c>
      <c r="C180" s="57" t="s">
        <v>23</v>
      </c>
      <c r="D180" s="61" t="s">
        <v>2669</v>
      </c>
      <c r="E180" s="11" t="s">
        <v>33</v>
      </c>
    </row>
    <row r="181">
      <c r="B181" s="61" t="s">
        <v>2076</v>
      </c>
      <c r="C181" s="57" t="s">
        <v>1016</v>
      </c>
      <c r="D181" s="61" t="s">
        <v>2472</v>
      </c>
      <c r="E181" s="15" t="s">
        <v>29</v>
      </c>
    </row>
    <row r="182">
      <c r="B182" s="61" t="s">
        <v>2668</v>
      </c>
      <c r="C182" s="57" t="s">
        <v>41</v>
      </c>
      <c r="D182" s="61" t="s">
        <v>2667</v>
      </c>
      <c r="E182" s="11" t="s">
        <v>33</v>
      </c>
    </row>
    <row r="183">
      <c r="B183" s="61" t="s">
        <v>2076</v>
      </c>
      <c r="C183" s="57" t="s">
        <v>209</v>
      </c>
      <c r="D183" s="61" t="s">
        <v>2669</v>
      </c>
      <c r="E183" s="15" t="s">
        <v>29</v>
      </c>
    </row>
    <row r="184">
      <c r="B184" s="61" t="s">
        <v>2668</v>
      </c>
      <c r="C184" s="57" t="s">
        <v>18</v>
      </c>
      <c r="D184" s="61" t="s">
        <v>2472</v>
      </c>
      <c r="E184" s="11" t="s">
        <v>33</v>
      </c>
    </row>
    <row r="185">
      <c r="B185" s="61" t="s">
        <v>2076</v>
      </c>
      <c r="C185" s="57" t="s">
        <v>1550</v>
      </c>
      <c r="D185" s="61" t="s">
        <v>2667</v>
      </c>
      <c r="E185" s="15" t="s">
        <v>29</v>
      </c>
    </row>
    <row r="186">
      <c r="B186" s="61" t="s">
        <v>2669</v>
      </c>
      <c r="C186" s="57" t="s">
        <v>177</v>
      </c>
      <c r="D186" s="61" t="s">
        <v>2472</v>
      </c>
      <c r="E186" s="11" t="s">
        <v>33</v>
      </c>
    </row>
    <row r="187">
      <c r="B187" s="61" t="s">
        <v>2076</v>
      </c>
      <c r="C187" s="57" t="s">
        <v>441</v>
      </c>
      <c r="D187" s="61" t="s">
        <v>2668</v>
      </c>
      <c r="E187" s="15" t="s">
        <v>29</v>
      </c>
    </row>
    <row r="188">
      <c r="B188" s="61" t="s">
        <v>2669</v>
      </c>
      <c r="C188" s="57" t="s">
        <v>208</v>
      </c>
      <c r="D188" s="61" t="s">
        <v>2667</v>
      </c>
      <c r="E188" s="11" t="s">
        <v>33</v>
      </c>
    </row>
    <row r="189">
      <c r="B189" s="61" t="s">
        <v>2667</v>
      </c>
      <c r="C189" s="57" t="s">
        <v>181</v>
      </c>
      <c r="D189" s="61" t="s">
        <v>2472</v>
      </c>
      <c r="E189" s="15" t="s">
        <v>29</v>
      </c>
    </row>
    <row r="190">
      <c r="B190" s="61" t="s">
        <v>2669</v>
      </c>
      <c r="C190" s="57" t="s">
        <v>160</v>
      </c>
      <c r="D190" s="61" t="s">
        <v>2668</v>
      </c>
      <c r="E190" s="11" t="s">
        <v>33</v>
      </c>
    </row>
    <row r="191">
      <c r="B191" s="61" t="s">
        <v>2472</v>
      </c>
      <c r="C191" s="45" t="s">
        <v>281</v>
      </c>
      <c r="D191" s="61" t="s">
        <v>2076</v>
      </c>
      <c r="E191" s="15" t="s">
        <v>29</v>
      </c>
    </row>
    <row r="192">
      <c r="B192" s="61" t="s">
        <v>2667</v>
      </c>
      <c r="C192" s="45" t="s">
        <v>198</v>
      </c>
      <c r="D192" s="61" t="s">
        <v>2668</v>
      </c>
      <c r="E192" s="11" t="s">
        <v>33</v>
      </c>
    </row>
    <row r="193">
      <c r="B193" s="61" t="s">
        <v>2669</v>
      </c>
      <c r="C193" s="45" t="s">
        <v>41</v>
      </c>
      <c r="D193" s="61" t="s">
        <v>2076</v>
      </c>
      <c r="E193" s="15" t="s">
        <v>29</v>
      </c>
    </row>
    <row r="194">
      <c r="B194" s="61" t="s">
        <v>2472</v>
      </c>
      <c r="C194" s="45" t="s">
        <v>17</v>
      </c>
      <c r="D194" s="61" t="s">
        <v>2668</v>
      </c>
      <c r="E194" s="11" t="s">
        <v>33</v>
      </c>
    </row>
    <row r="195">
      <c r="B195" s="61" t="s">
        <v>2667</v>
      </c>
      <c r="C195" s="45" t="s">
        <v>202</v>
      </c>
      <c r="D195" s="61" t="s">
        <v>2076</v>
      </c>
      <c r="E195" s="15" t="s">
        <v>29</v>
      </c>
    </row>
    <row r="196">
      <c r="B196" s="61" t="s">
        <v>2472</v>
      </c>
      <c r="C196" s="45" t="s">
        <v>534</v>
      </c>
      <c r="D196" s="61" t="s">
        <v>2669</v>
      </c>
      <c r="E196" s="11" t="s">
        <v>33</v>
      </c>
    </row>
    <row r="197">
      <c r="B197" s="61" t="s">
        <v>2668</v>
      </c>
      <c r="C197" s="45" t="s">
        <v>20</v>
      </c>
      <c r="D197" s="61" t="s">
        <v>2076</v>
      </c>
      <c r="E197" s="15" t="s">
        <v>29</v>
      </c>
    </row>
    <row r="198">
      <c r="B198" s="61" t="s">
        <v>2667</v>
      </c>
      <c r="C198" s="45" t="s">
        <v>155</v>
      </c>
      <c r="D198" s="61" t="s">
        <v>2669</v>
      </c>
      <c r="E198" s="11" t="s">
        <v>33</v>
      </c>
    </row>
    <row r="199">
      <c r="B199" s="1" t="s">
        <v>2670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2671</v>
      </c>
      <c r="C201" s="57" t="s">
        <v>357</v>
      </c>
      <c r="D201" s="61" t="s">
        <v>420</v>
      </c>
      <c r="E201" s="11" t="s">
        <v>29</v>
      </c>
    </row>
    <row r="202">
      <c r="B202" s="61" t="s">
        <v>2026</v>
      </c>
      <c r="C202" s="57" t="s">
        <v>209</v>
      </c>
      <c r="D202" s="61" t="s">
        <v>1567</v>
      </c>
      <c r="E202" s="11" t="s">
        <v>33</v>
      </c>
    </row>
    <row r="203">
      <c r="B203" s="61" t="s">
        <v>539</v>
      </c>
      <c r="C203" s="57" t="s">
        <v>196</v>
      </c>
      <c r="D203" s="61" t="s">
        <v>2671</v>
      </c>
      <c r="E203" s="11" t="s">
        <v>29</v>
      </c>
    </row>
    <row r="204">
      <c r="B204" s="61" t="s">
        <v>2026</v>
      </c>
      <c r="C204" s="57" t="s">
        <v>610</v>
      </c>
      <c r="D204" s="61" t="s">
        <v>420</v>
      </c>
      <c r="E204" s="11" t="s">
        <v>33</v>
      </c>
    </row>
    <row r="205">
      <c r="B205" s="61" t="s">
        <v>539</v>
      </c>
      <c r="C205" s="57" t="s">
        <v>180</v>
      </c>
      <c r="D205" s="61" t="s">
        <v>1567</v>
      </c>
      <c r="E205" s="11" t="s">
        <v>29</v>
      </c>
    </row>
    <row r="206">
      <c r="B206" s="61" t="s">
        <v>2026</v>
      </c>
      <c r="C206" s="57" t="s">
        <v>17</v>
      </c>
      <c r="D206" s="61" t="s">
        <v>2671</v>
      </c>
      <c r="E206" s="11" t="s">
        <v>33</v>
      </c>
    </row>
    <row r="207">
      <c r="B207" s="61" t="s">
        <v>539</v>
      </c>
      <c r="C207" s="57" t="s">
        <v>640</v>
      </c>
      <c r="D207" s="61" t="s">
        <v>420</v>
      </c>
      <c r="E207" s="11" t="s">
        <v>29</v>
      </c>
    </row>
    <row r="208">
      <c r="B208" s="61" t="s">
        <v>1567</v>
      </c>
      <c r="C208" s="57" t="s">
        <v>43</v>
      </c>
      <c r="D208" s="61" t="s">
        <v>2671</v>
      </c>
      <c r="E208" s="11" t="s">
        <v>33</v>
      </c>
    </row>
    <row r="209">
      <c r="B209" s="61" t="s">
        <v>539</v>
      </c>
      <c r="C209" s="57" t="s">
        <v>16</v>
      </c>
      <c r="D209" s="61" t="s">
        <v>2026</v>
      </c>
      <c r="E209" s="11" t="s">
        <v>29</v>
      </c>
    </row>
    <row r="210">
      <c r="B210" s="61" t="s">
        <v>1567</v>
      </c>
      <c r="C210" s="57" t="s">
        <v>464</v>
      </c>
      <c r="D210" s="61" t="s">
        <v>420</v>
      </c>
      <c r="E210" s="11" t="s">
        <v>33</v>
      </c>
    </row>
    <row r="211">
      <c r="B211" s="61" t="s">
        <v>420</v>
      </c>
      <c r="C211" s="57" t="s">
        <v>517</v>
      </c>
      <c r="D211" s="61" t="s">
        <v>2671</v>
      </c>
      <c r="E211" s="11" t="s">
        <v>29</v>
      </c>
    </row>
    <row r="212">
      <c r="B212" s="61" t="s">
        <v>1567</v>
      </c>
      <c r="C212" s="57" t="s">
        <v>194</v>
      </c>
      <c r="D212" s="61" t="s">
        <v>2026</v>
      </c>
      <c r="E212" s="11" t="s">
        <v>33</v>
      </c>
    </row>
    <row r="213">
      <c r="B213" s="61" t="s">
        <v>2671</v>
      </c>
      <c r="C213" s="45" t="s">
        <v>2672</v>
      </c>
      <c r="D213" s="61" t="s">
        <v>539</v>
      </c>
      <c r="E213" s="11" t="s">
        <v>29</v>
      </c>
    </row>
    <row r="214">
      <c r="B214" s="61" t="s">
        <v>420</v>
      </c>
      <c r="C214" s="45" t="s">
        <v>41</v>
      </c>
      <c r="D214" s="61" t="s">
        <v>2026</v>
      </c>
      <c r="E214" s="11" t="s">
        <v>33</v>
      </c>
    </row>
    <row r="215">
      <c r="B215" s="61" t="s">
        <v>1567</v>
      </c>
      <c r="C215" s="45" t="s">
        <v>14</v>
      </c>
      <c r="D215" s="61" t="s">
        <v>539</v>
      </c>
      <c r="E215" s="11" t="s">
        <v>29</v>
      </c>
    </row>
    <row r="216">
      <c r="B216" s="61" t="s">
        <v>2671</v>
      </c>
      <c r="C216" s="45" t="s">
        <v>7</v>
      </c>
      <c r="D216" s="61" t="s">
        <v>2026</v>
      </c>
      <c r="E216" s="11" t="s">
        <v>33</v>
      </c>
    </row>
    <row r="217">
      <c r="B217" s="61" t="s">
        <v>420</v>
      </c>
      <c r="C217" s="45" t="s">
        <v>1173</v>
      </c>
      <c r="D217" s="61" t="s">
        <v>539</v>
      </c>
      <c r="E217" s="11" t="s">
        <v>29</v>
      </c>
    </row>
    <row r="218">
      <c r="B218" s="61" t="s">
        <v>2671</v>
      </c>
      <c r="C218" s="45" t="s">
        <v>155</v>
      </c>
      <c r="D218" s="61" t="s">
        <v>1567</v>
      </c>
      <c r="E218" s="11" t="s">
        <v>33</v>
      </c>
    </row>
    <row r="219">
      <c r="B219" s="61" t="s">
        <v>2026</v>
      </c>
      <c r="C219" s="45" t="s">
        <v>195</v>
      </c>
      <c r="D219" s="61" t="s">
        <v>539</v>
      </c>
      <c r="E219" s="11" t="s">
        <v>29</v>
      </c>
    </row>
    <row r="220">
      <c r="B220" s="61" t="s">
        <v>420</v>
      </c>
      <c r="C220" s="45" t="s">
        <v>2673</v>
      </c>
      <c r="D220" s="61" t="s">
        <v>1567</v>
      </c>
      <c r="E220" s="11" t="s">
        <v>33</v>
      </c>
    </row>
    <row r="221">
      <c r="B221" s="52" t="s">
        <v>2674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2675</v>
      </c>
      <c r="C223" s="45" t="s">
        <v>173</v>
      </c>
      <c r="D223" s="62" t="s">
        <v>2676</v>
      </c>
      <c r="E223" s="11" t="s">
        <v>9</v>
      </c>
    </row>
    <row r="224">
      <c r="B224" s="62" t="s">
        <v>2677</v>
      </c>
      <c r="C224" s="45" t="s">
        <v>181</v>
      </c>
      <c r="D224" s="62" t="s">
        <v>2678</v>
      </c>
      <c r="E224" s="11" t="s">
        <v>13</v>
      </c>
    </row>
    <row r="225">
      <c r="B225" s="56" t="s">
        <v>1482</v>
      </c>
      <c r="C225" s="45" t="s">
        <v>41</v>
      </c>
      <c r="D225" s="62" t="s">
        <v>2675</v>
      </c>
      <c r="E225" s="11" t="s">
        <v>9</v>
      </c>
    </row>
    <row r="226">
      <c r="B226" s="62" t="s">
        <v>2677</v>
      </c>
      <c r="C226" s="45" t="s">
        <v>219</v>
      </c>
      <c r="D226" s="62" t="s">
        <v>2676</v>
      </c>
      <c r="E226" s="11" t="s">
        <v>13</v>
      </c>
    </row>
    <row r="227">
      <c r="B227" s="56" t="s">
        <v>1482</v>
      </c>
      <c r="C227" s="45" t="s">
        <v>20</v>
      </c>
      <c r="D227" s="62" t="s">
        <v>2678</v>
      </c>
      <c r="E227" s="11" t="s">
        <v>9</v>
      </c>
    </row>
    <row r="228">
      <c r="B228" s="62" t="s">
        <v>2677</v>
      </c>
      <c r="C228" s="45" t="s">
        <v>302</v>
      </c>
      <c r="D228" s="62" t="s">
        <v>2675</v>
      </c>
      <c r="E228" s="11" t="s">
        <v>13</v>
      </c>
    </row>
    <row r="229">
      <c r="B229" s="56" t="s">
        <v>1482</v>
      </c>
      <c r="C229" s="45" t="s">
        <v>193</v>
      </c>
      <c r="D229" s="62" t="s">
        <v>2676</v>
      </c>
      <c r="E229" s="11" t="s">
        <v>9</v>
      </c>
    </row>
    <row r="230">
      <c r="B230" s="62" t="s">
        <v>2678</v>
      </c>
      <c r="C230" s="45" t="s">
        <v>292</v>
      </c>
      <c r="D230" s="62" t="s">
        <v>2675</v>
      </c>
      <c r="E230" s="11" t="s">
        <v>13</v>
      </c>
    </row>
    <row r="231">
      <c r="B231" s="56" t="s">
        <v>1482</v>
      </c>
      <c r="C231" s="45" t="s">
        <v>208</v>
      </c>
      <c r="D231" s="62" t="s">
        <v>2677</v>
      </c>
      <c r="E231" s="11" t="s">
        <v>9</v>
      </c>
    </row>
    <row r="232">
      <c r="B232" s="62" t="s">
        <v>2678</v>
      </c>
      <c r="C232" s="45" t="s">
        <v>161</v>
      </c>
      <c r="D232" s="62" t="s">
        <v>2676</v>
      </c>
      <c r="E232" s="11" t="s">
        <v>13</v>
      </c>
    </row>
    <row r="233">
      <c r="B233" s="62" t="s">
        <v>2676</v>
      </c>
      <c r="C233" s="45" t="s">
        <v>41</v>
      </c>
      <c r="D233" s="62" t="s">
        <v>2675</v>
      </c>
      <c r="E233" s="11" t="s">
        <v>9</v>
      </c>
    </row>
    <row r="234">
      <c r="B234" s="62" t="s">
        <v>2678</v>
      </c>
      <c r="C234" s="45" t="s">
        <v>336</v>
      </c>
      <c r="D234" s="62" t="s">
        <v>2677</v>
      </c>
      <c r="E234" s="11" t="s">
        <v>13</v>
      </c>
    </row>
    <row r="235">
      <c r="B235" s="62" t="s">
        <v>2675</v>
      </c>
      <c r="C235" s="45" t="s">
        <v>20</v>
      </c>
      <c r="D235" s="56" t="s">
        <v>1482</v>
      </c>
      <c r="E235" s="11" t="s">
        <v>9</v>
      </c>
    </row>
    <row r="236">
      <c r="B236" s="62" t="s">
        <v>2676</v>
      </c>
      <c r="C236" s="45" t="s">
        <v>38</v>
      </c>
      <c r="D236" s="62" t="s">
        <v>2677</v>
      </c>
      <c r="E236" s="11" t="s">
        <v>13</v>
      </c>
    </row>
    <row r="237">
      <c r="B237" s="62" t="s">
        <v>2678</v>
      </c>
      <c r="C237" s="45" t="s">
        <v>222</v>
      </c>
      <c r="D237" s="56" t="s">
        <v>1482</v>
      </c>
      <c r="E237" s="11" t="s">
        <v>9</v>
      </c>
    </row>
    <row r="238">
      <c r="B238" s="62" t="s">
        <v>2675</v>
      </c>
      <c r="C238" s="45" t="s">
        <v>157</v>
      </c>
      <c r="D238" s="62" t="s">
        <v>2677</v>
      </c>
      <c r="E238" s="11" t="s">
        <v>13</v>
      </c>
    </row>
    <row r="239">
      <c r="B239" s="62" t="s">
        <v>2676</v>
      </c>
      <c r="C239" s="45" t="s">
        <v>36</v>
      </c>
      <c r="D239" s="56" t="s">
        <v>1482</v>
      </c>
      <c r="E239" s="11" t="s">
        <v>9</v>
      </c>
    </row>
    <row r="240">
      <c r="B240" s="62" t="s">
        <v>2675</v>
      </c>
      <c r="C240" s="45" t="s">
        <v>421</v>
      </c>
      <c r="D240" s="62" t="s">
        <v>2678</v>
      </c>
      <c r="E240" s="11" t="s">
        <v>13</v>
      </c>
    </row>
    <row r="241">
      <c r="B241" s="62" t="s">
        <v>2677</v>
      </c>
      <c r="C241" s="45" t="s">
        <v>326</v>
      </c>
      <c r="D241" s="56" t="s">
        <v>1482</v>
      </c>
      <c r="E241" s="11" t="s">
        <v>9</v>
      </c>
    </row>
    <row r="242">
      <c r="B242" s="62" t="s">
        <v>2676</v>
      </c>
      <c r="C242" s="45" t="s">
        <v>181</v>
      </c>
      <c r="D242" s="62" t="s">
        <v>2678</v>
      </c>
      <c r="E242" s="11" t="s">
        <v>13</v>
      </c>
    </row>
    <row r="243">
      <c r="B243" s="52" t="s">
        <v>2304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2139</v>
      </c>
      <c r="C245" s="45" t="s">
        <v>14</v>
      </c>
      <c r="D245" s="62" t="s">
        <v>2679</v>
      </c>
      <c r="E245" s="11" t="s">
        <v>9</v>
      </c>
    </row>
    <row r="246">
      <c r="B246" s="62" t="s">
        <v>2680</v>
      </c>
      <c r="C246" s="45" t="s">
        <v>327</v>
      </c>
      <c r="D246" s="62" t="s">
        <v>2681</v>
      </c>
      <c r="E246" s="11" t="s">
        <v>13</v>
      </c>
    </row>
    <row r="247">
      <c r="B247" s="56" t="s">
        <v>564</v>
      </c>
      <c r="C247" s="45" t="s">
        <v>302</v>
      </c>
      <c r="D247" s="62" t="s">
        <v>2139</v>
      </c>
      <c r="E247" s="11" t="s">
        <v>9</v>
      </c>
    </row>
    <row r="248">
      <c r="B248" s="62" t="s">
        <v>2680</v>
      </c>
      <c r="C248" s="45" t="s">
        <v>751</v>
      </c>
      <c r="D248" s="62" t="s">
        <v>2679</v>
      </c>
      <c r="E248" s="11" t="s">
        <v>13</v>
      </c>
    </row>
    <row r="249">
      <c r="B249" s="56" t="s">
        <v>564</v>
      </c>
      <c r="C249" s="45" t="s">
        <v>14</v>
      </c>
      <c r="D249" s="62" t="s">
        <v>2681</v>
      </c>
      <c r="E249" s="11" t="s">
        <v>9</v>
      </c>
    </row>
    <row r="250">
      <c r="B250" s="62" t="s">
        <v>2680</v>
      </c>
      <c r="C250" s="45" t="s">
        <v>17</v>
      </c>
      <c r="D250" s="62" t="s">
        <v>2139</v>
      </c>
      <c r="E250" s="11" t="s">
        <v>13</v>
      </c>
    </row>
    <row r="251">
      <c r="B251" s="56" t="s">
        <v>564</v>
      </c>
      <c r="C251" s="45" t="s">
        <v>24</v>
      </c>
      <c r="D251" s="62" t="s">
        <v>2679</v>
      </c>
      <c r="E251" s="11" t="s">
        <v>9</v>
      </c>
    </row>
    <row r="252">
      <c r="B252" s="62" t="s">
        <v>2681</v>
      </c>
      <c r="C252" s="45" t="s">
        <v>248</v>
      </c>
      <c r="D252" s="62" t="s">
        <v>2139</v>
      </c>
      <c r="E252" s="11" t="s">
        <v>13</v>
      </c>
    </row>
    <row r="253">
      <c r="B253" s="56" t="s">
        <v>564</v>
      </c>
      <c r="C253" s="45" t="s">
        <v>17</v>
      </c>
      <c r="D253" s="62" t="s">
        <v>2680</v>
      </c>
      <c r="E253" s="11" t="s">
        <v>9</v>
      </c>
    </row>
    <row r="254">
      <c r="B254" s="62" t="s">
        <v>2681</v>
      </c>
      <c r="C254" s="45" t="s">
        <v>1603</v>
      </c>
      <c r="D254" s="62" t="s">
        <v>2679</v>
      </c>
      <c r="E254" s="11" t="s">
        <v>13</v>
      </c>
    </row>
    <row r="255">
      <c r="B255" s="62" t="s">
        <v>2679</v>
      </c>
      <c r="C255" s="45" t="s">
        <v>173</v>
      </c>
      <c r="D255" s="62" t="s">
        <v>2139</v>
      </c>
      <c r="E255" s="11" t="s">
        <v>9</v>
      </c>
    </row>
    <row r="256">
      <c r="B256" s="62" t="s">
        <v>2681</v>
      </c>
      <c r="C256" s="45" t="s">
        <v>181</v>
      </c>
      <c r="D256" s="62" t="s">
        <v>2680</v>
      </c>
      <c r="E256" s="11" t="s">
        <v>13</v>
      </c>
    </row>
    <row r="257">
      <c r="B257" s="62" t="s">
        <v>2139</v>
      </c>
      <c r="C257" s="45" t="s">
        <v>324</v>
      </c>
      <c r="D257" s="56" t="s">
        <v>564</v>
      </c>
      <c r="E257" s="11" t="s">
        <v>9</v>
      </c>
    </row>
    <row r="258">
      <c r="B258" s="62" t="s">
        <v>2679</v>
      </c>
      <c r="C258" s="45" t="s">
        <v>425</v>
      </c>
      <c r="D258" s="62" t="s">
        <v>2680</v>
      </c>
      <c r="E258" s="11" t="s">
        <v>13</v>
      </c>
    </row>
    <row r="259">
      <c r="B259" s="62" t="s">
        <v>2681</v>
      </c>
      <c r="C259" s="45" t="s">
        <v>185</v>
      </c>
      <c r="D259" s="56" t="s">
        <v>564</v>
      </c>
      <c r="E259" s="11" t="s">
        <v>9</v>
      </c>
    </row>
    <row r="260">
      <c r="B260" s="62" t="s">
        <v>2139</v>
      </c>
      <c r="C260" s="45" t="s">
        <v>7</v>
      </c>
      <c r="D260" s="62" t="s">
        <v>2680</v>
      </c>
      <c r="E260" s="11" t="s">
        <v>13</v>
      </c>
    </row>
    <row r="261">
      <c r="B261" s="62" t="s">
        <v>2679</v>
      </c>
      <c r="C261" s="45" t="s">
        <v>426</v>
      </c>
      <c r="D261" s="56" t="s">
        <v>564</v>
      </c>
      <c r="E261" s="11" t="s">
        <v>9</v>
      </c>
    </row>
    <row r="262">
      <c r="B262" s="62" t="s">
        <v>2139</v>
      </c>
      <c r="C262" s="45" t="s">
        <v>19</v>
      </c>
      <c r="D262" s="62" t="s">
        <v>2681</v>
      </c>
      <c r="E262" s="11" t="s">
        <v>13</v>
      </c>
    </row>
    <row r="263">
      <c r="B263" s="62" t="s">
        <v>2680</v>
      </c>
      <c r="C263" s="45" t="s">
        <v>250</v>
      </c>
      <c r="D263" s="56" t="s">
        <v>564</v>
      </c>
      <c r="E263" s="11" t="s">
        <v>9</v>
      </c>
    </row>
    <row r="264">
      <c r="B264" s="62" t="s">
        <v>2679</v>
      </c>
      <c r="C264" s="45" t="s">
        <v>203</v>
      </c>
      <c r="D264" s="62" t="s">
        <v>2681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2195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2012</v>
      </c>
      <c r="C3" s="57" t="s">
        <v>17</v>
      </c>
      <c r="D3" s="62" t="s">
        <v>2682</v>
      </c>
      <c r="E3" s="11" t="s">
        <v>9</v>
      </c>
    </row>
    <row r="4">
      <c r="A4" s="90"/>
      <c r="B4" s="56" t="s">
        <v>2197</v>
      </c>
      <c r="C4" s="57" t="s">
        <v>41</v>
      </c>
      <c r="D4" s="61" t="s">
        <v>2683</v>
      </c>
      <c r="E4" s="11" t="s">
        <v>13</v>
      </c>
    </row>
    <row r="5">
      <c r="A5" s="90"/>
      <c r="B5" s="62" t="s">
        <v>2684</v>
      </c>
      <c r="C5" s="57" t="s">
        <v>181</v>
      </c>
      <c r="D5" s="62" t="s">
        <v>2012</v>
      </c>
      <c r="E5" s="15" t="s">
        <v>9</v>
      </c>
    </row>
    <row r="6">
      <c r="A6" s="90"/>
      <c r="B6" s="56" t="s">
        <v>2197</v>
      </c>
      <c r="C6" s="57" t="s">
        <v>233</v>
      </c>
      <c r="D6" s="62" t="s">
        <v>2682</v>
      </c>
      <c r="E6" s="11" t="s">
        <v>13</v>
      </c>
    </row>
    <row r="7">
      <c r="A7" s="90"/>
      <c r="B7" s="62" t="s">
        <v>2684</v>
      </c>
      <c r="C7" s="57" t="s">
        <v>24</v>
      </c>
      <c r="D7" s="61" t="s">
        <v>2683</v>
      </c>
      <c r="E7" s="15" t="s">
        <v>9</v>
      </c>
    </row>
    <row r="8">
      <c r="A8" s="90"/>
      <c r="B8" s="56" t="s">
        <v>2197</v>
      </c>
      <c r="C8" s="57" t="s">
        <v>774</v>
      </c>
      <c r="D8" s="62" t="s">
        <v>2012</v>
      </c>
      <c r="E8" s="11" t="s">
        <v>13</v>
      </c>
    </row>
    <row r="9">
      <c r="A9" s="90"/>
      <c r="B9" s="62" t="s">
        <v>2684</v>
      </c>
      <c r="C9" s="57" t="s">
        <v>23</v>
      </c>
      <c r="D9" s="62" t="s">
        <v>2682</v>
      </c>
      <c r="E9" s="15" t="s">
        <v>9</v>
      </c>
    </row>
    <row r="10">
      <c r="A10" s="90"/>
      <c r="B10" s="61" t="s">
        <v>2683</v>
      </c>
      <c r="C10" s="57" t="s">
        <v>281</v>
      </c>
      <c r="D10" s="62" t="s">
        <v>2012</v>
      </c>
      <c r="E10" s="11" t="s">
        <v>13</v>
      </c>
    </row>
    <row r="11">
      <c r="A11" s="90"/>
      <c r="B11" s="62" t="s">
        <v>2684</v>
      </c>
      <c r="C11" s="57" t="s">
        <v>193</v>
      </c>
      <c r="D11" s="56" t="s">
        <v>2197</v>
      </c>
      <c r="E11" s="15" t="s">
        <v>9</v>
      </c>
    </row>
    <row r="12">
      <c r="A12" s="90"/>
      <c r="B12" s="61" t="s">
        <v>2683</v>
      </c>
      <c r="C12" s="57" t="s">
        <v>219</v>
      </c>
      <c r="D12" s="62" t="s">
        <v>2682</v>
      </c>
      <c r="E12" s="11" t="s">
        <v>13</v>
      </c>
    </row>
    <row r="13">
      <c r="A13" s="90"/>
      <c r="B13" s="62" t="s">
        <v>2682</v>
      </c>
      <c r="C13" s="57" t="s">
        <v>324</v>
      </c>
      <c r="D13" s="62" t="s">
        <v>2012</v>
      </c>
      <c r="E13" s="15" t="s">
        <v>9</v>
      </c>
    </row>
    <row r="14">
      <c r="A14" s="90"/>
      <c r="B14" s="61" t="s">
        <v>2683</v>
      </c>
      <c r="C14" s="57" t="s">
        <v>291</v>
      </c>
      <c r="D14" s="56" t="s">
        <v>2197</v>
      </c>
      <c r="E14" s="11" t="s">
        <v>13</v>
      </c>
    </row>
    <row r="15">
      <c r="A15" s="90"/>
      <c r="B15" s="62" t="s">
        <v>2012</v>
      </c>
      <c r="C15" s="45" t="s">
        <v>23</v>
      </c>
      <c r="D15" s="62" t="s">
        <v>2684</v>
      </c>
      <c r="E15" s="15" t="s">
        <v>9</v>
      </c>
    </row>
    <row r="16">
      <c r="A16" s="90"/>
      <c r="B16" s="62" t="s">
        <v>2682</v>
      </c>
      <c r="C16" s="45" t="s">
        <v>1970</v>
      </c>
      <c r="D16" s="56" t="s">
        <v>2197</v>
      </c>
      <c r="E16" s="11" t="s">
        <v>13</v>
      </c>
    </row>
    <row r="17">
      <c r="A17" s="90"/>
      <c r="B17" s="61" t="s">
        <v>2683</v>
      </c>
      <c r="C17" s="45" t="s">
        <v>7</v>
      </c>
      <c r="D17" s="62" t="s">
        <v>2684</v>
      </c>
      <c r="E17" s="15" t="s">
        <v>9</v>
      </c>
    </row>
    <row r="18">
      <c r="A18" s="90"/>
      <c r="B18" s="62" t="s">
        <v>2012</v>
      </c>
      <c r="C18" s="45" t="s">
        <v>244</v>
      </c>
      <c r="D18" s="56" t="s">
        <v>2197</v>
      </c>
      <c r="E18" s="11" t="s">
        <v>13</v>
      </c>
    </row>
    <row r="19">
      <c r="A19" s="90"/>
      <c r="B19" s="62" t="s">
        <v>2682</v>
      </c>
      <c r="C19" s="45" t="s">
        <v>366</v>
      </c>
      <c r="D19" s="62" t="s">
        <v>2684</v>
      </c>
      <c r="E19" s="15" t="s">
        <v>9</v>
      </c>
    </row>
    <row r="20">
      <c r="A20" s="90"/>
      <c r="B20" s="62" t="s">
        <v>2012</v>
      </c>
      <c r="C20" s="45" t="s">
        <v>227</v>
      </c>
      <c r="D20" s="61" t="s">
        <v>2683</v>
      </c>
      <c r="E20" s="11" t="s">
        <v>13</v>
      </c>
    </row>
    <row r="21">
      <c r="A21" s="90"/>
      <c r="B21" s="56" t="s">
        <v>2197</v>
      </c>
      <c r="C21" s="45" t="s">
        <v>20</v>
      </c>
      <c r="D21" s="62" t="s">
        <v>2684</v>
      </c>
      <c r="E21" s="15" t="s">
        <v>9</v>
      </c>
    </row>
    <row r="22">
      <c r="A22" s="90"/>
      <c r="B22" s="62" t="s">
        <v>2682</v>
      </c>
      <c r="C22" s="45" t="s">
        <v>24</v>
      </c>
      <c r="D22" s="61" t="s">
        <v>2683</v>
      </c>
      <c r="E22" s="11" t="s">
        <v>13</v>
      </c>
    </row>
    <row r="23">
      <c r="A23" s="90"/>
      <c r="B23" s="1" t="s">
        <v>2685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2117</v>
      </c>
      <c r="C25" s="57" t="s">
        <v>39</v>
      </c>
      <c r="D25" s="62" t="s">
        <v>2251</v>
      </c>
      <c r="E25" s="11" t="s">
        <v>9</v>
      </c>
    </row>
    <row r="26">
      <c r="A26" s="90"/>
      <c r="B26" s="56" t="s">
        <v>2686</v>
      </c>
      <c r="C26" s="57" t="s">
        <v>264</v>
      </c>
      <c r="D26" s="61" t="s">
        <v>2687</v>
      </c>
      <c r="E26" s="11" t="s">
        <v>13</v>
      </c>
    </row>
    <row r="27">
      <c r="A27" s="90"/>
      <c r="B27" s="62" t="s">
        <v>1928</v>
      </c>
      <c r="C27" s="57" t="s">
        <v>19</v>
      </c>
      <c r="D27" s="62" t="s">
        <v>2117</v>
      </c>
      <c r="E27" s="11" t="s">
        <v>9</v>
      </c>
    </row>
    <row r="28">
      <c r="A28" s="90"/>
      <c r="B28" s="56" t="s">
        <v>2686</v>
      </c>
      <c r="C28" s="57" t="s">
        <v>41</v>
      </c>
      <c r="D28" s="62" t="s">
        <v>2251</v>
      </c>
      <c r="E28" s="11" t="s">
        <v>13</v>
      </c>
    </row>
    <row r="29">
      <c r="A29" s="90"/>
      <c r="B29" s="62" t="s">
        <v>1928</v>
      </c>
      <c r="C29" s="57" t="s">
        <v>248</v>
      </c>
      <c r="D29" s="61" t="s">
        <v>2687</v>
      </c>
      <c r="E29" s="11" t="s">
        <v>9</v>
      </c>
    </row>
    <row r="30">
      <c r="A30" s="90"/>
      <c r="B30" s="56" t="s">
        <v>2686</v>
      </c>
      <c r="C30" s="57" t="s">
        <v>177</v>
      </c>
      <c r="D30" s="62" t="s">
        <v>2117</v>
      </c>
      <c r="E30" s="11" t="s">
        <v>13</v>
      </c>
    </row>
    <row r="31">
      <c r="A31" s="90"/>
      <c r="B31" s="62" t="s">
        <v>1928</v>
      </c>
      <c r="C31" s="57" t="s">
        <v>181</v>
      </c>
      <c r="D31" s="62" t="s">
        <v>2251</v>
      </c>
      <c r="E31" s="11" t="s">
        <v>9</v>
      </c>
    </row>
    <row r="32">
      <c r="A32" s="90"/>
      <c r="B32" s="61" t="s">
        <v>2687</v>
      </c>
      <c r="C32" s="57" t="s">
        <v>161</v>
      </c>
      <c r="D32" s="62" t="s">
        <v>2117</v>
      </c>
      <c r="E32" s="11" t="s">
        <v>13</v>
      </c>
    </row>
    <row r="33">
      <c r="A33" s="90"/>
      <c r="B33" s="62" t="s">
        <v>1928</v>
      </c>
      <c r="C33" s="57" t="s">
        <v>23</v>
      </c>
      <c r="D33" s="56" t="s">
        <v>2686</v>
      </c>
      <c r="E33" s="11" t="s">
        <v>9</v>
      </c>
    </row>
    <row r="34">
      <c r="A34" s="90"/>
      <c r="B34" s="61" t="s">
        <v>2687</v>
      </c>
      <c r="C34" s="57" t="s">
        <v>162</v>
      </c>
      <c r="D34" s="62" t="s">
        <v>2251</v>
      </c>
      <c r="E34" s="11" t="s">
        <v>13</v>
      </c>
    </row>
    <row r="35">
      <c r="A35" s="90"/>
      <c r="B35" s="62" t="s">
        <v>2251</v>
      </c>
      <c r="C35" s="57" t="s">
        <v>248</v>
      </c>
      <c r="D35" s="62" t="s">
        <v>2117</v>
      </c>
      <c r="E35" s="11" t="s">
        <v>9</v>
      </c>
    </row>
    <row r="36">
      <c r="A36" s="90"/>
      <c r="B36" s="61" t="s">
        <v>2687</v>
      </c>
      <c r="C36" s="57" t="s">
        <v>250</v>
      </c>
      <c r="D36" s="56" t="s">
        <v>2686</v>
      </c>
      <c r="E36" s="11" t="s">
        <v>13</v>
      </c>
    </row>
    <row r="37">
      <c r="A37" s="90"/>
      <c r="B37" s="62" t="s">
        <v>2117</v>
      </c>
      <c r="C37" s="45" t="s">
        <v>23</v>
      </c>
      <c r="D37" s="62" t="s">
        <v>1928</v>
      </c>
      <c r="E37" s="11" t="s">
        <v>9</v>
      </c>
    </row>
    <row r="38">
      <c r="A38" s="90"/>
      <c r="B38" s="62" t="s">
        <v>2251</v>
      </c>
      <c r="C38" s="45" t="s">
        <v>325</v>
      </c>
      <c r="D38" s="56" t="s">
        <v>2686</v>
      </c>
      <c r="E38" s="11" t="s">
        <v>13</v>
      </c>
    </row>
    <row r="39">
      <c r="A39" s="90"/>
      <c r="B39" s="61" t="s">
        <v>2687</v>
      </c>
      <c r="C39" s="45" t="s">
        <v>177</v>
      </c>
      <c r="D39" s="62" t="s">
        <v>1928</v>
      </c>
      <c r="E39" s="11" t="s">
        <v>9</v>
      </c>
    </row>
    <row r="40">
      <c r="A40" s="90"/>
      <c r="B40" s="62" t="s">
        <v>2117</v>
      </c>
      <c r="C40" s="45" t="s">
        <v>357</v>
      </c>
      <c r="D40" s="56" t="s">
        <v>2686</v>
      </c>
      <c r="E40" s="11" t="s">
        <v>13</v>
      </c>
    </row>
    <row r="41">
      <c r="A41" s="90"/>
      <c r="B41" s="62" t="s">
        <v>2251</v>
      </c>
      <c r="C41" s="45" t="s">
        <v>173</v>
      </c>
      <c r="D41" s="62" t="s">
        <v>1928</v>
      </c>
      <c r="E41" s="11" t="s">
        <v>9</v>
      </c>
    </row>
    <row r="42">
      <c r="A42" s="90"/>
      <c r="B42" s="62" t="s">
        <v>2117</v>
      </c>
      <c r="C42" s="45" t="s">
        <v>195</v>
      </c>
      <c r="D42" s="61" t="s">
        <v>2687</v>
      </c>
      <c r="E42" s="11" t="s">
        <v>13</v>
      </c>
    </row>
    <row r="43">
      <c r="A43" s="90"/>
      <c r="B43" s="56" t="s">
        <v>2686</v>
      </c>
      <c r="C43" s="45" t="s">
        <v>40</v>
      </c>
      <c r="D43" s="62" t="s">
        <v>1928</v>
      </c>
      <c r="E43" s="11" t="s">
        <v>9</v>
      </c>
    </row>
    <row r="44">
      <c r="A44" s="91"/>
      <c r="B44" s="62" t="s">
        <v>2251</v>
      </c>
      <c r="C44" s="45" t="s">
        <v>162</v>
      </c>
      <c r="D44" s="61" t="s">
        <v>2687</v>
      </c>
      <c r="E44" s="11" t="s">
        <v>13</v>
      </c>
    </row>
    <row r="45">
      <c r="B45" s="1" t="s">
        <v>1526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60</v>
      </c>
      <c r="C47" s="45" t="s">
        <v>7</v>
      </c>
      <c r="D47" s="61" t="s">
        <v>59</v>
      </c>
      <c r="E47" s="11" t="s">
        <v>9</v>
      </c>
    </row>
    <row r="48">
      <c r="B48" s="61" t="s">
        <v>2688</v>
      </c>
      <c r="C48" s="45" t="s">
        <v>164</v>
      </c>
      <c r="D48" s="61" t="s">
        <v>213</v>
      </c>
      <c r="E48" s="11" t="s">
        <v>13</v>
      </c>
    </row>
    <row r="49">
      <c r="B49" s="61" t="s">
        <v>2689</v>
      </c>
      <c r="C49" s="45" t="s">
        <v>177</v>
      </c>
      <c r="D49" s="61" t="s">
        <v>60</v>
      </c>
      <c r="E49" s="11" t="s">
        <v>9</v>
      </c>
    </row>
    <row r="50">
      <c r="B50" s="61" t="s">
        <v>2688</v>
      </c>
      <c r="C50" s="45" t="s">
        <v>366</v>
      </c>
      <c r="D50" s="61" t="s">
        <v>59</v>
      </c>
      <c r="E50" s="11" t="s">
        <v>13</v>
      </c>
    </row>
    <row r="51">
      <c r="B51" s="61" t="s">
        <v>2689</v>
      </c>
      <c r="C51" s="45" t="s">
        <v>289</v>
      </c>
      <c r="D51" s="61" t="s">
        <v>213</v>
      </c>
      <c r="E51" s="11" t="s">
        <v>9</v>
      </c>
    </row>
    <row r="52">
      <c r="B52" s="61" t="s">
        <v>2688</v>
      </c>
      <c r="C52" s="45" t="s">
        <v>281</v>
      </c>
      <c r="D52" s="61" t="s">
        <v>60</v>
      </c>
      <c r="E52" s="11" t="s">
        <v>13</v>
      </c>
    </row>
    <row r="53">
      <c r="B53" s="61" t="s">
        <v>2689</v>
      </c>
      <c r="C53" s="45" t="s">
        <v>208</v>
      </c>
      <c r="D53" s="61" t="s">
        <v>59</v>
      </c>
      <c r="E53" s="11" t="s">
        <v>9</v>
      </c>
    </row>
    <row r="54">
      <c r="B54" s="61" t="s">
        <v>213</v>
      </c>
      <c r="C54" s="45" t="s">
        <v>18</v>
      </c>
      <c r="D54" s="61" t="s">
        <v>60</v>
      </c>
      <c r="E54" s="11" t="s">
        <v>13</v>
      </c>
    </row>
    <row r="55">
      <c r="B55" s="61" t="s">
        <v>2689</v>
      </c>
      <c r="C55" s="45" t="s">
        <v>245</v>
      </c>
      <c r="D55" s="61" t="s">
        <v>2688</v>
      </c>
      <c r="E55" s="11" t="s">
        <v>9</v>
      </c>
    </row>
    <row r="56">
      <c r="B56" s="61" t="s">
        <v>213</v>
      </c>
      <c r="C56" s="45" t="s">
        <v>908</v>
      </c>
      <c r="D56" s="61" t="s">
        <v>59</v>
      </c>
      <c r="E56" s="11" t="s">
        <v>13</v>
      </c>
    </row>
    <row r="57">
      <c r="B57" s="61" t="s">
        <v>59</v>
      </c>
      <c r="C57" s="45" t="s">
        <v>155</v>
      </c>
      <c r="D57" s="61" t="s">
        <v>60</v>
      </c>
      <c r="E57" s="11" t="s">
        <v>9</v>
      </c>
    </row>
    <row r="58">
      <c r="B58" s="61" t="s">
        <v>213</v>
      </c>
      <c r="C58" s="45" t="s">
        <v>218</v>
      </c>
      <c r="D58" s="61" t="s">
        <v>2688</v>
      </c>
      <c r="E58" s="11" t="s">
        <v>13</v>
      </c>
    </row>
    <row r="59">
      <c r="B59" s="61" t="s">
        <v>60</v>
      </c>
      <c r="C59" s="45" t="s">
        <v>324</v>
      </c>
      <c r="D59" s="61" t="s">
        <v>2689</v>
      </c>
      <c r="E59" s="11" t="s">
        <v>9</v>
      </c>
    </row>
    <row r="60">
      <c r="B60" s="61" t="s">
        <v>59</v>
      </c>
      <c r="C60" s="45" t="s">
        <v>162</v>
      </c>
      <c r="D60" s="61" t="s">
        <v>2688</v>
      </c>
      <c r="E60" s="11" t="s">
        <v>13</v>
      </c>
    </row>
    <row r="61">
      <c r="B61" s="61" t="s">
        <v>213</v>
      </c>
      <c r="C61" s="45" t="s">
        <v>19</v>
      </c>
      <c r="D61" s="61" t="s">
        <v>2689</v>
      </c>
      <c r="E61" s="11" t="s">
        <v>9</v>
      </c>
    </row>
    <row r="62">
      <c r="B62" s="61" t="s">
        <v>60</v>
      </c>
      <c r="C62" s="45" t="s">
        <v>155</v>
      </c>
      <c r="D62" s="61" t="s">
        <v>2688</v>
      </c>
      <c r="E62" s="11" t="s">
        <v>13</v>
      </c>
    </row>
    <row r="63">
      <c r="B63" s="61" t="s">
        <v>59</v>
      </c>
      <c r="C63" s="45" t="s">
        <v>248</v>
      </c>
      <c r="D63" s="61" t="s">
        <v>2689</v>
      </c>
      <c r="E63" s="11" t="s">
        <v>9</v>
      </c>
    </row>
    <row r="64">
      <c r="B64" s="61" t="s">
        <v>60</v>
      </c>
      <c r="C64" s="45" t="s">
        <v>327</v>
      </c>
      <c r="D64" s="61" t="s">
        <v>213</v>
      </c>
      <c r="E64" s="11" t="s">
        <v>13</v>
      </c>
    </row>
    <row r="65">
      <c r="B65" s="61" t="s">
        <v>2688</v>
      </c>
      <c r="C65" s="45" t="s">
        <v>583</v>
      </c>
      <c r="D65" s="61" t="s">
        <v>2689</v>
      </c>
      <c r="E65" s="11" t="s">
        <v>9</v>
      </c>
    </row>
    <row r="66">
      <c r="B66" s="61" t="s">
        <v>59</v>
      </c>
      <c r="C66" s="45" t="s">
        <v>158</v>
      </c>
      <c r="D66" s="61" t="s">
        <v>213</v>
      </c>
      <c r="E66" s="11" t="s">
        <v>13</v>
      </c>
    </row>
    <row r="67">
      <c r="B67" s="1" t="s">
        <v>2207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2347</v>
      </c>
      <c r="C69" s="45" t="s">
        <v>674</v>
      </c>
      <c r="D69" s="61" t="s">
        <v>2110</v>
      </c>
      <c r="E69" s="11" t="s">
        <v>9</v>
      </c>
    </row>
    <row r="70">
      <c r="B70" s="61" t="s">
        <v>2690</v>
      </c>
      <c r="C70" s="45" t="s">
        <v>210</v>
      </c>
      <c r="D70" s="61" t="s">
        <v>2691</v>
      </c>
      <c r="E70" s="11" t="s">
        <v>13</v>
      </c>
    </row>
    <row r="71">
      <c r="B71" s="61" t="s">
        <v>564</v>
      </c>
      <c r="C71" s="45" t="s">
        <v>20</v>
      </c>
      <c r="D71" s="61" t="s">
        <v>2347</v>
      </c>
      <c r="E71" s="11" t="s">
        <v>9</v>
      </c>
    </row>
    <row r="72">
      <c r="B72" s="61" t="s">
        <v>2690</v>
      </c>
      <c r="C72" s="45" t="s">
        <v>233</v>
      </c>
      <c r="D72" s="61" t="s">
        <v>2110</v>
      </c>
      <c r="E72" s="11" t="s">
        <v>13</v>
      </c>
    </row>
    <row r="73">
      <c r="B73" s="61" t="s">
        <v>564</v>
      </c>
      <c r="C73" s="45" t="s">
        <v>515</v>
      </c>
      <c r="D73" s="61" t="s">
        <v>2691</v>
      </c>
      <c r="E73" s="11" t="s">
        <v>9</v>
      </c>
    </row>
    <row r="74">
      <c r="B74" s="61" t="s">
        <v>2690</v>
      </c>
      <c r="C74" s="45" t="s">
        <v>2692</v>
      </c>
      <c r="D74" s="61" t="s">
        <v>2347</v>
      </c>
      <c r="E74" s="11" t="s">
        <v>13</v>
      </c>
    </row>
    <row r="75">
      <c r="B75" s="61" t="s">
        <v>564</v>
      </c>
      <c r="C75" s="45" t="s">
        <v>162</v>
      </c>
      <c r="D75" s="61" t="s">
        <v>2110</v>
      </c>
      <c r="E75" s="11" t="s">
        <v>9</v>
      </c>
    </row>
    <row r="76">
      <c r="B76" s="61" t="s">
        <v>2691</v>
      </c>
      <c r="C76" s="45" t="s">
        <v>166</v>
      </c>
      <c r="D76" s="61" t="s">
        <v>2347</v>
      </c>
      <c r="E76" s="11" t="s">
        <v>13</v>
      </c>
    </row>
    <row r="77">
      <c r="B77" s="61" t="s">
        <v>564</v>
      </c>
      <c r="C77" s="45" t="s">
        <v>281</v>
      </c>
      <c r="D77" s="61" t="s">
        <v>2690</v>
      </c>
      <c r="E77" s="11" t="s">
        <v>9</v>
      </c>
    </row>
    <row r="78">
      <c r="B78" s="61" t="s">
        <v>2691</v>
      </c>
      <c r="C78" s="45" t="s">
        <v>181</v>
      </c>
      <c r="D78" s="61" t="s">
        <v>2110</v>
      </c>
      <c r="E78" s="11" t="s">
        <v>13</v>
      </c>
    </row>
    <row r="79">
      <c r="B79" s="61" t="s">
        <v>2110</v>
      </c>
      <c r="C79" s="45" t="s">
        <v>271</v>
      </c>
      <c r="D79" s="61" t="s">
        <v>2347</v>
      </c>
      <c r="E79" s="11" t="s">
        <v>9</v>
      </c>
    </row>
    <row r="80">
      <c r="B80" s="61" t="s">
        <v>2691</v>
      </c>
      <c r="C80" s="45" t="s">
        <v>280</v>
      </c>
      <c r="D80" s="61" t="s">
        <v>2690</v>
      </c>
      <c r="E80" s="11" t="s">
        <v>13</v>
      </c>
    </row>
    <row r="81">
      <c r="B81" s="61" t="s">
        <v>2347</v>
      </c>
      <c r="C81" s="45" t="s">
        <v>225</v>
      </c>
      <c r="D81" s="61" t="s">
        <v>564</v>
      </c>
      <c r="E81" s="11" t="s">
        <v>9</v>
      </c>
    </row>
    <row r="82">
      <c r="B82" s="61" t="s">
        <v>2110</v>
      </c>
      <c r="C82" s="45" t="s">
        <v>279</v>
      </c>
      <c r="D82" s="61" t="s">
        <v>2690</v>
      </c>
      <c r="E82" s="11" t="s">
        <v>13</v>
      </c>
    </row>
    <row r="83">
      <c r="B83" s="61" t="s">
        <v>2691</v>
      </c>
      <c r="C83" s="45" t="s">
        <v>376</v>
      </c>
      <c r="D83" s="61" t="s">
        <v>564</v>
      </c>
      <c r="E83" s="11" t="s">
        <v>9</v>
      </c>
    </row>
    <row r="84">
      <c r="B84" s="61" t="s">
        <v>2347</v>
      </c>
      <c r="C84" s="45" t="s">
        <v>1866</v>
      </c>
      <c r="D84" s="61" t="s">
        <v>2690</v>
      </c>
      <c r="E84" s="11" t="s">
        <v>13</v>
      </c>
    </row>
    <row r="85">
      <c r="B85" s="61" t="s">
        <v>2110</v>
      </c>
      <c r="C85" s="45" t="s">
        <v>210</v>
      </c>
      <c r="D85" s="61" t="s">
        <v>564</v>
      </c>
      <c r="E85" s="11" t="s">
        <v>9</v>
      </c>
    </row>
    <row r="86">
      <c r="B86" s="61" t="s">
        <v>2347</v>
      </c>
      <c r="C86" s="45" t="s">
        <v>181</v>
      </c>
      <c r="D86" s="61" t="s">
        <v>2691</v>
      </c>
      <c r="E86" s="11" t="s">
        <v>13</v>
      </c>
    </row>
    <row r="87">
      <c r="B87" s="61" t="s">
        <v>2690</v>
      </c>
      <c r="C87" s="45" t="s">
        <v>225</v>
      </c>
      <c r="D87" s="61" t="s">
        <v>564</v>
      </c>
      <c r="E87" s="11" t="s">
        <v>9</v>
      </c>
    </row>
    <row r="88">
      <c r="B88" s="61" t="s">
        <v>2110</v>
      </c>
      <c r="C88" s="45" t="s">
        <v>2293</v>
      </c>
      <c r="D88" s="61" t="s">
        <v>2691</v>
      </c>
      <c r="E88" s="11" t="s">
        <v>13</v>
      </c>
    </row>
    <row r="89">
      <c r="B89" s="1" t="s">
        <v>2693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2694</v>
      </c>
      <c r="C91" s="57" t="s">
        <v>19</v>
      </c>
      <c r="D91" s="61" t="s">
        <v>2695</v>
      </c>
      <c r="E91" s="11" t="s">
        <v>29</v>
      </c>
    </row>
    <row r="92">
      <c r="B92" s="61" t="s">
        <v>2617</v>
      </c>
      <c r="C92" s="81" t="s">
        <v>668</v>
      </c>
      <c r="D92" s="61" t="s">
        <v>2696</v>
      </c>
      <c r="E92" s="15" t="s">
        <v>33</v>
      </c>
    </row>
    <row r="93">
      <c r="B93" s="61" t="s">
        <v>242</v>
      </c>
      <c r="C93" s="57" t="s">
        <v>248</v>
      </c>
      <c r="D93" s="61" t="s">
        <v>2694</v>
      </c>
      <c r="E93" s="11" t="s">
        <v>29</v>
      </c>
    </row>
    <row r="94">
      <c r="B94" s="61" t="s">
        <v>2617</v>
      </c>
      <c r="C94" s="57" t="s">
        <v>18</v>
      </c>
      <c r="D94" s="61" t="s">
        <v>2695</v>
      </c>
      <c r="E94" s="11" t="s">
        <v>33</v>
      </c>
    </row>
    <row r="95">
      <c r="B95" s="61" t="s">
        <v>242</v>
      </c>
      <c r="C95" s="81" t="s">
        <v>668</v>
      </c>
      <c r="D95" s="61" t="s">
        <v>2696</v>
      </c>
      <c r="E95" s="15" t="s">
        <v>29</v>
      </c>
    </row>
    <row r="96">
      <c r="B96" s="61" t="s">
        <v>2617</v>
      </c>
      <c r="C96" s="57" t="s">
        <v>545</v>
      </c>
      <c r="D96" s="61" t="s">
        <v>2694</v>
      </c>
      <c r="E96" s="11" t="s">
        <v>33</v>
      </c>
    </row>
    <row r="97">
      <c r="B97" s="61" t="s">
        <v>242</v>
      </c>
      <c r="C97" s="57" t="s">
        <v>233</v>
      </c>
      <c r="D97" s="61" t="s">
        <v>2695</v>
      </c>
      <c r="E97" s="11" t="s">
        <v>29</v>
      </c>
    </row>
    <row r="98">
      <c r="B98" s="61" t="s">
        <v>2696</v>
      </c>
      <c r="C98" s="81" t="s">
        <v>668</v>
      </c>
      <c r="D98" s="61" t="s">
        <v>2694</v>
      </c>
      <c r="E98" s="15" t="s">
        <v>33</v>
      </c>
    </row>
    <row r="99">
      <c r="B99" s="61" t="s">
        <v>242</v>
      </c>
      <c r="C99" s="57" t="s">
        <v>315</v>
      </c>
      <c r="D99" s="61" t="s">
        <v>2617</v>
      </c>
      <c r="E99" s="11" t="s">
        <v>29</v>
      </c>
    </row>
    <row r="100">
      <c r="B100" s="61" t="s">
        <v>2696</v>
      </c>
      <c r="C100" s="81" t="s">
        <v>668</v>
      </c>
      <c r="D100" s="61" t="s">
        <v>2695</v>
      </c>
      <c r="E100" s="15" t="s">
        <v>33</v>
      </c>
    </row>
    <row r="101">
      <c r="B101" s="61" t="s">
        <v>2695</v>
      </c>
      <c r="C101" s="57" t="s">
        <v>17</v>
      </c>
      <c r="D101" s="61" t="s">
        <v>2694</v>
      </c>
      <c r="E101" s="11" t="s">
        <v>29</v>
      </c>
    </row>
    <row r="102">
      <c r="B102" s="61" t="s">
        <v>2696</v>
      </c>
      <c r="C102" s="81" t="s">
        <v>668</v>
      </c>
      <c r="D102" s="61" t="s">
        <v>2617</v>
      </c>
      <c r="E102" s="15" t="s">
        <v>33</v>
      </c>
    </row>
    <row r="103">
      <c r="B103" s="61" t="s">
        <v>2694</v>
      </c>
      <c r="C103" s="57" t="s">
        <v>164</v>
      </c>
      <c r="D103" s="61" t="s">
        <v>242</v>
      </c>
      <c r="E103" s="11" t="s">
        <v>29</v>
      </c>
    </row>
    <row r="104">
      <c r="B104" s="61" t="s">
        <v>2695</v>
      </c>
      <c r="C104" s="57" t="s">
        <v>173</v>
      </c>
      <c r="D104" s="61" t="s">
        <v>2617</v>
      </c>
      <c r="E104" s="11" t="s">
        <v>33</v>
      </c>
    </row>
    <row r="105">
      <c r="B105" s="61" t="s">
        <v>2696</v>
      </c>
      <c r="C105" s="81" t="s">
        <v>668</v>
      </c>
      <c r="D105" s="61" t="s">
        <v>242</v>
      </c>
      <c r="E105" s="15" t="s">
        <v>29</v>
      </c>
    </row>
    <row r="106">
      <c r="B106" s="61" t="s">
        <v>2694</v>
      </c>
      <c r="C106" s="57" t="s">
        <v>2697</v>
      </c>
      <c r="D106" s="61" t="s">
        <v>2617</v>
      </c>
      <c r="E106" s="11" t="s">
        <v>33</v>
      </c>
    </row>
    <row r="107">
      <c r="B107" s="61" t="s">
        <v>2695</v>
      </c>
      <c r="C107" s="57" t="s">
        <v>1790</v>
      </c>
      <c r="D107" s="61" t="s">
        <v>242</v>
      </c>
      <c r="E107" s="11" t="s">
        <v>29</v>
      </c>
    </row>
    <row r="108">
      <c r="B108" s="61" t="s">
        <v>2694</v>
      </c>
      <c r="C108" s="81" t="s">
        <v>668</v>
      </c>
      <c r="D108" s="61" t="s">
        <v>2696</v>
      </c>
      <c r="E108" s="15" t="s">
        <v>33</v>
      </c>
    </row>
    <row r="109">
      <c r="B109" s="61" t="s">
        <v>2617</v>
      </c>
      <c r="C109" s="45" t="s">
        <v>38</v>
      </c>
      <c r="D109" s="61" t="s">
        <v>242</v>
      </c>
      <c r="E109" s="11" t="s">
        <v>29</v>
      </c>
    </row>
    <row r="110">
      <c r="B110" s="61" t="s">
        <v>2695</v>
      </c>
      <c r="C110" s="81" t="s">
        <v>668</v>
      </c>
      <c r="D110" s="61" t="s">
        <v>2696</v>
      </c>
      <c r="E110" s="15" t="s">
        <v>33</v>
      </c>
    </row>
    <row r="111">
      <c r="B111" s="1" t="s">
        <v>2698</v>
      </c>
      <c r="C111" s="2"/>
      <c r="D111" s="3"/>
      <c r="E111" s="4"/>
      <c r="H111" s="81"/>
    </row>
    <row r="112">
      <c r="B112" s="21" t="s">
        <v>2</v>
      </c>
      <c r="C112" s="21" t="s">
        <v>3</v>
      </c>
      <c r="D112" s="21" t="s">
        <v>4</v>
      </c>
      <c r="E112" s="21" t="s">
        <v>5</v>
      </c>
      <c r="I112" s="50" t="s">
        <v>861</v>
      </c>
    </row>
    <row r="113">
      <c r="B113" s="61" t="s">
        <v>2699</v>
      </c>
      <c r="C113" s="57" t="s">
        <v>158</v>
      </c>
      <c r="D113" s="61" t="s">
        <v>1880</v>
      </c>
      <c r="E113" s="11" t="s">
        <v>29</v>
      </c>
    </row>
    <row r="114">
      <c r="B114" s="61" t="s">
        <v>1257</v>
      </c>
      <c r="C114" s="81" t="s">
        <v>668</v>
      </c>
      <c r="D114" s="61" t="s">
        <v>2700</v>
      </c>
      <c r="E114" s="15" t="s">
        <v>33</v>
      </c>
    </row>
    <row r="115">
      <c r="B115" s="61" t="s">
        <v>2124</v>
      </c>
      <c r="C115" s="57" t="s">
        <v>570</v>
      </c>
      <c r="D115" s="61" t="s">
        <v>2699</v>
      </c>
      <c r="E115" s="11" t="s">
        <v>29</v>
      </c>
    </row>
    <row r="116">
      <c r="B116" s="61" t="s">
        <v>1257</v>
      </c>
      <c r="C116" s="57" t="s">
        <v>517</v>
      </c>
      <c r="D116" s="61" t="s">
        <v>1880</v>
      </c>
      <c r="E116" s="11" t="s">
        <v>33</v>
      </c>
    </row>
    <row r="117">
      <c r="B117" s="61" t="s">
        <v>2124</v>
      </c>
      <c r="C117" s="81" t="s">
        <v>668</v>
      </c>
      <c r="D117" s="61" t="s">
        <v>2700</v>
      </c>
      <c r="E117" s="15" t="s">
        <v>29</v>
      </c>
    </row>
    <row r="118">
      <c r="B118" s="61" t="s">
        <v>1257</v>
      </c>
      <c r="C118" s="57" t="s">
        <v>7</v>
      </c>
      <c r="D118" s="61" t="s">
        <v>2699</v>
      </c>
      <c r="E118" s="11" t="s">
        <v>33</v>
      </c>
    </row>
    <row r="119">
      <c r="B119" s="61" t="s">
        <v>2124</v>
      </c>
      <c r="C119" s="57" t="s">
        <v>17</v>
      </c>
      <c r="D119" s="61" t="s">
        <v>1880</v>
      </c>
      <c r="E119" s="11" t="s">
        <v>29</v>
      </c>
    </row>
    <row r="120">
      <c r="B120" s="61" t="s">
        <v>2700</v>
      </c>
      <c r="C120" s="81" t="s">
        <v>668</v>
      </c>
      <c r="D120" s="61" t="s">
        <v>2699</v>
      </c>
      <c r="E120" s="15" t="s">
        <v>33</v>
      </c>
    </row>
    <row r="121">
      <c r="B121" s="61" t="s">
        <v>2124</v>
      </c>
      <c r="C121" s="57" t="s">
        <v>248</v>
      </c>
      <c r="D121" s="61" t="s">
        <v>1257</v>
      </c>
      <c r="E121" s="11" t="s">
        <v>29</v>
      </c>
    </row>
    <row r="122">
      <c r="B122" s="61" t="s">
        <v>2700</v>
      </c>
      <c r="C122" s="81" t="s">
        <v>668</v>
      </c>
      <c r="D122" s="61" t="s">
        <v>1880</v>
      </c>
      <c r="E122" s="15" t="s">
        <v>33</v>
      </c>
    </row>
    <row r="123">
      <c r="B123" s="61" t="s">
        <v>1880</v>
      </c>
      <c r="C123" s="57" t="s">
        <v>23</v>
      </c>
      <c r="D123" s="61" t="s">
        <v>2699</v>
      </c>
      <c r="E123" s="11" t="s">
        <v>29</v>
      </c>
    </row>
    <row r="124">
      <c r="B124" s="61" t="s">
        <v>2700</v>
      </c>
      <c r="C124" s="81" t="s">
        <v>668</v>
      </c>
      <c r="D124" s="61" t="s">
        <v>1257</v>
      </c>
      <c r="E124" s="15" t="s">
        <v>33</v>
      </c>
    </row>
    <row r="125">
      <c r="B125" s="61" t="s">
        <v>2699</v>
      </c>
      <c r="C125" s="57" t="s">
        <v>549</v>
      </c>
      <c r="D125" s="61" t="s">
        <v>2124</v>
      </c>
      <c r="E125" s="11" t="s">
        <v>29</v>
      </c>
    </row>
    <row r="126">
      <c r="B126" s="61" t="s">
        <v>1880</v>
      </c>
      <c r="C126" s="57" t="s">
        <v>41</v>
      </c>
      <c r="D126" s="61" t="s">
        <v>1257</v>
      </c>
      <c r="E126" s="11" t="s">
        <v>33</v>
      </c>
      <c r="J126" s="81"/>
    </row>
    <row r="127">
      <c r="B127" s="61" t="s">
        <v>2700</v>
      </c>
      <c r="C127" s="81" t="s">
        <v>668</v>
      </c>
      <c r="D127" s="61" t="s">
        <v>2124</v>
      </c>
      <c r="E127" s="15" t="s">
        <v>29</v>
      </c>
    </row>
    <row r="128">
      <c r="B128" s="61" t="s">
        <v>2699</v>
      </c>
      <c r="C128" s="57" t="s">
        <v>20</v>
      </c>
      <c r="D128" s="61" t="s">
        <v>1257</v>
      </c>
      <c r="E128" s="11" t="s">
        <v>33</v>
      </c>
    </row>
    <row r="129">
      <c r="B129" s="61" t="s">
        <v>1880</v>
      </c>
      <c r="C129" s="57" t="s">
        <v>1550</v>
      </c>
      <c r="D129" s="61" t="s">
        <v>2124</v>
      </c>
      <c r="E129" s="11" t="s">
        <v>29</v>
      </c>
    </row>
    <row r="130">
      <c r="B130" s="61" t="s">
        <v>2699</v>
      </c>
      <c r="C130" s="81" t="s">
        <v>668</v>
      </c>
      <c r="D130" s="61" t="s">
        <v>2700</v>
      </c>
      <c r="E130" s="15" t="s">
        <v>33</v>
      </c>
    </row>
    <row r="131">
      <c r="B131" s="61" t="s">
        <v>1257</v>
      </c>
      <c r="C131" s="57" t="s">
        <v>43</v>
      </c>
      <c r="D131" s="61" t="s">
        <v>2124</v>
      </c>
      <c r="E131" s="11" t="s">
        <v>29</v>
      </c>
      <c r="G131" s="81"/>
    </row>
    <row r="132">
      <c r="B132" s="61" t="s">
        <v>1880</v>
      </c>
      <c r="C132" s="81" t="s">
        <v>668</v>
      </c>
      <c r="D132" s="61" t="s">
        <v>2700</v>
      </c>
      <c r="E132" s="15" t="s">
        <v>33</v>
      </c>
    </row>
    <row r="133">
      <c r="B133" s="1" t="s">
        <v>2483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2701</v>
      </c>
      <c r="C135" s="45" t="s">
        <v>20</v>
      </c>
      <c r="D135" s="61" t="s">
        <v>766</v>
      </c>
      <c r="E135" s="11" t="s">
        <v>9</v>
      </c>
    </row>
    <row r="136">
      <c r="B136" s="61" t="s">
        <v>2702</v>
      </c>
      <c r="C136" s="45" t="s">
        <v>219</v>
      </c>
      <c r="D136" s="61" t="s">
        <v>2373</v>
      </c>
      <c r="E136" s="11" t="s">
        <v>13</v>
      </c>
    </row>
    <row r="137">
      <c r="B137" s="61" t="s">
        <v>2703</v>
      </c>
      <c r="C137" s="45" t="s">
        <v>161</v>
      </c>
      <c r="D137" s="61" t="s">
        <v>2701</v>
      </c>
      <c r="E137" s="11" t="s">
        <v>9</v>
      </c>
    </row>
    <row r="138">
      <c r="A138" s="50" t="s">
        <v>505</v>
      </c>
      <c r="B138" s="61" t="s">
        <v>2702</v>
      </c>
      <c r="C138" s="45" t="s">
        <v>245</v>
      </c>
      <c r="D138" s="61" t="s">
        <v>766</v>
      </c>
      <c r="E138" s="11" t="s">
        <v>13</v>
      </c>
    </row>
    <row r="139">
      <c r="B139" s="61" t="s">
        <v>2703</v>
      </c>
      <c r="C139" s="45" t="s">
        <v>271</v>
      </c>
      <c r="D139" s="61" t="s">
        <v>2373</v>
      </c>
      <c r="E139" s="11" t="s">
        <v>9</v>
      </c>
    </row>
    <row r="140">
      <c r="B140" s="61" t="s">
        <v>2702</v>
      </c>
      <c r="C140" s="45" t="s">
        <v>208</v>
      </c>
      <c r="D140" s="61" t="s">
        <v>2701</v>
      </c>
      <c r="E140" s="11" t="s">
        <v>13</v>
      </c>
    </row>
    <row r="141">
      <c r="B141" s="61" t="s">
        <v>2703</v>
      </c>
      <c r="C141" s="45" t="s">
        <v>17</v>
      </c>
      <c r="D141" s="61" t="s">
        <v>766</v>
      </c>
      <c r="E141" s="11" t="s">
        <v>9</v>
      </c>
    </row>
    <row r="142">
      <c r="B142" s="61" t="s">
        <v>2373</v>
      </c>
      <c r="C142" s="45" t="s">
        <v>303</v>
      </c>
      <c r="D142" s="61" t="s">
        <v>2701</v>
      </c>
      <c r="E142" s="11" t="s">
        <v>13</v>
      </c>
    </row>
    <row r="143">
      <c r="B143" s="61" t="s">
        <v>2703</v>
      </c>
      <c r="C143" s="45" t="s">
        <v>163</v>
      </c>
      <c r="D143" s="61" t="s">
        <v>2702</v>
      </c>
      <c r="E143" s="11" t="s">
        <v>9</v>
      </c>
    </row>
    <row r="144">
      <c r="B144" s="61" t="s">
        <v>2373</v>
      </c>
      <c r="C144" s="45" t="s">
        <v>195</v>
      </c>
      <c r="D144" s="61" t="s">
        <v>766</v>
      </c>
      <c r="E144" s="11" t="s">
        <v>13</v>
      </c>
    </row>
    <row r="145">
      <c r="B145" s="61" t="s">
        <v>766</v>
      </c>
      <c r="C145" s="45" t="s">
        <v>1186</v>
      </c>
      <c r="D145" s="61" t="s">
        <v>2701</v>
      </c>
      <c r="E145" s="11" t="s">
        <v>9</v>
      </c>
    </row>
    <row r="146">
      <c r="B146" s="61" t="s">
        <v>2373</v>
      </c>
      <c r="C146" s="45" t="s">
        <v>196</v>
      </c>
      <c r="D146" s="61" t="s">
        <v>2702</v>
      </c>
      <c r="E146" s="11" t="s">
        <v>13</v>
      </c>
    </row>
    <row r="147">
      <c r="B147" s="61" t="s">
        <v>2701</v>
      </c>
      <c r="C147" s="45" t="s">
        <v>17</v>
      </c>
      <c r="D147" s="61" t="s">
        <v>2703</v>
      </c>
      <c r="E147" s="11" t="s">
        <v>9</v>
      </c>
    </row>
    <row r="148">
      <c r="B148" s="61" t="s">
        <v>766</v>
      </c>
      <c r="C148" s="45" t="s">
        <v>352</v>
      </c>
      <c r="D148" s="61" t="s">
        <v>2702</v>
      </c>
      <c r="E148" s="11" t="s">
        <v>13</v>
      </c>
    </row>
    <row r="149">
      <c r="B149" s="61" t="s">
        <v>2373</v>
      </c>
      <c r="C149" s="45" t="s">
        <v>7</v>
      </c>
      <c r="D149" s="61" t="s">
        <v>2703</v>
      </c>
      <c r="E149" s="11" t="s">
        <v>9</v>
      </c>
    </row>
    <row r="150">
      <c r="B150" s="61" t="s">
        <v>2701</v>
      </c>
      <c r="C150" s="45" t="s">
        <v>173</v>
      </c>
      <c r="D150" s="61" t="s">
        <v>2702</v>
      </c>
      <c r="E150" s="11" t="s">
        <v>13</v>
      </c>
    </row>
    <row r="151">
      <c r="B151" s="61" t="s">
        <v>766</v>
      </c>
      <c r="C151" s="45" t="s">
        <v>324</v>
      </c>
      <c r="D151" s="61" t="s">
        <v>2703</v>
      </c>
      <c r="E151" s="11" t="s">
        <v>9</v>
      </c>
    </row>
    <row r="152">
      <c r="B152" s="61" t="s">
        <v>2701</v>
      </c>
      <c r="C152" s="45" t="s">
        <v>218</v>
      </c>
      <c r="D152" s="61" t="s">
        <v>2373</v>
      </c>
      <c r="E152" s="11" t="s">
        <v>13</v>
      </c>
    </row>
    <row r="153">
      <c r="B153" s="61" t="s">
        <v>2702</v>
      </c>
      <c r="C153" s="45" t="s">
        <v>185</v>
      </c>
      <c r="D153" s="61" t="s">
        <v>2703</v>
      </c>
      <c r="E153" s="11" t="s">
        <v>9</v>
      </c>
    </row>
    <row r="154">
      <c r="B154" s="61" t="s">
        <v>766</v>
      </c>
      <c r="C154" s="45" t="s">
        <v>16</v>
      </c>
      <c r="D154" s="61" t="s">
        <v>2373</v>
      </c>
      <c r="E154" s="11" t="s">
        <v>13</v>
      </c>
    </row>
    <row r="155">
      <c r="B155" s="1" t="s">
        <v>2704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398</v>
      </c>
      <c r="C157" s="45" t="s">
        <v>301</v>
      </c>
      <c r="D157" s="61" t="s">
        <v>2705</v>
      </c>
      <c r="E157" s="11" t="s">
        <v>9</v>
      </c>
    </row>
    <row r="158">
      <c r="B158" s="61" t="s">
        <v>2706</v>
      </c>
      <c r="C158" s="45" t="s">
        <v>181</v>
      </c>
      <c r="D158" s="61" t="s">
        <v>2707</v>
      </c>
      <c r="E158" s="11" t="s">
        <v>13</v>
      </c>
    </row>
    <row r="159">
      <c r="B159" s="61" t="s">
        <v>2708</v>
      </c>
      <c r="C159" s="45" t="s">
        <v>20</v>
      </c>
      <c r="D159" s="61" t="s">
        <v>398</v>
      </c>
      <c r="E159" s="11" t="s">
        <v>9</v>
      </c>
    </row>
    <row r="160">
      <c r="B160" s="61" t="s">
        <v>2706</v>
      </c>
      <c r="C160" s="45" t="s">
        <v>7</v>
      </c>
      <c r="D160" s="61" t="s">
        <v>2705</v>
      </c>
      <c r="E160" s="11" t="s">
        <v>13</v>
      </c>
    </row>
    <row r="161">
      <c r="B161" s="61" t="s">
        <v>2708</v>
      </c>
      <c r="C161" s="45" t="s">
        <v>17</v>
      </c>
      <c r="D161" s="61" t="s">
        <v>2707</v>
      </c>
      <c r="E161" s="11" t="s">
        <v>9</v>
      </c>
    </row>
    <row r="162">
      <c r="B162" s="61" t="s">
        <v>2706</v>
      </c>
      <c r="C162" s="45" t="s">
        <v>507</v>
      </c>
      <c r="D162" s="61" t="s">
        <v>398</v>
      </c>
      <c r="E162" s="11" t="s">
        <v>13</v>
      </c>
    </row>
    <row r="163">
      <c r="B163" s="61" t="s">
        <v>2708</v>
      </c>
      <c r="C163" s="45" t="s">
        <v>219</v>
      </c>
      <c r="D163" s="61" t="s">
        <v>2705</v>
      </c>
      <c r="E163" s="11" t="s">
        <v>9</v>
      </c>
    </row>
    <row r="164">
      <c r="B164" s="61" t="s">
        <v>2707</v>
      </c>
      <c r="C164" s="45" t="s">
        <v>18</v>
      </c>
      <c r="D164" s="61" t="s">
        <v>398</v>
      </c>
      <c r="E164" s="11" t="s">
        <v>13</v>
      </c>
    </row>
    <row r="165">
      <c r="B165" s="61" t="s">
        <v>2708</v>
      </c>
      <c r="C165" s="45" t="s">
        <v>161</v>
      </c>
      <c r="D165" s="61" t="s">
        <v>2706</v>
      </c>
      <c r="E165" s="11" t="s">
        <v>9</v>
      </c>
    </row>
    <row r="166">
      <c r="B166" s="61" t="s">
        <v>2707</v>
      </c>
      <c r="C166" s="45" t="s">
        <v>315</v>
      </c>
      <c r="D166" s="61" t="s">
        <v>2705</v>
      </c>
      <c r="E166" s="11" t="s">
        <v>13</v>
      </c>
    </row>
    <row r="167">
      <c r="B167" s="61" t="s">
        <v>2705</v>
      </c>
      <c r="C167" s="45" t="s">
        <v>279</v>
      </c>
      <c r="D167" s="61" t="s">
        <v>398</v>
      </c>
      <c r="E167" s="11" t="s">
        <v>9</v>
      </c>
    </row>
    <row r="168">
      <c r="B168" s="61" t="s">
        <v>2707</v>
      </c>
      <c r="C168" s="45" t="s">
        <v>208</v>
      </c>
      <c r="D168" s="61" t="s">
        <v>2706</v>
      </c>
      <c r="E168" s="11" t="s">
        <v>13</v>
      </c>
    </row>
    <row r="169">
      <c r="B169" s="61" t="s">
        <v>398</v>
      </c>
      <c r="C169" s="45" t="s">
        <v>17</v>
      </c>
      <c r="D169" s="61" t="s">
        <v>2708</v>
      </c>
      <c r="E169" s="11" t="s">
        <v>9</v>
      </c>
    </row>
    <row r="170">
      <c r="B170" s="61" t="s">
        <v>2705</v>
      </c>
      <c r="C170" s="45" t="s">
        <v>352</v>
      </c>
      <c r="D170" s="61" t="s">
        <v>2706</v>
      </c>
      <c r="E170" s="11" t="s">
        <v>13</v>
      </c>
    </row>
    <row r="171">
      <c r="B171" s="61" t="s">
        <v>2707</v>
      </c>
      <c r="C171" s="45" t="s">
        <v>193</v>
      </c>
      <c r="D171" s="61" t="s">
        <v>2708</v>
      </c>
      <c r="E171" s="11" t="s">
        <v>9</v>
      </c>
    </row>
    <row r="172">
      <c r="B172" s="61" t="s">
        <v>398</v>
      </c>
      <c r="C172" s="45" t="s">
        <v>271</v>
      </c>
      <c r="D172" s="61" t="s">
        <v>2706</v>
      </c>
      <c r="E172" s="11" t="s">
        <v>13</v>
      </c>
    </row>
    <row r="173">
      <c r="B173" s="61" t="s">
        <v>2705</v>
      </c>
      <c r="C173" s="45" t="s">
        <v>184</v>
      </c>
      <c r="D173" s="61" t="s">
        <v>2708</v>
      </c>
      <c r="E173" s="11" t="s">
        <v>9</v>
      </c>
    </row>
    <row r="174">
      <c r="B174" s="61" t="s">
        <v>398</v>
      </c>
      <c r="C174" s="45" t="s">
        <v>218</v>
      </c>
      <c r="D174" s="61" t="s">
        <v>2707</v>
      </c>
      <c r="E174" s="11" t="s">
        <v>13</v>
      </c>
    </row>
    <row r="175">
      <c r="B175" s="61" t="s">
        <v>2706</v>
      </c>
      <c r="C175" s="45" t="s">
        <v>185</v>
      </c>
      <c r="D175" s="61" t="s">
        <v>2708</v>
      </c>
      <c r="E175" s="11" t="s">
        <v>9</v>
      </c>
    </row>
    <row r="176">
      <c r="B176" s="61" t="s">
        <v>2705</v>
      </c>
      <c r="C176" s="45" t="s">
        <v>248</v>
      </c>
      <c r="D176" s="61" t="s">
        <v>2707</v>
      </c>
      <c r="E176" s="11" t="s">
        <v>13</v>
      </c>
    </row>
    <row r="177">
      <c r="B177" s="1" t="s">
        <v>2709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2710</v>
      </c>
      <c r="C179" s="45" t="s">
        <v>181</v>
      </c>
      <c r="D179" s="61" t="s">
        <v>658</v>
      </c>
      <c r="E179" s="11" t="s">
        <v>29</v>
      </c>
    </row>
    <row r="180">
      <c r="B180" s="61" t="s">
        <v>1393</v>
      </c>
      <c r="C180" s="81" t="s">
        <v>668</v>
      </c>
      <c r="D180" s="61" t="s">
        <v>2711</v>
      </c>
      <c r="E180" s="15" t="s">
        <v>33</v>
      </c>
      <c r="G180" s="45"/>
    </row>
    <row r="181">
      <c r="B181" s="61" t="s">
        <v>1737</v>
      </c>
      <c r="C181" s="45" t="s">
        <v>292</v>
      </c>
      <c r="D181" s="61" t="s">
        <v>2710</v>
      </c>
      <c r="E181" s="11" t="s">
        <v>29</v>
      </c>
    </row>
    <row r="182">
      <c r="B182" s="61" t="s">
        <v>1393</v>
      </c>
      <c r="C182" s="45" t="s">
        <v>14</v>
      </c>
      <c r="D182" s="61" t="s">
        <v>658</v>
      </c>
      <c r="E182" s="11" t="s">
        <v>33</v>
      </c>
    </row>
    <row r="183">
      <c r="B183" s="61" t="s">
        <v>1737</v>
      </c>
      <c r="C183" s="81" t="s">
        <v>668</v>
      </c>
      <c r="D183" s="61" t="s">
        <v>2711</v>
      </c>
      <c r="E183" s="15" t="s">
        <v>29</v>
      </c>
    </row>
    <row r="184">
      <c r="B184" s="61" t="s">
        <v>1393</v>
      </c>
      <c r="C184" s="45" t="s">
        <v>173</v>
      </c>
      <c r="D184" s="61" t="s">
        <v>2710</v>
      </c>
      <c r="E184" s="11" t="s">
        <v>33</v>
      </c>
    </row>
    <row r="185">
      <c r="B185" s="61" t="s">
        <v>1737</v>
      </c>
      <c r="C185" s="45" t="s">
        <v>218</v>
      </c>
      <c r="D185" s="61" t="s">
        <v>658</v>
      </c>
      <c r="E185" s="11" t="s">
        <v>29</v>
      </c>
    </row>
    <row r="186">
      <c r="B186" s="61" t="s">
        <v>2711</v>
      </c>
      <c r="C186" s="81" t="s">
        <v>668</v>
      </c>
      <c r="D186" s="61" t="s">
        <v>2710</v>
      </c>
      <c r="E186" s="15" t="s">
        <v>33</v>
      </c>
    </row>
    <row r="187">
      <c r="B187" s="61" t="s">
        <v>1737</v>
      </c>
      <c r="C187" s="45" t="s">
        <v>17</v>
      </c>
      <c r="D187" s="61" t="s">
        <v>1393</v>
      </c>
      <c r="E187" s="11" t="s">
        <v>29</v>
      </c>
    </row>
    <row r="188">
      <c r="B188" s="61" t="s">
        <v>2711</v>
      </c>
      <c r="C188" s="81" t="s">
        <v>668</v>
      </c>
      <c r="D188" s="61" t="s">
        <v>658</v>
      </c>
      <c r="E188" s="15" t="s">
        <v>33</v>
      </c>
    </row>
    <row r="189">
      <c r="B189" s="61" t="s">
        <v>658</v>
      </c>
      <c r="C189" s="45" t="s">
        <v>155</v>
      </c>
      <c r="D189" s="61" t="s">
        <v>2710</v>
      </c>
      <c r="E189" s="11" t="s">
        <v>29</v>
      </c>
    </row>
    <row r="190">
      <c r="B190" s="61" t="s">
        <v>2711</v>
      </c>
      <c r="C190" s="81" t="s">
        <v>668</v>
      </c>
      <c r="D190" s="61" t="s">
        <v>1393</v>
      </c>
      <c r="E190" s="15" t="s">
        <v>33</v>
      </c>
    </row>
    <row r="191">
      <c r="B191" s="61" t="s">
        <v>2710</v>
      </c>
      <c r="C191" s="45" t="s">
        <v>196</v>
      </c>
      <c r="D191" s="61" t="s">
        <v>1737</v>
      </c>
      <c r="E191" s="11" t="s">
        <v>29</v>
      </c>
    </row>
    <row r="192">
      <c r="B192" s="61" t="s">
        <v>658</v>
      </c>
      <c r="C192" s="45" t="s">
        <v>219</v>
      </c>
      <c r="D192" s="61" t="s">
        <v>1393</v>
      </c>
      <c r="E192" s="11" t="s">
        <v>33</v>
      </c>
    </row>
    <row r="193">
      <c r="B193" s="61" t="s">
        <v>2711</v>
      </c>
      <c r="C193" s="81" t="s">
        <v>668</v>
      </c>
      <c r="D193" s="61" t="s">
        <v>1737</v>
      </c>
      <c r="E193" s="15" t="s">
        <v>29</v>
      </c>
      <c r="H193" s="81"/>
    </row>
    <row r="194">
      <c r="B194" s="61" t="s">
        <v>2710</v>
      </c>
      <c r="C194" s="45" t="s">
        <v>289</v>
      </c>
      <c r="D194" s="61" t="s">
        <v>1393</v>
      </c>
      <c r="E194" s="11" t="s">
        <v>33</v>
      </c>
    </row>
    <row r="195">
      <c r="B195" s="61" t="s">
        <v>658</v>
      </c>
      <c r="C195" s="45" t="s">
        <v>194</v>
      </c>
      <c r="D195" s="61" t="s">
        <v>1737</v>
      </c>
      <c r="E195" s="11" t="s">
        <v>29</v>
      </c>
    </row>
    <row r="196">
      <c r="B196" s="61" t="s">
        <v>2710</v>
      </c>
      <c r="C196" s="81" t="s">
        <v>668</v>
      </c>
      <c r="D196" s="61" t="s">
        <v>2711</v>
      </c>
      <c r="E196" s="15" t="s">
        <v>33</v>
      </c>
    </row>
    <row r="197">
      <c r="B197" s="61" t="s">
        <v>1393</v>
      </c>
      <c r="C197" s="45" t="s">
        <v>43</v>
      </c>
      <c r="D197" s="61" t="s">
        <v>1737</v>
      </c>
      <c r="E197" s="11" t="s">
        <v>29</v>
      </c>
    </row>
    <row r="198">
      <c r="B198" s="61" t="s">
        <v>658</v>
      </c>
      <c r="C198" s="81" t="s">
        <v>668</v>
      </c>
      <c r="D198" s="61" t="s">
        <v>2711</v>
      </c>
      <c r="E198" s="15" t="s">
        <v>33</v>
      </c>
    </row>
    <row r="199">
      <c r="B199" s="1" t="s">
        <v>2712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2713</v>
      </c>
      <c r="C201" s="45" t="s">
        <v>162</v>
      </c>
      <c r="D201" s="61" t="s">
        <v>2171</v>
      </c>
      <c r="E201" s="11" t="s">
        <v>29</v>
      </c>
    </row>
    <row r="202">
      <c r="B202" s="61" t="s">
        <v>2505</v>
      </c>
      <c r="C202" s="81" t="s">
        <v>668</v>
      </c>
      <c r="D202" s="61" t="s">
        <v>2714</v>
      </c>
      <c r="E202" s="15" t="s">
        <v>33</v>
      </c>
    </row>
    <row r="203">
      <c r="B203" s="61" t="s">
        <v>785</v>
      </c>
      <c r="C203" s="45" t="s">
        <v>16</v>
      </c>
      <c r="D203" s="61" t="s">
        <v>2713</v>
      </c>
      <c r="E203" s="11" t="s">
        <v>29</v>
      </c>
    </row>
    <row r="204">
      <c r="B204" s="61" t="s">
        <v>2505</v>
      </c>
      <c r="C204" s="45" t="s">
        <v>362</v>
      </c>
      <c r="D204" s="61" t="s">
        <v>2171</v>
      </c>
      <c r="E204" s="11" t="s">
        <v>33</v>
      </c>
    </row>
    <row r="205">
      <c r="B205" s="61" t="s">
        <v>785</v>
      </c>
      <c r="C205" s="81" t="s">
        <v>668</v>
      </c>
      <c r="D205" s="61" t="s">
        <v>2714</v>
      </c>
      <c r="E205" s="15" t="s">
        <v>29</v>
      </c>
    </row>
    <row r="206">
      <c r="B206" s="61" t="s">
        <v>2505</v>
      </c>
      <c r="C206" s="45" t="s">
        <v>211</v>
      </c>
      <c r="D206" s="61" t="s">
        <v>2713</v>
      </c>
      <c r="E206" s="11" t="s">
        <v>33</v>
      </c>
    </row>
    <row r="207">
      <c r="B207" s="61" t="s">
        <v>785</v>
      </c>
      <c r="C207" s="45" t="s">
        <v>324</v>
      </c>
      <c r="D207" s="61" t="s">
        <v>2171</v>
      </c>
      <c r="E207" s="11" t="s">
        <v>29</v>
      </c>
    </row>
    <row r="208">
      <c r="B208" s="61" t="s">
        <v>2714</v>
      </c>
      <c r="C208" s="81" t="s">
        <v>668</v>
      </c>
      <c r="D208" s="61" t="s">
        <v>2713</v>
      </c>
      <c r="E208" s="15" t="s">
        <v>33</v>
      </c>
    </row>
    <row r="209">
      <c r="B209" s="61" t="s">
        <v>785</v>
      </c>
      <c r="C209" s="45" t="s">
        <v>27</v>
      </c>
      <c r="D209" s="61" t="s">
        <v>2505</v>
      </c>
      <c r="E209" s="11" t="s">
        <v>29</v>
      </c>
    </row>
    <row r="210">
      <c r="B210" s="61" t="s">
        <v>2714</v>
      </c>
      <c r="C210" s="81" t="s">
        <v>668</v>
      </c>
      <c r="D210" s="61" t="s">
        <v>2171</v>
      </c>
      <c r="E210" s="15" t="s">
        <v>33</v>
      </c>
    </row>
    <row r="211">
      <c r="B211" s="61" t="s">
        <v>2171</v>
      </c>
      <c r="C211" s="45" t="s">
        <v>155</v>
      </c>
      <c r="D211" s="61" t="s">
        <v>2713</v>
      </c>
      <c r="E211" s="11" t="s">
        <v>29</v>
      </c>
    </row>
    <row r="212">
      <c r="B212" s="61" t="s">
        <v>2714</v>
      </c>
      <c r="C212" s="81" t="s">
        <v>668</v>
      </c>
      <c r="D212" s="61" t="s">
        <v>2505</v>
      </c>
      <c r="E212" s="15" t="s">
        <v>33</v>
      </c>
    </row>
    <row r="213">
      <c r="B213" s="61" t="s">
        <v>2713</v>
      </c>
      <c r="C213" s="45" t="s">
        <v>394</v>
      </c>
      <c r="D213" s="61" t="s">
        <v>785</v>
      </c>
      <c r="E213" s="11" t="s">
        <v>29</v>
      </c>
    </row>
    <row r="214">
      <c r="B214" s="61" t="s">
        <v>2171</v>
      </c>
      <c r="C214" s="45" t="s">
        <v>251</v>
      </c>
      <c r="D214" s="61" t="s">
        <v>2505</v>
      </c>
      <c r="E214" s="11" t="s">
        <v>33</v>
      </c>
    </row>
    <row r="215">
      <c r="B215" s="61" t="s">
        <v>2714</v>
      </c>
      <c r="C215" s="81" t="s">
        <v>668</v>
      </c>
      <c r="D215" s="61" t="s">
        <v>785</v>
      </c>
      <c r="E215" s="15" t="s">
        <v>29</v>
      </c>
    </row>
    <row r="216">
      <c r="B216" s="61" t="s">
        <v>2713</v>
      </c>
      <c r="C216" s="45" t="s">
        <v>194</v>
      </c>
      <c r="D216" s="61" t="s">
        <v>2505</v>
      </c>
      <c r="E216" s="11" t="s">
        <v>33</v>
      </c>
    </row>
    <row r="217">
      <c r="B217" s="61" t="s">
        <v>2171</v>
      </c>
      <c r="C217" s="45" t="s">
        <v>181</v>
      </c>
      <c r="D217" s="61" t="s">
        <v>785</v>
      </c>
      <c r="E217" s="11" t="s">
        <v>29</v>
      </c>
    </row>
    <row r="218">
      <c r="B218" s="61" t="s">
        <v>2713</v>
      </c>
      <c r="C218" s="81" t="s">
        <v>668</v>
      </c>
      <c r="D218" s="61" t="s">
        <v>2714</v>
      </c>
      <c r="E218" s="15" t="s">
        <v>33</v>
      </c>
    </row>
    <row r="219">
      <c r="B219" s="61" t="s">
        <v>2505</v>
      </c>
      <c r="C219" s="45" t="s">
        <v>208</v>
      </c>
      <c r="D219" s="61" t="s">
        <v>785</v>
      </c>
      <c r="E219" s="11" t="s">
        <v>29</v>
      </c>
    </row>
    <row r="220">
      <c r="B220" s="61" t="s">
        <v>2171</v>
      </c>
      <c r="C220" s="81" t="s">
        <v>668</v>
      </c>
      <c r="D220" s="61" t="s">
        <v>2714</v>
      </c>
      <c r="E220" s="15" t="s">
        <v>33</v>
      </c>
    </row>
    <row r="221">
      <c r="B221" s="52" t="s">
        <v>2495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2715</v>
      </c>
      <c r="C223" s="45" t="s">
        <v>225</v>
      </c>
      <c r="D223" s="62" t="s">
        <v>1057</v>
      </c>
      <c r="E223" s="11" t="s">
        <v>9</v>
      </c>
    </row>
    <row r="224">
      <c r="B224" s="62" t="s">
        <v>2566</v>
      </c>
      <c r="C224" s="45" t="s">
        <v>256</v>
      </c>
      <c r="D224" s="62" t="s">
        <v>2716</v>
      </c>
      <c r="E224" s="11" t="s">
        <v>13</v>
      </c>
    </row>
    <row r="225">
      <c r="B225" s="62" t="s">
        <v>2717</v>
      </c>
      <c r="C225" s="45" t="s">
        <v>507</v>
      </c>
      <c r="D225" s="62" t="s">
        <v>2715</v>
      </c>
      <c r="E225" s="11" t="s">
        <v>9</v>
      </c>
    </row>
    <row r="226">
      <c r="B226" s="62" t="s">
        <v>2566</v>
      </c>
      <c r="C226" s="45" t="s">
        <v>205</v>
      </c>
      <c r="D226" s="62" t="s">
        <v>1057</v>
      </c>
      <c r="E226" s="11" t="s">
        <v>13</v>
      </c>
    </row>
    <row r="227">
      <c r="B227" s="62" t="s">
        <v>2717</v>
      </c>
      <c r="C227" s="45" t="s">
        <v>34</v>
      </c>
      <c r="D227" s="62" t="s">
        <v>2716</v>
      </c>
      <c r="E227" s="11" t="s">
        <v>9</v>
      </c>
    </row>
    <row r="228">
      <c r="B228" s="62" t="s">
        <v>2566</v>
      </c>
      <c r="C228" s="45" t="s">
        <v>210</v>
      </c>
      <c r="D228" s="62" t="s">
        <v>2715</v>
      </c>
      <c r="E228" s="11" t="s">
        <v>13</v>
      </c>
    </row>
    <row r="229">
      <c r="B229" s="62" t="s">
        <v>2717</v>
      </c>
      <c r="C229" s="45" t="s">
        <v>42</v>
      </c>
      <c r="D229" s="62" t="s">
        <v>1057</v>
      </c>
      <c r="E229" s="11" t="s">
        <v>9</v>
      </c>
    </row>
    <row r="230">
      <c r="B230" s="62" t="s">
        <v>2716</v>
      </c>
      <c r="C230" s="45" t="s">
        <v>159</v>
      </c>
      <c r="D230" s="62" t="s">
        <v>2715</v>
      </c>
      <c r="E230" s="11" t="s">
        <v>13</v>
      </c>
    </row>
    <row r="231">
      <c r="B231" s="62" t="s">
        <v>2717</v>
      </c>
      <c r="C231" s="45" t="s">
        <v>196</v>
      </c>
      <c r="D231" s="62" t="s">
        <v>2566</v>
      </c>
      <c r="E231" s="11" t="s">
        <v>9</v>
      </c>
    </row>
    <row r="232">
      <c r="B232" s="62" t="s">
        <v>2716</v>
      </c>
      <c r="C232" s="45" t="s">
        <v>16</v>
      </c>
      <c r="D232" s="62" t="s">
        <v>1057</v>
      </c>
      <c r="E232" s="11" t="s">
        <v>13</v>
      </c>
    </row>
    <row r="233">
      <c r="B233" s="62" t="s">
        <v>1057</v>
      </c>
      <c r="C233" s="45" t="s">
        <v>20</v>
      </c>
      <c r="D233" s="62" t="s">
        <v>2715</v>
      </c>
      <c r="E233" s="11" t="s">
        <v>9</v>
      </c>
    </row>
    <row r="234">
      <c r="B234" s="62" t="s">
        <v>2716</v>
      </c>
      <c r="C234" s="45" t="s">
        <v>761</v>
      </c>
      <c r="D234" s="62" t="s">
        <v>2566</v>
      </c>
      <c r="E234" s="11" t="s">
        <v>13</v>
      </c>
    </row>
    <row r="235">
      <c r="B235" s="62" t="s">
        <v>2715</v>
      </c>
      <c r="C235" s="45" t="s">
        <v>534</v>
      </c>
      <c r="D235" s="62" t="s">
        <v>2717</v>
      </c>
      <c r="E235" s="11" t="s">
        <v>9</v>
      </c>
    </row>
    <row r="236">
      <c r="B236" s="62" t="s">
        <v>1057</v>
      </c>
      <c r="C236" s="45" t="s">
        <v>181</v>
      </c>
      <c r="D236" s="62" t="s">
        <v>2566</v>
      </c>
      <c r="E236" s="11" t="s">
        <v>13</v>
      </c>
    </row>
    <row r="237">
      <c r="B237" s="62" t="s">
        <v>2716</v>
      </c>
      <c r="C237" s="45" t="s">
        <v>231</v>
      </c>
      <c r="D237" s="62" t="s">
        <v>2717</v>
      </c>
      <c r="E237" s="11" t="s">
        <v>9</v>
      </c>
    </row>
    <row r="238">
      <c r="B238" s="62" t="s">
        <v>2715</v>
      </c>
      <c r="C238" s="45" t="s">
        <v>354</v>
      </c>
      <c r="D238" s="62" t="s">
        <v>2566</v>
      </c>
      <c r="E238" s="11" t="s">
        <v>13</v>
      </c>
    </row>
    <row r="239">
      <c r="B239" s="62" t="s">
        <v>1057</v>
      </c>
      <c r="C239" s="45" t="s">
        <v>290</v>
      </c>
      <c r="D239" s="62" t="s">
        <v>2717</v>
      </c>
      <c r="E239" s="11" t="s">
        <v>9</v>
      </c>
    </row>
    <row r="240">
      <c r="B240" s="62" t="s">
        <v>2715</v>
      </c>
      <c r="C240" s="45" t="s">
        <v>184</v>
      </c>
      <c r="D240" s="62" t="s">
        <v>2716</v>
      </c>
      <c r="E240" s="11" t="s">
        <v>13</v>
      </c>
    </row>
    <row r="241">
      <c r="B241" s="62" t="s">
        <v>2566</v>
      </c>
      <c r="C241" s="45" t="s">
        <v>442</v>
      </c>
      <c r="D241" s="62" t="s">
        <v>2717</v>
      </c>
      <c r="E241" s="11" t="s">
        <v>9</v>
      </c>
    </row>
    <row r="242">
      <c r="B242" s="62" t="s">
        <v>1057</v>
      </c>
      <c r="C242" s="45" t="s">
        <v>21</v>
      </c>
      <c r="D242" s="62" t="s">
        <v>2716</v>
      </c>
      <c r="E242" s="11" t="s">
        <v>13</v>
      </c>
    </row>
    <row r="243">
      <c r="B243" s="52" t="s">
        <v>1581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2718</v>
      </c>
      <c r="C245" s="45" t="s">
        <v>250</v>
      </c>
      <c r="D245" s="62" t="s">
        <v>2719</v>
      </c>
      <c r="E245" s="11" t="s">
        <v>9</v>
      </c>
    </row>
    <row r="246">
      <c r="B246" s="62" t="s">
        <v>365</v>
      </c>
      <c r="C246" s="45" t="s">
        <v>209</v>
      </c>
      <c r="D246" s="62" t="s">
        <v>2720</v>
      </c>
      <c r="E246" s="11" t="s">
        <v>13</v>
      </c>
    </row>
    <row r="247">
      <c r="B247" s="62" t="s">
        <v>2721</v>
      </c>
      <c r="C247" s="45" t="s">
        <v>324</v>
      </c>
      <c r="D247" s="62" t="s">
        <v>2718</v>
      </c>
      <c r="E247" s="11" t="s">
        <v>9</v>
      </c>
    </row>
    <row r="248">
      <c r="B248" s="62" t="s">
        <v>365</v>
      </c>
      <c r="C248" s="45" t="s">
        <v>41</v>
      </c>
      <c r="D248" s="62" t="s">
        <v>2719</v>
      </c>
      <c r="E248" s="11" t="s">
        <v>13</v>
      </c>
    </row>
    <row r="249">
      <c r="B249" s="62" t="s">
        <v>2721</v>
      </c>
      <c r="C249" s="45" t="s">
        <v>166</v>
      </c>
      <c r="D249" s="62" t="s">
        <v>2720</v>
      </c>
      <c r="E249" s="11" t="s">
        <v>9</v>
      </c>
    </row>
    <row r="250">
      <c r="B250" s="62" t="s">
        <v>365</v>
      </c>
      <c r="C250" s="45" t="s">
        <v>219</v>
      </c>
      <c r="D250" s="62" t="s">
        <v>2718</v>
      </c>
      <c r="E250" s="11" t="s">
        <v>13</v>
      </c>
    </row>
    <row r="251">
      <c r="B251" s="62" t="s">
        <v>2721</v>
      </c>
      <c r="C251" s="45" t="s">
        <v>196</v>
      </c>
      <c r="D251" s="62" t="s">
        <v>2719</v>
      </c>
      <c r="E251" s="11" t="s">
        <v>9</v>
      </c>
    </row>
    <row r="252">
      <c r="B252" s="62" t="s">
        <v>2720</v>
      </c>
      <c r="C252" s="45" t="s">
        <v>1402</v>
      </c>
      <c r="D252" s="62" t="s">
        <v>2718</v>
      </c>
      <c r="E252" s="11" t="s">
        <v>13</v>
      </c>
    </row>
    <row r="253">
      <c r="B253" s="62" t="s">
        <v>2721</v>
      </c>
      <c r="C253" s="45" t="s">
        <v>301</v>
      </c>
      <c r="D253" s="62" t="s">
        <v>365</v>
      </c>
      <c r="E253" s="11" t="s">
        <v>9</v>
      </c>
    </row>
    <row r="254">
      <c r="B254" s="62" t="s">
        <v>2720</v>
      </c>
      <c r="C254" s="45" t="s">
        <v>525</v>
      </c>
      <c r="D254" s="62" t="s">
        <v>2719</v>
      </c>
      <c r="E254" s="11" t="s">
        <v>13</v>
      </c>
    </row>
    <row r="255">
      <c r="B255" s="62" t="s">
        <v>2719</v>
      </c>
      <c r="C255" s="45" t="s">
        <v>166</v>
      </c>
      <c r="D255" s="62" t="s">
        <v>2718</v>
      </c>
      <c r="E255" s="11" t="s">
        <v>9</v>
      </c>
    </row>
    <row r="256">
      <c r="B256" s="62" t="s">
        <v>2720</v>
      </c>
      <c r="C256" s="45" t="s">
        <v>1181</v>
      </c>
      <c r="D256" s="62" t="s">
        <v>365</v>
      </c>
      <c r="E256" s="11" t="s">
        <v>13</v>
      </c>
    </row>
    <row r="257">
      <c r="B257" s="62" t="s">
        <v>2718</v>
      </c>
      <c r="C257" s="45" t="s">
        <v>209</v>
      </c>
      <c r="D257" s="62" t="s">
        <v>2721</v>
      </c>
      <c r="E257" s="11" t="s">
        <v>9</v>
      </c>
    </row>
    <row r="258">
      <c r="B258" s="62" t="s">
        <v>2719</v>
      </c>
      <c r="C258" s="45" t="s">
        <v>43</v>
      </c>
      <c r="D258" s="62" t="s">
        <v>365</v>
      </c>
      <c r="E258" s="11" t="s">
        <v>13</v>
      </c>
    </row>
    <row r="259">
      <c r="B259" s="62" t="s">
        <v>2720</v>
      </c>
      <c r="C259" s="45" t="s">
        <v>173</v>
      </c>
      <c r="D259" s="62" t="s">
        <v>2721</v>
      </c>
      <c r="E259" s="11" t="s">
        <v>9</v>
      </c>
    </row>
    <row r="260">
      <c r="B260" s="62" t="s">
        <v>2718</v>
      </c>
      <c r="C260" s="45" t="s">
        <v>7</v>
      </c>
      <c r="D260" s="62" t="s">
        <v>365</v>
      </c>
      <c r="E260" s="11" t="s">
        <v>13</v>
      </c>
    </row>
    <row r="261">
      <c r="B261" s="62" t="s">
        <v>2719</v>
      </c>
      <c r="C261" s="45" t="s">
        <v>210</v>
      </c>
      <c r="D261" s="62" t="s">
        <v>2721</v>
      </c>
      <c r="E261" s="11" t="s">
        <v>9</v>
      </c>
    </row>
    <row r="262">
      <c r="B262" s="62" t="s">
        <v>2718</v>
      </c>
      <c r="C262" s="45" t="s">
        <v>454</v>
      </c>
      <c r="D262" s="62" t="s">
        <v>2720</v>
      </c>
      <c r="E262" s="11" t="s">
        <v>13</v>
      </c>
    </row>
    <row r="263">
      <c r="B263" s="62" t="s">
        <v>365</v>
      </c>
      <c r="C263" s="45" t="s">
        <v>175</v>
      </c>
      <c r="D263" s="62" t="s">
        <v>2721</v>
      </c>
      <c r="E263" s="11" t="s">
        <v>9</v>
      </c>
    </row>
    <row r="264">
      <c r="B264" s="62" t="s">
        <v>2719</v>
      </c>
      <c r="C264" s="45" t="s">
        <v>324</v>
      </c>
      <c r="D264" s="62" t="s">
        <v>2720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2250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2722</v>
      </c>
      <c r="C3" s="57" t="s">
        <v>1603</v>
      </c>
      <c r="D3" s="62" t="s">
        <v>2723</v>
      </c>
      <c r="E3" s="11" t="s">
        <v>9</v>
      </c>
    </row>
    <row r="4">
      <c r="A4" s="90"/>
      <c r="B4" s="56" t="s">
        <v>2039</v>
      </c>
      <c r="C4" s="57" t="s">
        <v>425</v>
      </c>
      <c r="D4" s="61" t="s">
        <v>2724</v>
      </c>
      <c r="E4" s="11" t="s">
        <v>13</v>
      </c>
    </row>
    <row r="5">
      <c r="A5" s="90"/>
      <c r="B5" s="62" t="s">
        <v>2251</v>
      </c>
      <c r="C5" s="57" t="s">
        <v>195</v>
      </c>
      <c r="D5" s="62" t="s">
        <v>2722</v>
      </c>
      <c r="E5" s="11" t="s">
        <v>9</v>
      </c>
    </row>
    <row r="6">
      <c r="A6" s="90"/>
      <c r="B6" s="56" t="s">
        <v>2039</v>
      </c>
      <c r="C6" s="57" t="s">
        <v>292</v>
      </c>
      <c r="D6" s="62" t="s">
        <v>2723</v>
      </c>
      <c r="E6" s="11" t="s">
        <v>13</v>
      </c>
    </row>
    <row r="7">
      <c r="A7" s="90"/>
      <c r="B7" s="62" t="s">
        <v>2251</v>
      </c>
      <c r="C7" s="57" t="s">
        <v>196</v>
      </c>
      <c r="D7" s="61" t="s">
        <v>2724</v>
      </c>
      <c r="E7" s="11" t="s">
        <v>9</v>
      </c>
    </row>
    <row r="8">
      <c r="A8" s="90"/>
      <c r="B8" s="56" t="s">
        <v>2039</v>
      </c>
      <c r="C8" s="57" t="s">
        <v>193</v>
      </c>
      <c r="D8" s="62" t="s">
        <v>2722</v>
      </c>
      <c r="E8" s="11" t="s">
        <v>13</v>
      </c>
    </row>
    <row r="9">
      <c r="A9" s="90"/>
      <c r="B9" s="62" t="s">
        <v>2251</v>
      </c>
      <c r="C9" s="57" t="s">
        <v>269</v>
      </c>
      <c r="D9" s="62" t="s">
        <v>2723</v>
      </c>
      <c r="E9" s="11" t="s">
        <v>9</v>
      </c>
    </row>
    <row r="10">
      <c r="A10" s="90"/>
      <c r="B10" s="61" t="s">
        <v>2724</v>
      </c>
      <c r="C10" s="57" t="s">
        <v>219</v>
      </c>
      <c r="D10" s="62" t="s">
        <v>2722</v>
      </c>
      <c r="E10" s="11" t="s">
        <v>13</v>
      </c>
    </row>
    <row r="11">
      <c r="A11" s="90"/>
      <c r="B11" s="62" t="s">
        <v>2251</v>
      </c>
      <c r="C11" s="57" t="s">
        <v>155</v>
      </c>
      <c r="D11" s="56" t="s">
        <v>2039</v>
      </c>
      <c r="E11" s="11" t="s">
        <v>9</v>
      </c>
    </row>
    <row r="12">
      <c r="A12" s="90"/>
      <c r="B12" s="61" t="s">
        <v>2724</v>
      </c>
      <c r="C12" s="57" t="s">
        <v>184</v>
      </c>
      <c r="D12" s="62" t="s">
        <v>2723</v>
      </c>
      <c r="E12" s="11" t="s">
        <v>13</v>
      </c>
    </row>
    <row r="13">
      <c r="A13" s="90"/>
      <c r="B13" s="62" t="s">
        <v>2723</v>
      </c>
      <c r="C13" s="57" t="s">
        <v>208</v>
      </c>
      <c r="D13" s="62" t="s">
        <v>2722</v>
      </c>
      <c r="E13" s="11" t="s">
        <v>9</v>
      </c>
    </row>
    <row r="14">
      <c r="A14" s="90"/>
      <c r="B14" s="61" t="s">
        <v>2724</v>
      </c>
      <c r="C14" s="57" t="s">
        <v>177</v>
      </c>
      <c r="D14" s="56" t="s">
        <v>2039</v>
      </c>
      <c r="E14" s="11" t="s">
        <v>13</v>
      </c>
    </row>
    <row r="15">
      <c r="A15" s="90"/>
      <c r="B15" s="62" t="s">
        <v>2722</v>
      </c>
      <c r="C15" s="45" t="s">
        <v>248</v>
      </c>
      <c r="D15" s="62" t="s">
        <v>2251</v>
      </c>
      <c r="E15" s="11" t="s">
        <v>9</v>
      </c>
    </row>
    <row r="16">
      <c r="A16" s="90"/>
      <c r="B16" s="62" t="s">
        <v>2723</v>
      </c>
      <c r="C16" s="45" t="s">
        <v>357</v>
      </c>
      <c r="D16" s="56" t="s">
        <v>2039</v>
      </c>
      <c r="E16" s="11" t="s">
        <v>13</v>
      </c>
    </row>
    <row r="17">
      <c r="A17" s="90"/>
      <c r="B17" s="61" t="s">
        <v>2724</v>
      </c>
      <c r="C17" s="45" t="s">
        <v>16</v>
      </c>
      <c r="D17" s="62" t="s">
        <v>2251</v>
      </c>
      <c r="E17" s="11" t="s">
        <v>9</v>
      </c>
    </row>
    <row r="18">
      <c r="A18" s="90"/>
      <c r="B18" s="62" t="s">
        <v>2722</v>
      </c>
      <c r="C18" s="45" t="s">
        <v>301</v>
      </c>
      <c r="D18" s="56" t="s">
        <v>2039</v>
      </c>
      <c r="E18" s="11" t="s">
        <v>13</v>
      </c>
    </row>
    <row r="19">
      <c r="A19" s="90"/>
      <c r="B19" s="62" t="s">
        <v>2723</v>
      </c>
      <c r="C19" s="45" t="s">
        <v>209</v>
      </c>
      <c r="D19" s="62" t="s">
        <v>2251</v>
      </c>
      <c r="E19" s="11" t="s">
        <v>9</v>
      </c>
    </row>
    <row r="20">
      <c r="A20" s="90"/>
      <c r="B20" s="62" t="s">
        <v>2722</v>
      </c>
      <c r="C20" s="45" t="s">
        <v>161</v>
      </c>
      <c r="D20" s="61" t="s">
        <v>2724</v>
      </c>
      <c r="E20" s="11" t="s">
        <v>13</v>
      </c>
    </row>
    <row r="21">
      <c r="A21" s="90"/>
      <c r="B21" s="56" t="s">
        <v>2039</v>
      </c>
      <c r="C21" s="45" t="s">
        <v>7</v>
      </c>
      <c r="D21" s="62" t="s">
        <v>2251</v>
      </c>
      <c r="E21" s="11" t="s">
        <v>9</v>
      </c>
    </row>
    <row r="22">
      <c r="A22" s="90"/>
      <c r="B22" s="62" t="s">
        <v>2723</v>
      </c>
      <c r="C22" s="45" t="s">
        <v>233</v>
      </c>
      <c r="D22" s="61" t="s">
        <v>2724</v>
      </c>
      <c r="E22" s="11" t="s">
        <v>13</v>
      </c>
    </row>
    <row r="23">
      <c r="A23" s="90"/>
      <c r="B23" s="1" t="s">
        <v>2631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1766</v>
      </c>
      <c r="C25" s="57" t="s">
        <v>24</v>
      </c>
      <c r="D25" s="62" t="s">
        <v>2725</v>
      </c>
      <c r="E25" s="11" t="s">
        <v>9</v>
      </c>
    </row>
    <row r="26">
      <c r="A26" s="90"/>
      <c r="B26" s="56" t="s">
        <v>2726</v>
      </c>
      <c r="C26" s="57" t="s">
        <v>418</v>
      </c>
      <c r="D26" s="61" t="s">
        <v>2727</v>
      </c>
      <c r="E26" s="11" t="s">
        <v>13</v>
      </c>
    </row>
    <row r="27">
      <c r="A27" s="90"/>
      <c r="B27" s="62" t="s">
        <v>2728</v>
      </c>
      <c r="C27" s="57" t="s">
        <v>229</v>
      </c>
      <c r="D27" s="62" t="s">
        <v>1766</v>
      </c>
      <c r="E27" s="11" t="s">
        <v>9</v>
      </c>
    </row>
    <row r="28">
      <c r="A28" s="90"/>
      <c r="B28" s="56" t="s">
        <v>2726</v>
      </c>
      <c r="C28" s="57" t="s">
        <v>165</v>
      </c>
      <c r="D28" s="62" t="s">
        <v>2725</v>
      </c>
      <c r="E28" s="11" t="s">
        <v>13</v>
      </c>
    </row>
    <row r="29">
      <c r="A29" s="90"/>
      <c r="B29" s="62" t="s">
        <v>2728</v>
      </c>
      <c r="C29" s="57" t="s">
        <v>173</v>
      </c>
      <c r="D29" s="61" t="s">
        <v>2727</v>
      </c>
      <c r="E29" s="11" t="s">
        <v>9</v>
      </c>
    </row>
    <row r="30">
      <c r="A30" s="90"/>
      <c r="B30" s="56" t="s">
        <v>2726</v>
      </c>
      <c r="C30" s="57" t="s">
        <v>210</v>
      </c>
      <c r="D30" s="62" t="s">
        <v>1766</v>
      </c>
      <c r="E30" s="11" t="s">
        <v>13</v>
      </c>
    </row>
    <row r="31">
      <c r="A31" s="90"/>
      <c r="B31" s="62" t="s">
        <v>2728</v>
      </c>
      <c r="C31" s="57" t="s">
        <v>17</v>
      </c>
      <c r="D31" s="62" t="s">
        <v>2725</v>
      </c>
      <c r="E31" s="11" t="s">
        <v>9</v>
      </c>
    </row>
    <row r="32">
      <c r="A32" s="90"/>
      <c r="B32" s="61" t="s">
        <v>2727</v>
      </c>
      <c r="C32" s="57" t="s">
        <v>256</v>
      </c>
      <c r="D32" s="62" t="s">
        <v>1766</v>
      </c>
      <c r="E32" s="11" t="s">
        <v>13</v>
      </c>
    </row>
    <row r="33">
      <c r="A33" s="90"/>
      <c r="B33" s="62" t="s">
        <v>2728</v>
      </c>
      <c r="C33" s="57" t="s">
        <v>17</v>
      </c>
      <c r="D33" s="56" t="s">
        <v>2726</v>
      </c>
      <c r="E33" s="11" t="s">
        <v>9</v>
      </c>
    </row>
    <row r="34">
      <c r="A34" s="90"/>
      <c r="B34" s="61" t="s">
        <v>2727</v>
      </c>
      <c r="C34" s="57" t="s">
        <v>219</v>
      </c>
      <c r="D34" s="62" t="s">
        <v>2725</v>
      </c>
      <c r="E34" s="11" t="s">
        <v>13</v>
      </c>
    </row>
    <row r="35">
      <c r="A35" s="90"/>
      <c r="B35" s="62" t="s">
        <v>2725</v>
      </c>
      <c r="C35" s="57" t="s">
        <v>155</v>
      </c>
      <c r="D35" s="62" t="s">
        <v>1766</v>
      </c>
      <c r="E35" s="11" t="s">
        <v>9</v>
      </c>
    </row>
    <row r="36">
      <c r="A36" s="90"/>
      <c r="B36" s="61" t="s">
        <v>2727</v>
      </c>
      <c r="C36" s="57" t="s">
        <v>314</v>
      </c>
      <c r="D36" s="56" t="s">
        <v>2726</v>
      </c>
      <c r="E36" s="11" t="s">
        <v>13</v>
      </c>
    </row>
    <row r="37">
      <c r="A37" s="90"/>
      <c r="B37" s="62" t="s">
        <v>1766</v>
      </c>
      <c r="C37" s="45" t="s">
        <v>301</v>
      </c>
      <c r="D37" s="62" t="s">
        <v>2728</v>
      </c>
      <c r="E37" s="11" t="s">
        <v>9</v>
      </c>
    </row>
    <row r="38">
      <c r="A38" s="90"/>
      <c r="B38" s="62" t="s">
        <v>2725</v>
      </c>
      <c r="C38" s="45" t="s">
        <v>301</v>
      </c>
      <c r="D38" s="56" t="s">
        <v>2726</v>
      </c>
      <c r="E38" s="11" t="s">
        <v>13</v>
      </c>
    </row>
    <row r="39">
      <c r="A39" s="90"/>
      <c r="B39" s="61" t="s">
        <v>2727</v>
      </c>
      <c r="C39" s="45" t="s">
        <v>335</v>
      </c>
      <c r="D39" s="62" t="s">
        <v>2728</v>
      </c>
      <c r="E39" s="11" t="s">
        <v>9</v>
      </c>
    </row>
    <row r="40">
      <c r="A40" s="90"/>
      <c r="B40" s="62" t="s">
        <v>1766</v>
      </c>
      <c r="C40" s="45" t="s">
        <v>250</v>
      </c>
      <c r="D40" s="56" t="s">
        <v>2726</v>
      </c>
      <c r="E40" s="11" t="s">
        <v>13</v>
      </c>
    </row>
    <row r="41">
      <c r="A41" s="90"/>
      <c r="B41" s="62" t="s">
        <v>2725</v>
      </c>
      <c r="C41" s="45" t="s">
        <v>554</v>
      </c>
      <c r="D41" s="62" t="s">
        <v>2728</v>
      </c>
      <c r="E41" s="11" t="s">
        <v>9</v>
      </c>
    </row>
    <row r="42">
      <c r="A42" s="90"/>
      <c r="B42" s="62" t="s">
        <v>1766</v>
      </c>
      <c r="C42" s="45" t="s">
        <v>573</v>
      </c>
      <c r="D42" s="61" t="s">
        <v>2727</v>
      </c>
      <c r="E42" s="11" t="s">
        <v>13</v>
      </c>
    </row>
    <row r="43">
      <c r="A43" s="90"/>
      <c r="B43" s="56" t="s">
        <v>2726</v>
      </c>
      <c r="C43" s="45" t="s">
        <v>268</v>
      </c>
      <c r="D43" s="62" t="s">
        <v>2728</v>
      </c>
      <c r="E43" s="11" t="s">
        <v>9</v>
      </c>
    </row>
    <row r="44">
      <c r="A44" s="91"/>
      <c r="B44" s="62" t="s">
        <v>2725</v>
      </c>
      <c r="C44" s="45" t="s">
        <v>205</v>
      </c>
      <c r="D44" s="61" t="s">
        <v>2727</v>
      </c>
      <c r="E44" s="11" t="s">
        <v>13</v>
      </c>
    </row>
    <row r="45">
      <c r="B45" s="1" t="s">
        <v>1777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2637</v>
      </c>
      <c r="C47" s="45" t="s">
        <v>16</v>
      </c>
      <c r="D47" s="61" t="s">
        <v>2423</v>
      </c>
      <c r="E47" s="11" t="s">
        <v>9</v>
      </c>
    </row>
    <row r="48">
      <c r="B48" s="61" t="s">
        <v>2729</v>
      </c>
      <c r="C48" s="45" t="s">
        <v>16</v>
      </c>
      <c r="D48" s="61" t="s">
        <v>2640</v>
      </c>
      <c r="E48" s="11" t="s">
        <v>13</v>
      </c>
    </row>
    <row r="49">
      <c r="B49" s="61" t="s">
        <v>2730</v>
      </c>
      <c r="C49" s="45" t="s">
        <v>173</v>
      </c>
      <c r="D49" s="61" t="s">
        <v>2637</v>
      </c>
      <c r="E49" s="11" t="s">
        <v>9</v>
      </c>
    </row>
    <row r="50">
      <c r="B50" s="61" t="s">
        <v>2729</v>
      </c>
      <c r="C50" s="45" t="s">
        <v>11</v>
      </c>
      <c r="D50" s="61" t="s">
        <v>2423</v>
      </c>
      <c r="E50" s="11" t="s">
        <v>13</v>
      </c>
    </row>
    <row r="51">
      <c r="B51" s="61" t="s">
        <v>2730</v>
      </c>
      <c r="C51" s="45" t="s">
        <v>164</v>
      </c>
      <c r="D51" s="61" t="s">
        <v>2640</v>
      </c>
      <c r="E51" s="11" t="s">
        <v>9</v>
      </c>
    </row>
    <row r="52">
      <c r="B52" s="61" t="s">
        <v>2729</v>
      </c>
      <c r="C52" s="45" t="s">
        <v>442</v>
      </c>
      <c r="D52" s="61" t="s">
        <v>2637</v>
      </c>
      <c r="E52" s="11" t="s">
        <v>13</v>
      </c>
    </row>
    <row r="53">
      <c r="B53" s="61" t="s">
        <v>2730</v>
      </c>
      <c r="C53" s="45" t="s">
        <v>7</v>
      </c>
      <c r="D53" s="61" t="s">
        <v>2423</v>
      </c>
      <c r="E53" s="11" t="s">
        <v>9</v>
      </c>
    </row>
    <row r="54">
      <c r="B54" s="61" t="s">
        <v>2640</v>
      </c>
      <c r="C54" s="45" t="s">
        <v>14</v>
      </c>
      <c r="D54" s="61" t="s">
        <v>2637</v>
      </c>
      <c r="E54" s="11" t="s">
        <v>13</v>
      </c>
    </row>
    <row r="55">
      <c r="B55" s="61" t="s">
        <v>2730</v>
      </c>
      <c r="C55" s="45" t="s">
        <v>324</v>
      </c>
      <c r="D55" s="61" t="s">
        <v>2729</v>
      </c>
      <c r="E55" s="11" t="s">
        <v>9</v>
      </c>
    </row>
    <row r="56">
      <c r="B56" s="61" t="s">
        <v>2640</v>
      </c>
      <c r="C56" s="45" t="s">
        <v>194</v>
      </c>
      <c r="D56" s="61" t="s">
        <v>2423</v>
      </c>
      <c r="E56" s="11" t="s">
        <v>13</v>
      </c>
    </row>
    <row r="57">
      <c r="B57" s="61" t="s">
        <v>2423</v>
      </c>
      <c r="C57" s="45" t="s">
        <v>19</v>
      </c>
      <c r="D57" s="61" t="s">
        <v>2637</v>
      </c>
      <c r="E57" s="11" t="s">
        <v>9</v>
      </c>
    </row>
    <row r="58">
      <c r="B58" s="61" t="s">
        <v>2640</v>
      </c>
      <c r="C58" s="45" t="s">
        <v>464</v>
      </c>
      <c r="D58" s="61" t="s">
        <v>2729</v>
      </c>
      <c r="E58" s="11" t="s">
        <v>13</v>
      </c>
    </row>
    <row r="59">
      <c r="B59" s="61" t="s">
        <v>2637</v>
      </c>
      <c r="C59" s="45" t="s">
        <v>41</v>
      </c>
      <c r="D59" s="61" t="s">
        <v>2730</v>
      </c>
      <c r="E59" s="11" t="s">
        <v>9</v>
      </c>
    </row>
    <row r="60">
      <c r="B60" s="61" t="s">
        <v>2423</v>
      </c>
      <c r="C60" s="45" t="s">
        <v>208</v>
      </c>
      <c r="D60" s="61" t="s">
        <v>2729</v>
      </c>
      <c r="E60" s="11" t="s">
        <v>13</v>
      </c>
    </row>
    <row r="61">
      <c r="B61" s="61" t="s">
        <v>2640</v>
      </c>
      <c r="C61" s="45" t="s">
        <v>195</v>
      </c>
      <c r="D61" s="61" t="s">
        <v>2730</v>
      </c>
      <c r="E61" s="11" t="s">
        <v>9</v>
      </c>
    </row>
    <row r="62">
      <c r="B62" s="61" t="s">
        <v>2637</v>
      </c>
      <c r="C62" s="45" t="s">
        <v>744</v>
      </c>
      <c r="D62" s="61" t="s">
        <v>2729</v>
      </c>
      <c r="E62" s="11" t="s">
        <v>13</v>
      </c>
    </row>
    <row r="63">
      <c r="B63" s="61" t="s">
        <v>2423</v>
      </c>
      <c r="C63" s="45" t="s">
        <v>279</v>
      </c>
      <c r="D63" s="61" t="s">
        <v>2730</v>
      </c>
      <c r="E63" s="11" t="s">
        <v>9</v>
      </c>
    </row>
    <row r="64">
      <c r="B64" s="61" t="s">
        <v>2637</v>
      </c>
      <c r="C64" s="45" t="s">
        <v>42</v>
      </c>
      <c r="D64" s="61" t="s">
        <v>2640</v>
      </c>
      <c r="E64" s="11" t="s">
        <v>13</v>
      </c>
    </row>
    <row r="65">
      <c r="B65" s="61" t="s">
        <v>2729</v>
      </c>
      <c r="C65" s="45" t="s">
        <v>173</v>
      </c>
      <c r="D65" s="61" t="s">
        <v>2730</v>
      </c>
      <c r="E65" s="11" t="s">
        <v>9</v>
      </c>
    </row>
    <row r="66">
      <c r="B66" s="61" t="s">
        <v>2423</v>
      </c>
      <c r="C66" s="45" t="s">
        <v>209</v>
      </c>
      <c r="D66" s="61" t="s">
        <v>2640</v>
      </c>
      <c r="E66" s="11" t="s">
        <v>13</v>
      </c>
    </row>
    <row r="67">
      <c r="B67" s="1" t="s">
        <v>2207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2731</v>
      </c>
      <c r="C69" s="45" t="s">
        <v>195</v>
      </c>
      <c r="D69" s="61" t="s">
        <v>2732</v>
      </c>
      <c r="E69" s="11" t="s">
        <v>9</v>
      </c>
    </row>
    <row r="70">
      <c r="B70" s="61" t="s">
        <v>2733</v>
      </c>
      <c r="C70" s="45" t="s">
        <v>237</v>
      </c>
      <c r="D70" s="61" t="s">
        <v>787</v>
      </c>
      <c r="E70" s="11" t="s">
        <v>13</v>
      </c>
    </row>
    <row r="71">
      <c r="B71" s="61" t="s">
        <v>2734</v>
      </c>
      <c r="C71" s="45" t="s">
        <v>338</v>
      </c>
      <c r="D71" s="61" t="s">
        <v>2731</v>
      </c>
      <c r="E71" s="11" t="s">
        <v>9</v>
      </c>
    </row>
    <row r="72">
      <c r="B72" s="61" t="s">
        <v>2733</v>
      </c>
      <c r="C72" s="45" t="s">
        <v>158</v>
      </c>
      <c r="D72" s="61" t="s">
        <v>2732</v>
      </c>
      <c r="E72" s="11" t="s">
        <v>13</v>
      </c>
    </row>
    <row r="73">
      <c r="B73" s="61" t="s">
        <v>2734</v>
      </c>
      <c r="C73" s="45" t="s">
        <v>1189</v>
      </c>
      <c r="D73" s="61" t="s">
        <v>787</v>
      </c>
      <c r="E73" s="11" t="s">
        <v>9</v>
      </c>
    </row>
    <row r="74">
      <c r="B74" s="61" t="s">
        <v>2733</v>
      </c>
      <c r="C74" s="45" t="s">
        <v>1970</v>
      </c>
      <c r="D74" s="61" t="s">
        <v>2731</v>
      </c>
      <c r="E74" s="11" t="s">
        <v>13</v>
      </c>
    </row>
    <row r="75">
      <c r="B75" s="61" t="s">
        <v>2734</v>
      </c>
      <c r="C75" s="45" t="s">
        <v>193</v>
      </c>
      <c r="D75" s="61" t="s">
        <v>2732</v>
      </c>
      <c r="E75" s="11" t="s">
        <v>9</v>
      </c>
    </row>
    <row r="76">
      <c r="B76" s="61" t="s">
        <v>787</v>
      </c>
      <c r="C76" s="45" t="s">
        <v>41</v>
      </c>
      <c r="D76" s="61" t="s">
        <v>2731</v>
      </c>
      <c r="E76" s="11" t="s">
        <v>13</v>
      </c>
    </row>
    <row r="77">
      <c r="B77" s="61" t="s">
        <v>2734</v>
      </c>
      <c r="C77" s="45" t="s">
        <v>301</v>
      </c>
      <c r="D77" s="61" t="s">
        <v>2733</v>
      </c>
      <c r="E77" s="11" t="s">
        <v>9</v>
      </c>
    </row>
    <row r="78">
      <c r="B78" s="61" t="s">
        <v>787</v>
      </c>
      <c r="C78" s="45" t="s">
        <v>20</v>
      </c>
      <c r="D78" s="61" t="s">
        <v>2732</v>
      </c>
      <c r="E78" s="11" t="s">
        <v>13</v>
      </c>
    </row>
    <row r="79">
      <c r="B79" s="61" t="s">
        <v>2732</v>
      </c>
      <c r="C79" s="45" t="s">
        <v>425</v>
      </c>
      <c r="D79" s="61" t="s">
        <v>2731</v>
      </c>
      <c r="E79" s="11" t="s">
        <v>9</v>
      </c>
    </row>
    <row r="80">
      <c r="B80" s="61" t="s">
        <v>787</v>
      </c>
      <c r="C80" s="45" t="s">
        <v>219</v>
      </c>
      <c r="D80" s="61" t="s">
        <v>2733</v>
      </c>
      <c r="E80" s="11" t="s">
        <v>13</v>
      </c>
    </row>
    <row r="81">
      <c r="B81" s="61" t="s">
        <v>2731</v>
      </c>
      <c r="C81" s="45" t="s">
        <v>352</v>
      </c>
      <c r="D81" s="61" t="s">
        <v>2734</v>
      </c>
      <c r="E81" s="11" t="s">
        <v>9</v>
      </c>
    </row>
    <row r="82">
      <c r="B82" s="61" t="s">
        <v>2732</v>
      </c>
      <c r="C82" s="45" t="s">
        <v>164</v>
      </c>
      <c r="D82" s="61" t="s">
        <v>2733</v>
      </c>
      <c r="E82" s="11" t="s">
        <v>13</v>
      </c>
    </row>
    <row r="83">
      <c r="B83" s="61" t="s">
        <v>787</v>
      </c>
      <c r="C83" s="45" t="s">
        <v>177</v>
      </c>
      <c r="D83" s="61" t="s">
        <v>2734</v>
      </c>
      <c r="E83" s="11" t="s">
        <v>9</v>
      </c>
    </row>
    <row r="84">
      <c r="B84" s="61" t="s">
        <v>2731</v>
      </c>
      <c r="C84" s="45" t="s">
        <v>375</v>
      </c>
      <c r="D84" s="61" t="s">
        <v>2733</v>
      </c>
      <c r="E84" s="11" t="s">
        <v>13</v>
      </c>
    </row>
    <row r="85">
      <c r="B85" s="61" t="s">
        <v>2732</v>
      </c>
      <c r="C85" s="45" t="s">
        <v>18</v>
      </c>
      <c r="D85" s="61" t="s">
        <v>2734</v>
      </c>
      <c r="E85" s="11" t="s">
        <v>9</v>
      </c>
    </row>
    <row r="86">
      <c r="B86" s="61" t="s">
        <v>2731</v>
      </c>
      <c r="C86" s="45" t="s">
        <v>233</v>
      </c>
      <c r="D86" s="61" t="s">
        <v>787</v>
      </c>
      <c r="E86" s="11" t="s">
        <v>13</v>
      </c>
    </row>
    <row r="87">
      <c r="B87" s="61" t="s">
        <v>2733</v>
      </c>
      <c r="C87" s="45" t="s">
        <v>2050</v>
      </c>
      <c r="D87" s="61" t="s">
        <v>2734</v>
      </c>
      <c r="E87" s="11" t="s">
        <v>9</v>
      </c>
    </row>
    <row r="88">
      <c r="B88" s="61" t="s">
        <v>2732</v>
      </c>
      <c r="C88" s="45" t="s">
        <v>251</v>
      </c>
      <c r="D88" s="61" t="s">
        <v>787</v>
      </c>
      <c r="E88" s="11" t="s">
        <v>13</v>
      </c>
    </row>
    <row r="89">
      <c r="B89" s="1" t="s">
        <v>2735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2736</v>
      </c>
      <c r="C91" s="57" t="s">
        <v>219</v>
      </c>
      <c r="D91" s="61" t="s">
        <v>2737</v>
      </c>
      <c r="E91" s="11" t="s">
        <v>29</v>
      </c>
    </row>
    <row r="92">
      <c r="B92" s="61" t="s">
        <v>2738</v>
      </c>
      <c r="C92" s="57" t="s">
        <v>477</v>
      </c>
      <c r="D92" s="61" t="s">
        <v>2739</v>
      </c>
      <c r="E92" s="11" t="s">
        <v>33</v>
      </c>
      <c r="J92" s="50" t="s">
        <v>861</v>
      </c>
    </row>
    <row r="93">
      <c r="B93" s="61" t="s">
        <v>2740</v>
      </c>
      <c r="C93" s="57" t="s">
        <v>19</v>
      </c>
      <c r="D93" s="61" t="s">
        <v>2736</v>
      </c>
      <c r="E93" s="11" t="s">
        <v>29</v>
      </c>
    </row>
    <row r="94">
      <c r="B94" s="61" t="s">
        <v>2738</v>
      </c>
      <c r="C94" s="57" t="s">
        <v>164</v>
      </c>
      <c r="D94" s="61" t="s">
        <v>2737</v>
      </c>
      <c r="E94" s="11" t="s">
        <v>33</v>
      </c>
    </row>
    <row r="95">
      <c r="B95" s="61" t="s">
        <v>2740</v>
      </c>
      <c r="C95" s="57" t="s">
        <v>250</v>
      </c>
      <c r="D95" s="61" t="s">
        <v>2739</v>
      </c>
      <c r="E95" s="11" t="s">
        <v>29</v>
      </c>
    </row>
    <row r="96">
      <c r="B96" s="61" t="s">
        <v>2738</v>
      </c>
      <c r="C96" s="57" t="s">
        <v>166</v>
      </c>
      <c r="D96" s="61" t="s">
        <v>2736</v>
      </c>
      <c r="E96" s="11" t="s">
        <v>33</v>
      </c>
    </row>
    <row r="97">
      <c r="B97" s="61" t="s">
        <v>2740</v>
      </c>
      <c r="C97" s="57" t="s">
        <v>41</v>
      </c>
      <c r="D97" s="61" t="s">
        <v>2737</v>
      </c>
      <c r="E97" s="11" t="s">
        <v>29</v>
      </c>
      <c r="L97" s="50" t="s">
        <v>861</v>
      </c>
    </row>
    <row r="98">
      <c r="B98" s="61" t="s">
        <v>2739</v>
      </c>
      <c r="C98" s="57" t="s">
        <v>23</v>
      </c>
      <c r="D98" s="61" t="s">
        <v>2736</v>
      </c>
      <c r="E98" s="11" t="s">
        <v>33</v>
      </c>
    </row>
    <row r="99">
      <c r="B99" s="61" t="s">
        <v>2740</v>
      </c>
      <c r="C99" s="57" t="s">
        <v>836</v>
      </c>
      <c r="D99" s="61" t="s">
        <v>2738</v>
      </c>
      <c r="E99" s="11" t="s">
        <v>29</v>
      </c>
    </row>
    <row r="100">
      <c r="B100" s="61" t="s">
        <v>2739</v>
      </c>
      <c r="C100" s="57" t="s">
        <v>158</v>
      </c>
      <c r="D100" s="61" t="s">
        <v>2737</v>
      </c>
      <c r="E100" s="11" t="s">
        <v>33</v>
      </c>
    </row>
    <row r="101">
      <c r="B101" s="61" t="s">
        <v>2737</v>
      </c>
      <c r="C101" s="57" t="s">
        <v>163</v>
      </c>
      <c r="D101" s="61" t="s">
        <v>2736</v>
      </c>
      <c r="E101" s="11" t="s">
        <v>29</v>
      </c>
    </row>
    <row r="102">
      <c r="B102" s="61" t="s">
        <v>2739</v>
      </c>
      <c r="C102" s="57" t="s">
        <v>173</v>
      </c>
      <c r="D102" s="61" t="s">
        <v>2738</v>
      </c>
      <c r="E102" s="11" t="s">
        <v>33</v>
      </c>
    </row>
    <row r="103">
      <c r="B103" s="61" t="s">
        <v>2736</v>
      </c>
      <c r="C103" s="45" t="s">
        <v>165</v>
      </c>
      <c r="D103" s="61" t="s">
        <v>2740</v>
      </c>
      <c r="E103" s="11" t="s">
        <v>29</v>
      </c>
    </row>
    <row r="104">
      <c r="B104" s="61" t="s">
        <v>2737</v>
      </c>
      <c r="C104" s="45" t="s">
        <v>251</v>
      </c>
      <c r="D104" s="61" t="s">
        <v>2738</v>
      </c>
      <c r="E104" s="11" t="s">
        <v>33</v>
      </c>
    </row>
    <row r="105">
      <c r="B105" s="61" t="s">
        <v>2739</v>
      </c>
      <c r="C105" s="45" t="s">
        <v>216</v>
      </c>
      <c r="D105" s="61" t="s">
        <v>2740</v>
      </c>
      <c r="E105" s="11" t="s">
        <v>29</v>
      </c>
    </row>
    <row r="106">
      <c r="B106" s="61" t="s">
        <v>2736</v>
      </c>
      <c r="C106" s="45" t="s">
        <v>155</v>
      </c>
      <c r="D106" s="61" t="s">
        <v>2738</v>
      </c>
      <c r="E106" s="11" t="s">
        <v>33</v>
      </c>
    </row>
    <row r="107">
      <c r="B107" s="61" t="s">
        <v>2737</v>
      </c>
      <c r="C107" s="45" t="s">
        <v>250</v>
      </c>
      <c r="D107" s="61" t="s">
        <v>2740</v>
      </c>
      <c r="E107" s="11" t="s">
        <v>29</v>
      </c>
    </row>
    <row r="108">
      <c r="B108" s="61" t="s">
        <v>2736</v>
      </c>
      <c r="C108" s="45" t="s">
        <v>196</v>
      </c>
      <c r="D108" s="61" t="s">
        <v>2739</v>
      </c>
      <c r="E108" s="11" t="s">
        <v>33</v>
      </c>
    </row>
    <row r="109">
      <c r="B109" s="61" t="s">
        <v>2738</v>
      </c>
      <c r="C109" s="45" t="s">
        <v>41</v>
      </c>
      <c r="D109" s="61" t="s">
        <v>2740</v>
      </c>
      <c r="E109" s="11" t="s">
        <v>29</v>
      </c>
    </row>
    <row r="110">
      <c r="B110" s="61" t="s">
        <v>2737</v>
      </c>
      <c r="C110" s="45" t="s">
        <v>165</v>
      </c>
      <c r="D110" s="61" t="s">
        <v>2739</v>
      </c>
      <c r="E110" s="11" t="s">
        <v>33</v>
      </c>
    </row>
    <row r="111">
      <c r="B111" s="1" t="s">
        <v>2741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2742</v>
      </c>
      <c r="C113" s="57" t="s">
        <v>251</v>
      </c>
      <c r="D113" s="61" t="s">
        <v>2743</v>
      </c>
      <c r="E113" s="11" t="s">
        <v>29</v>
      </c>
    </row>
    <row r="114">
      <c r="B114" s="61" t="s">
        <v>2015</v>
      </c>
      <c r="C114" s="57" t="s">
        <v>158</v>
      </c>
      <c r="D114" s="61" t="s">
        <v>2744</v>
      </c>
      <c r="E114" s="11" t="s">
        <v>33</v>
      </c>
    </row>
    <row r="115">
      <c r="B115" s="61" t="s">
        <v>1838</v>
      </c>
      <c r="C115" s="57" t="s">
        <v>165</v>
      </c>
      <c r="D115" s="61" t="s">
        <v>2742</v>
      </c>
      <c r="E115" s="11" t="s">
        <v>29</v>
      </c>
    </row>
    <row r="116">
      <c r="B116" s="61" t="s">
        <v>2015</v>
      </c>
      <c r="C116" s="57" t="s">
        <v>271</v>
      </c>
      <c r="D116" s="61" t="s">
        <v>2743</v>
      </c>
      <c r="E116" s="11" t="s">
        <v>33</v>
      </c>
    </row>
    <row r="117">
      <c r="B117" s="61" t="s">
        <v>1838</v>
      </c>
      <c r="C117" s="57" t="s">
        <v>791</v>
      </c>
      <c r="D117" s="61" t="s">
        <v>2744</v>
      </c>
      <c r="E117" s="11" t="s">
        <v>29</v>
      </c>
    </row>
    <row r="118">
      <c r="B118" s="61" t="s">
        <v>2015</v>
      </c>
      <c r="C118" s="57" t="s">
        <v>39</v>
      </c>
      <c r="D118" s="61" t="s">
        <v>2742</v>
      </c>
      <c r="E118" s="11" t="s">
        <v>33</v>
      </c>
    </row>
    <row r="119">
      <c r="B119" s="61" t="s">
        <v>1838</v>
      </c>
      <c r="C119" s="57" t="s">
        <v>14</v>
      </c>
      <c r="D119" s="61" t="s">
        <v>2743</v>
      </c>
      <c r="E119" s="11" t="s">
        <v>29</v>
      </c>
    </row>
    <row r="120">
      <c r="B120" s="61" t="s">
        <v>2744</v>
      </c>
      <c r="C120" s="57" t="s">
        <v>20</v>
      </c>
      <c r="D120" s="61" t="s">
        <v>2742</v>
      </c>
      <c r="E120" s="11" t="s">
        <v>33</v>
      </c>
    </row>
    <row r="121">
      <c r="B121" s="61" t="s">
        <v>1838</v>
      </c>
      <c r="C121" s="57" t="s">
        <v>610</v>
      </c>
      <c r="D121" s="61" t="s">
        <v>2015</v>
      </c>
      <c r="E121" s="11" t="s">
        <v>29</v>
      </c>
    </row>
    <row r="122">
      <c r="B122" s="61" t="s">
        <v>2744</v>
      </c>
      <c r="C122" s="57" t="s">
        <v>19</v>
      </c>
      <c r="D122" s="61" t="s">
        <v>2743</v>
      </c>
      <c r="E122" s="11" t="s">
        <v>33</v>
      </c>
    </row>
    <row r="123">
      <c r="B123" s="61" t="s">
        <v>2743</v>
      </c>
      <c r="C123" s="57" t="s">
        <v>362</v>
      </c>
      <c r="D123" s="61" t="s">
        <v>2742</v>
      </c>
      <c r="E123" s="11" t="s">
        <v>29</v>
      </c>
    </row>
    <row r="124">
      <c r="B124" s="61" t="s">
        <v>2744</v>
      </c>
      <c r="C124" s="57" t="s">
        <v>336</v>
      </c>
      <c r="D124" s="61" t="s">
        <v>2015</v>
      </c>
      <c r="E124" s="11" t="s">
        <v>33</v>
      </c>
    </row>
    <row r="125">
      <c r="B125" s="61" t="s">
        <v>2742</v>
      </c>
      <c r="C125" s="45" t="s">
        <v>177</v>
      </c>
      <c r="D125" s="61" t="s">
        <v>1838</v>
      </c>
      <c r="E125" s="11" t="s">
        <v>29</v>
      </c>
    </row>
    <row r="126">
      <c r="B126" s="61" t="s">
        <v>2743</v>
      </c>
      <c r="C126" s="45" t="s">
        <v>231</v>
      </c>
      <c r="D126" s="61" t="s">
        <v>2015</v>
      </c>
      <c r="E126" s="11" t="s">
        <v>33</v>
      </c>
    </row>
    <row r="127">
      <c r="B127" s="61" t="s">
        <v>2744</v>
      </c>
      <c r="C127" s="45" t="s">
        <v>233</v>
      </c>
      <c r="D127" s="61" t="s">
        <v>1838</v>
      </c>
      <c r="E127" s="11" t="s">
        <v>29</v>
      </c>
    </row>
    <row r="128">
      <c r="B128" s="61" t="s">
        <v>2742</v>
      </c>
      <c r="C128" s="45" t="s">
        <v>209</v>
      </c>
      <c r="D128" s="61" t="s">
        <v>2015</v>
      </c>
      <c r="E128" s="11" t="s">
        <v>33</v>
      </c>
    </row>
    <row r="129">
      <c r="B129" s="61" t="s">
        <v>2743</v>
      </c>
      <c r="C129" s="45" t="s">
        <v>20</v>
      </c>
      <c r="D129" s="61" t="s">
        <v>1838</v>
      </c>
      <c r="E129" s="11" t="s">
        <v>29</v>
      </c>
    </row>
    <row r="130">
      <c r="B130" s="61" t="s">
        <v>2742</v>
      </c>
      <c r="C130" s="45" t="s">
        <v>193</v>
      </c>
      <c r="D130" s="61" t="s">
        <v>2744</v>
      </c>
      <c r="E130" s="11" t="s">
        <v>33</v>
      </c>
    </row>
    <row r="131">
      <c r="B131" s="61" t="s">
        <v>2015</v>
      </c>
      <c r="C131" s="45" t="s">
        <v>525</v>
      </c>
      <c r="D131" s="61" t="s">
        <v>1838</v>
      </c>
      <c r="E131" s="11" t="s">
        <v>29</v>
      </c>
    </row>
    <row r="132">
      <c r="B132" s="61" t="s">
        <v>2743</v>
      </c>
      <c r="C132" s="45" t="s">
        <v>219</v>
      </c>
      <c r="D132" s="61" t="s">
        <v>2744</v>
      </c>
      <c r="E132" s="11" t="s">
        <v>33</v>
      </c>
    </row>
    <row r="133">
      <c r="B133" s="1" t="s">
        <v>2152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2077</v>
      </c>
      <c r="C135" s="45" t="s">
        <v>164</v>
      </c>
      <c r="D135" s="61" t="s">
        <v>2745</v>
      </c>
      <c r="E135" s="11" t="s">
        <v>9</v>
      </c>
    </row>
    <row r="136">
      <c r="B136" s="61" t="s">
        <v>617</v>
      </c>
      <c r="C136" s="45" t="s">
        <v>158</v>
      </c>
      <c r="D136" s="61" t="s">
        <v>1802</v>
      </c>
      <c r="E136" s="11" t="s">
        <v>13</v>
      </c>
    </row>
    <row r="137">
      <c r="B137" s="61" t="s">
        <v>134</v>
      </c>
      <c r="C137" s="45" t="s">
        <v>16</v>
      </c>
      <c r="D137" s="61" t="s">
        <v>2077</v>
      </c>
      <c r="E137" s="11" t="s">
        <v>9</v>
      </c>
    </row>
    <row r="138">
      <c r="B138" s="61" t="s">
        <v>617</v>
      </c>
      <c r="C138" s="45" t="s">
        <v>18</v>
      </c>
      <c r="D138" s="61" t="s">
        <v>2745</v>
      </c>
      <c r="E138" s="11" t="s">
        <v>13</v>
      </c>
    </row>
    <row r="139">
      <c r="B139" s="61" t="s">
        <v>134</v>
      </c>
      <c r="C139" s="45" t="s">
        <v>264</v>
      </c>
      <c r="D139" s="61" t="s">
        <v>1802</v>
      </c>
      <c r="E139" s="11" t="s">
        <v>9</v>
      </c>
    </row>
    <row r="140">
      <c r="B140" s="61" t="s">
        <v>617</v>
      </c>
      <c r="C140" s="45" t="s">
        <v>193</v>
      </c>
      <c r="D140" s="61" t="s">
        <v>2077</v>
      </c>
      <c r="E140" s="11" t="s">
        <v>13</v>
      </c>
    </row>
    <row r="141">
      <c r="B141" s="61" t="s">
        <v>134</v>
      </c>
      <c r="C141" s="45" t="s">
        <v>197</v>
      </c>
      <c r="D141" s="61" t="s">
        <v>2745</v>
      </c>
      <c r="E141" s="11" t="s">
        <v>9</v>
      </c>
    </row>
    <row r="142">
      <c r="B142" s="61" t="s">
        <v>1802</v>
      </c>
      <c r="C142" s="45" t="s">
        <v>344</v>
      </c>
      <c r="D142" s="61" t="s">
        <v>2077</v>
      </c>
      <c r="E142" s="11" t="s">
        <v>13</v>
      </c>
    </row>
    <row r="143">
      <c r="B143" s="61" t="s">
        <v>134</v>
      </c>
      <c r="C143" s="45" t="s">
        <v>20</v>
      </c>
      <c r="D143" s="61" t="s">
        <v>617</v>
      </c>
      <c r="E143" s="11" t="s">
        <v>9</v>
      </c>
    </row>
    <row r="144">
      <c r="B144" s="61" t="s">
        <v>1802</v>
      </c>
      <c r="C144" s="45" t="s">
        <v>23</v>
      </c>
      <c r="D144" s="61" t="s">
        <v>2745</v>
      </c>
      <c r="E144" s="11" t="s">
        <v>13</v>
      </c>
    </row>
    <row r="145">
      <c r="B145" s="61" t="s">
        <v>2745</v>
      </c>
      <c r="C145" s="45" t="s">
        <v>23</v>
      </c>
      <c r="D145" s="61" t="s">
        <v>2077</v>
      </c>
      <c r="E145" s="11" t="s">
        <v>9</v>
      </c>
    </row>
    <row r="146">
      <c r="B146" s="61" t="s">
        <v>1802</v>
      </c>
      <c r="C146" s="45" t="s">
        <v>11</v>
      </c>
      <c r="D146" s="61" t="s">
        <v>617</v>
      </c>
      <c r="E146" s="11" t="s">
        <v>13</v>
      </c>
    </row>
    <row r="147">
      <c r="B147" s="61" t="s">
        <v>2077</v>
      </c>
      <c r="C147" s="45" t="s">
        <v>166</v>
      </c>
      <c r="D147" s="61" t="s">
        <v>134</v>
      </c>
      <c r="E147" s="11" t="s">
        <v>9</v>
      </c>
    </row>
    <row r="148">
      <c r="B148" s="61" t="s">
        <v>2745</v>
      </c>
      <c r="C148" s="45" t="s">
        <v>18</v>
      </c>
      <c r="D148" s="61" t="s">
        <v>617</v>
      </c>
      <c r="E148" s="11" t="s">
        <v>13</v>
      </c>
    </row>
    <row r="149">
      <c r="B149" s="61" t="s">
        <v>1802</v>
      </c>
      <c r="C149" s="45" t="s">
        <v>18</v>
      </c>
      <c r="D149" s="61" t="s">
        <v>134</v>
      </c>
      <c r="E149" s="11" t="s">
        <v>9</v>
      </c>
    </row>
    <row r="150">
      <c r="B150" s="61" t="s">
        <v>2077</v>
      </c>
      <c r="C150" s="45" t="s">
        <v>195</v>
      </c>
      <c r="D150" s="61" t="s">
        <v>617</v>
      </c>
      <c r="E150" s="11" t="s">
        <v>13</v>
      </c>
    </row>
    <row r="151">
      <c r="B151" s="61" t="s">
        <v>2745</v>
      </c>
      <c r="C151" s="45" t="s">
        <v>184</v>
      </c>
      <c r="D151" s="61" t="s">
        <v>134</v>
      </c>
      <c r="E151" s="11" t="s">
        <v>9</v>
      </c>
    </row>
    <row r="152">
      <c r="B152" s="61" t="s">
        <v>2077</v>
      </c>
      <c r="C152" s="54" t="s">
        <v>198</v>
      </c>
      <c r="D152" s="61" t="s">
        <v>1802</v>
      </c>
      <c r="E152" s="11" t="s">
        <v>13</v>
      </c>
    </row>
    <row r="153">
      <c r="B153" s="61" t="s">
        <v>617</v>
      </c>
      <c r="C153" s="45" t="s">
        <v>20</v>
      </c>
      <c r="D153" s="61" t="s">
        <v>134</v>
      </c>
      <c r="E153" s="11" t="s">
        <v>9</v>
      </c>
    </row>
    <row r="154">
      <c r="B154" s="61" t="s">
        <v>2745</v>
      </c>
      <c r="C154" s="45" t="s">
        <v>7</v>
      </c>
      <c r="D154" s="61" t="s">
        <v>1802</v>
      </c>
      <c r="E154" s="11" t="s">
        <v>13</v>
      </c>
    </row>
    <row r="155">
      <c r="B155" s="1" t="s">
        <v>1803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2746</v>
      </c>
      <c r="C157" s="45" t="s">
        <v>38</v>
      </c>
      <c r="D157" s="61" t="s">
        <v>2747</v>
      </c>
      <c r="E157" s="11" t="s">
        <v>9</v>
      </c>
    </row>
    <row r="158">
      <c r="B158" s="61" t="s">
        <v>1984</v>
      </c>
      <c r="C158" s="45" t="s">
        <v>7</v>
      </c>
      <c r="D158" s="61" t="s">
        <v>1489</v>
      </c>
      <c r="E158" s="11" t="s">
        <v>13</v>
      </c>
    </row>
    <row r="159">
      <c r="B159" s="61" t="s">
        <v>1203</v>
      </c>
      <c r="C159" s="45" t="s">
        <v>566</v>
      </c>
      <c r="D159" s="61" t="s">
        <v>2746</v>
      </c>
      <c r="E159" s="11" t="s">
        <v>9</v>
      </c>
    </row>
    <row r="160">
      <c r="B160" s="61" t="s">
        <v>1984</v>
      </c>
      <c r="C160" s="45" t="s">
        <v>16</v>
      </c>
      <c r="D160" s="61" t="s">
        <v>2747</v>
      </c>
      <c r="E160" s="11" t="s">
        <v>13</v>
      </c>
    </row>
    <row r="161">
      <c r="B161" s="61" t="s">
        <v>1203</v>
      </c>
      <c r="C161" s="45" t="s">
        <v>37</v>
      </c>
      <c r="D161" s="61" t="s">
        <v>1489</v>
      </c>
      <c r="E161" s="11" t="s">
        <v>9</v>
      </c>
    </row>
    <row r="162">
      <c r="B162" s="61" t="s">
        <v>1984</v>
      </c>
      <c r="C162" s="45" t="s">
        <v>338</v>
      </c>
      <c r="D162" s="61" t="s">
        <v>2746</v>
      </c>
      <c r="E162" s="11" t="s">
        <v>13</v>
      </c>
    </row>
    <row r="163">
      <c r="B163" s="61" t="s">
        <v>1203</v>
      </c>
      <c r="C163" s="45" t="s">
        <v>27</v>
      </c>
      <c r="D163" s="61" t="s">
        <v>2747</v>
      </c>
      <c r="E163" s="11" t="s">
        <v>9</v>
      </c>
    </row>
    <row r="164">
      <c r="B164" s="61" t="s">
        <v>1489</v>
      </c>
      <c r="C164" s="45" t="s">
        <v>244</v>
      </c>
      <c r="D164" s="61" t="s">
        <v>2746</v>
      </c>
      <c r="E164" s="11" t="s">
        <v>13</v>
      </c>
    </row>
    <row r="165">
      <c r="B165" s="61" t="s">
        <v>1203</v>
      </c>
      <c r="C165" s="45" t="s">
        <v>14</v>
      </c>
      <c r="D165" s="61" t="s">
        <v>1984</v>
      </c>
      <c r="E165" s="11" t="s">
        <v>9</v>
      </c>
    </row>
    <row r="166">
      <c r="B166" s="61" t="s">
        <v>1489</v>
      </c>
      <c r="C166" s="45" t="s">
        <v>14</v>
      </c>
      <c r="D166" s="61" t="s">
        <v>2747</v>
      </c>
      <c r="E166" s="11" t="s">
        <v>13</v>
      </c>
    </row>
    <row r="167">
      <c r="B167" s="61" t="s">
        <v>2747</v>
      </c>
      <c r="C167" s="45" t="s">
        <v>166</v>
      </c>
      <c r="D167" s="61" t="s">
        <v>2746</v>
      </c>
      <c r="E167" s="11" t="s">
        <v>9</v>
      </c>
    </row>
    <row r="168">
      <c r="B168" s="61" t="s">
        <v>1489</v>
      </c>
      <c r="C168" s="45" t="s">
        <v>27</v>
      </c>
      <c r="D168" s="61" t="s">
        <v>1984</v>
      </c>
      <c r="E168" s="11" t="s">
        <v>13</v>
      </c>
    </row>
    <row r="169">
      <c r="B169" s="61" t="s">
        <v>2746</v>
      </c>
      <c r="C169" s="45" t="s">
        <v>298</v>
      </c>
      <c r="D169" s="61" t="s">
        <v>1203</v>
      </c>
      <c r="E169" s="11" t="s">
        <v>9</v>
      </c>
    </row>
    <row r="170">
      <c r="B170" s="61" t="s">
        <v>2747</v>
      </c>
      <c r="C170" s="45" t="s">
        <v>173</v>
      </c>
      <c r="D170" s="61" t="s">
        <v>1984</v>
      </c>
      <c r="E170" s="11" t="s">
        <v>13</v>
      </c>
    </row>
    <row r="171">
      <c r="B171" s="61" t="s">
        <v>1489</v>
      </c>
      <c r="C171" s="45" t="s">
        <v>352</v>
      </c>
      <c r="D171" s="61" t="s">
        <v>1203</v>
      </c>
      <c r="E171" s="11" t="s">
        <v>9</v>
      </c>
    </row>
    <row r="172">
      <c r="B172" s="61" t="s">
        <v>2746</v>
      </c>
      <c r="C172" s="45" t="s">
        <v>239</v>
      </c>
      <c r="D172" s="61" t="s">
        <v>1984</v>
      </c>
      <c r="E172" s="11" t="s">
        <v>13</v>
      </c>
    </row>
    <row r="173">
      <c r="B173" s="61" t="s">
        <v>2747</v>
      </c>
      <c r="C173" s="45" t="s">
        <v>19</v>
      </c>
      <c r="D173" s="61" t="s">
        <v>1203</v>
      </c>
      <c r="E173" s="11" t="s">
        <v>9</v>
      </c>
    </row>
    <row r="174">
      <c r="B174" s="61" t="s">
        <v>2746</v>
      </c>
      <c r="C174" s="45" t="s">
        <v>176</v>
      </c>
      <c r="D174" s="61" t="s">
        <v>1489</v>
      </c>
      <c r="E174" s="11" t="s">
        <v>13</v>
      </c>
    </row>
    <row r="175">
      <c r="B175" s="61" t="s">
        <v>1984</v>
      </c>
      <c r="C175" s="45" t="s">
        <v>177</v>
      </c>
      <c r="D175" s="61" t="s">
        <v>1203</v>
      </c>
      <c r="E175" s="11" t="s">
        <v>9</v>
      </c>
    </row>
    <row r="176">
      <c r="B176" s="61" t="s">
        <v>2747</v>
      </c>
      <c r="C176" s="45" t="s">
        <v>1590</v>
      </c>
      <c r="D176" s="61" t="s">
        <v>1489</v>
      </c>
      <c r="E176" s="11" t="s">
        <v>13</v>
      </c>
    </row>
    <row r="177">
      <c r="B177" s="1" t="s">
        <v>2748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2749</v>
      </c>
      <c r="C179" s="57" t="s">
        <v>291</v>
      </c>
      <c r="D179" s="61" t="s">
        <v>1872</v>
      </c>
      <c r="E179" s="11" t="s">
        <v>29</v>
      </c>
    </row>
    <row r="180">
      <c r="B180" s="61" t="s">
        <v>2480</v>
      </c>
      <c r="C180" s="57" t="s">
        <v>195</v>
      </c>
      <c r="D180" s="61" t="s">
        <v>2188</v>
      </c>
      <c r="E180" s="11" t="s">
        <v>33</v>
      </c>
    </row>
    <row r="181">
      <c r="B181" s="61" t="s">
        <v>2750</v>
      </c>
      <c r="C181" s="57" t="s">
        <v>161</v>
      </c>
      <c r="D181" s="61" t="s">
        <v>2749</v>
      </c>
      <c r="E181" s="11" t="s">
        <v>29</v>
      </c>
    </row>
    <row r="182">
      <c r="B182" s="61" t="s">
        <v>2480</v>
      </c>
      <c r="C182" s="57" t="s">
        <v>14</v>
      </c>
      <c r="D182" s="61" t="s">
        <v>1872</v>
      </c>
      <c r="E182" s="11" t="s">
        <v>33</v>
      </c>
    </row>
    <row r="183">
      <c r="B183" s="61" t="s">
        <v>2750</v>
      </c>
      <c r="C183" s="57" t="s">
        <v>185</v>
      </c>
      <c r="D183" s="61" t="s">
        <v>2188</v>
      </c>
      <c r="E183" s="11" t="s">
        <v>29</v>
      </c>
    </row>
    <row r="184">
      <c r="B184" s="61" t="s">
        <v>2480</v>
      </c>
      <c r="C184" s="57" t="s">
        <v>185</v>
      </c>
      <c r="D184" s="61" t="s">
        <v>2749</v>
      </c>
      <c r="E184" s="11" t="s">
        <v>33</v>
      </c>
    </row>
    <row r="185">
      <c r="B185" s="61" t="s">
        <v>2750</v>
      </c>
      <c r="C185" s="57" t="s">
        <v>2064</v>
      </c>
      <c r="D185" s="61" t="s">
        <v>1872</v>
      </c>
      <c r="E185" s="11" t="s">
        <v>29</v>
      </c>
    </row>
    <row r="186">
      <c r="B186" s="61" t="s">
        <v>2188</v>
      </c>
      <c r="C186" s="57" t="s">
        <v>193</v>
      </c>
      <c r="D186" s="61" t="s">
        <v>2749</v>
      </c>
      <c r="E186" s="11" t="s">
        <v>33</v>
      </c>
    </row>
    <row r="187">
      <c r="B187" s="61" t="s">
        <v>2750</v>
      </c>
      <c r="C187" s="57" t="s">
        <v>464</v>
      </c>
      <c r="D187" s="61" t="s">
        <v>2480</v>
      </c>
      <c r="E187" s="11" t="s">
        <v>29</v>
      </c>
    </row>
    <row r="188">
      <c r="B188" s="61" t="s">
        <v>2188</v>
      </c>
      <c r="C188" s="57" t="s">
        <v>42</v>
      </c>
      <c r="D188" s="61" t="s">
        <v>1872</v>
      </c>
      <c r="E188" s="11" t="s">
        <v>33</v>
      </c>
    </row>
    <row r="189">
      <c r="B189" s="61" t="s">
        <v>1872</v>
      </c>
      <c r="C189" s="57" t="s">
        <v>248</v>
      </c>
      <c r="D189" s="61" t="s">
        <v>2749</v>
      </c>
      <c r="E189" s="11" t="s">
        <v>29</v>
      </c>
    </row>
    <row r="190">
      <c r="B190" s="61" t="s">
        <v>2188</v>
      </c>
      <c r="C190" s="57" t="s">
        <v>248</v>
      </c>
      <c r="D190" s="61" t="s">
        <v>2480</v>
      </c>
      <c r="E190" s="11" t="s">
        <v>33</v>
      </c>
    </row>
    <row r="191">
      <c r="B191" s="61" t="s">
        <v>2749</v>
      </c>
      <c r="C191" s="45" t="s">
        <v>22</v>
      </c>
      <c r="D191" s="61" t="s">
        <v>2750</v>
      </c>
      <c r="E191" s="11" t="s">
        <v>29</v>
      </c>
    </row>
    <row r="192">
      <c r="B192" s="61" t="s">
        <v>1872</v>
      </c>
      <c r="C192" s="45" t="s">
        <v>743</v>
      </c>
      <c r="D192" s="61" t="s">
        <v>2480</v>
      </c>
      <c r="E192" s="11" t="s">
        <v>33</v>
      </c>
    </row>
    <row r="193">
      <c r="B193" s="61" t="s">
        <v>2188</v>
      </c>
      <c r="C193" s="45" t="s">
        <v>7</v>
      </c>
      <c r="D193" s="61" t="s">
        <v>2750</v>
      </c>
      <c r="E193" s="11" t="s">
        <v>29</v>
      </c>
    </row>
    <row r="194">
      <c r="B194" s="61" t="s">
        <v>2749</v>
      </c>
      <c r="C194" s="45" t="s">
        <v>23</v>
      </c>
      <c r="D194" s="61" t="s">
        <v>2480</v>
      </c>
      <c r="E194" s="11" t="s">
        <v>33</v>
      </c>
    </row>
    <row r="195">
      <c r="B195" s="61" t="s">
        <v>1872</v>
      </c>
      <c r="C195" s="45" t="s">
        <v>218</v>
      </c>
      <c r="D195" s="61" t="s">
        <v>2750</v>
      </c>
      <c r="E195" s="11" t="s">
        <v>29</v>
      </c>
    </row>
    <row r="196">
      <c r="B196" s="61" t="s">
        <v>2749</v>
      </c>
      <c r="C196" s="45" t="s">
        <v>155</v>
      </c>
      <c r="D196" s="61" t="s">
        <v>2188</v>
      </c>
      <c r="E196" s="11" t="s">
        <v>33</v>
      </c>
    </row>
    <row r="197">
      <c r="B197" s="61" t="s">
        <v>2480</v>
      </c>
      <c r="C197" s="45" t="s">
        <v>2751</v>
      </c>
      <c r="D197" s="61" t="s">
        <v>2750</v>
      </c>
      <c r="E197" s="11" t="s">
        <v>29</v>
      </c>
    </row>
    <row r="198">
      <c r="B198" s="61" t="s">
        <v>1872</v>
      </c>
      <c r="C198" s="45" t="s">
        <v>289</v>
      </c>
      <c r="D198" s="61" t="s">
        <v>2188</v>
      </c>
      <c r="E198" s="11" t="s">
        <v>33</v>
      </c>
    </row>
    <row r="199">
      <c r="B199" s="1" t="s">
        <v>2752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2753</v>
      </c>
      <c r="C201" s="57" t="s">
        <v>220</v>
      </c>
      <c r="D201" s="61" t="s">
        <v>2754</v>
      </c>
      <c r="E201" s="11" t="s">
        <v>29</v>
      </c>
    </row>
    <row r="202">
      <c r="B202" s="61" t="s">
        <v>1329</v>
      </c>
      <c r="C202" s="57" t="s">
        <v>418</v>
      </c>
      <c r="D202" s="61" t="s">
        <v>2755</v>
      </c>
      <c r="E202" s="11" t="s">
        <v>33</v>
      </c>
    </row>
    <row r="203">
      <c r="B203" s="61" t="s">
        <v>2612</v>
      </c>
      <c r="C203" s="57" t="s">
        <v>36</v>
      </c>
      <c r="D203" s="61" t="s">
        <v>2753</v>
      </c>
      <c r="E203" s="11" t="s">
        <v>29</v>
      </c>
    </row>
    <row r="204">
      <c r="B204" s="61" t="s">
        <v>1329</v>
      </c>
      <c r="C204" s="57" t="s">
        <v>1041</v>
      </c>
      <c r="D204" s="61" t="s">
        <v>2754</v>
      </c>
      <c r="E204" s="11" t="s">
        <v>33</v>
      </c>
    </row>
    <row r="205">
      <c r="B205" s="61" t="s">
        <v>2612</v>
      </c>
      <c r="C205" s="57" t="s">
        <v>425</v>
      </c>
      <c r="D205" s="61" t="s">
        <v>2755</v>
      </c>
      <c r="E205" s="11" t="s">
        <v>29</v>
      </c>
    </row>
    <row r="206">
      <c r="B206" s="61" t="s">
        <v>1329</v>
      </c>
      <c r="C206" s="57" t="s">
        <v>279</v>
      </c>
      <c r="D206" s="61" t="s">
        <v>2753</v>
      </c>
      <c r="E206" s="11" t="s">
        <v>33</v>
      </c>
    </row>
    <row r="207">
      <c r="B207" s="61" t="s">
        <v>2612</v>
      </c>
      <c r="C207" s="57" t="s">
        <v>22</v>
      </c>
      <c r="D207" s="61" t="s">
        <v>2754</v>
      </c>
      <c r="E207" s="11" t="s">
        <v>29</v>
      </c>
    </row>
    <row r="208">
      <c r="B208" s="61" t="s">
        <v>2755</v>
      </c>
      <c r="C208" s="57" t="s">
        <v>849</v>
      </c>
      <c r="D208" s="61" t="s">
        <v>2753</v>
      </c>
      <c r="E208" s="11" t="s">
        <v>33</v>
      </c>
    </row>
    <row r="209">
      <c r="B209" s="61" t="s">
        <v>2612</v>
      </c>
      <c r="C209" s="57" t="s">
        <v>210</v>
      </c>
      <c r="D209" s="61" t="s">
        <v>1329</v>
      </c>
      <c r="E209" s="11" t="s">
        <v>29</v>
      </c>
    </row>
    <row r="210">
      <c r="B210" s="61" t="s">
        <v>2755</v>
      </c>
      <c r="C210" s="57" t="s">
        <v>210</v>
      </c>
      <c r="D210" s="61" t="s">
        <v>2754</v>
      </c>
      <c r="E210" s="11" t="s">
        <v>33</v>
      </c>
    </row>
    <row r="211">
      <c r="B211" s="61" t="s">
        <v>2754</v>
      </c>
      <c r="C211" s="57" t="s">
        <v>239</v>
      </c>
      <c r="D211" s="61" t="s">
        <v>2753</v>
      </c>
      <c r="E211" s="11" t="s">
        <v>29</v>
      </c>
    </row>
    <row r="212">
      <c r="B212" s="61" t="s">
        <v>2755</v>
      </c>
      <c r="C212" s="57" t="s">
        <v>366</v>
      </c>
      <c r="D212" s="61" t="s">
        <v>1329</v>
      </c>
      <c r="E212" s="11" t="s">
        <v>33</v>
      </c>
    </row>
    <row r="213">
      <c r="B213" s="61" t="s">
        <v>2753</v>
      </c>
      <c r="C213" s="45" t="s">
        <v>279</v>
      </c>
      <c r="D213" s="61" t="s">
        <v>2612</v>
      </c>
      <c r="E213" s="11" t="s">
        <v>29</v>
      </c>
    </row>
    <row r="214">
      <c r="B214" s="61" t="s">
        <v>2754</v>
      </c>
      <c r="C214" s="45" t="s">
        <v>248</v>
      </c>
      <c r="D214" s="61" t="s">
        <v>1329</v>
      </c>
      <c r="E214" s="11" t="s">
        <v>33</v>
      </c>
    </row>
    <row r="215">
      <c r="B215" s="61" t="s">
        <v>2755</v>
      </c>
      <c r="C215" s="45" t="s">
        <v>42</v>
      </c>
      <c r="D215" s="61" t="s">
        <v>2612</v>
      </c>
      <c r="E215" s="11" t="s">
        <v>29</v>
      </c>
    </row>
    <row r="216">
      <c r="B216" s="61" t="s">
        <v>2753</v>
      </c>
      <c r="C216" s="45" t="s">
        <v>863</v>
      </c>
      <c r="D216" s="61" t="s">
        <v>1329</v>
      </c>
      <c r="E216" s="11" t="s">
        <v>33</v>
      </c>
    </row>
    <row r="217">
      <c r="B217" s="61" t="s">
        <v>2754</v>
      </c>
      <c r="C217" s="45" t="s">
        <v>166</v>
      </c>
      <c r="D217" s="61" t="s">
        <v>2612</v>
      </c>
      <c r="E217" s="11" t="s">
        <v>29</v>
      </c>
    </row>
    <row r="218">
      <c r="B218" s="61" t="s">
        <v>2753</v>
      </c>
      <c r="C218" s="45" t="s">
        <v>164</v>
      </c>
      <c r="D218" s="61" t="s">
        <v>2755</v>
      </c>
      <c r="E218" s="11" t="s">
        <v>33</v>
      </c>
    </row>
    <row r="219">
      <c r="B219" s="61" t="s">
        <v>1329</v>
      </c>
      <c r="C219" s="45" t="s">
        <v>155</v>
      </c>
      <c r="D219" s="61" t="s">
        <v>2612</v>
      </c>
      <c r="E219" s="11" t="s">
        <v>29</v>
      </c>
    </row>
    <row r="220">
      <c r="B220" s="61" t="s">
        <v>2754</v>
      </c>
      <c r="C220" s="45" t="s">
        <v>173</v>
      </c>
      <c r="D220" s="61" t="s">
        <v>2755</v>
      </c>
      <c r="E220" s="11" t="s">
        <v>33</v>
      </c>
    </row>
    <row r="221">
      <c r="B221" s="52" t="s">
        <v>2756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2757</v>
      </c>
      <c r="C223" s="45" t="s">
        <v>19</v>
      </c>
      <c r="D223" s="56" t="s">
        <v>1198</v>
      </c>
      <c r="E223" s="11" t="s">
        <v>9</v>
      </c>
    </row>
    <row r="224">
      <c r="B224" s="62" t="s">
        <v>2434</v>
      </c>
      <c r="C224" s="45" t="s">
        <v>181</v>
      </c>
      <c r="D224" s="62" t="s">
        <v>486</v>
      </c>
      <c r="E224" s="11" t="s">
        <v>13</v>
      </c>
    </row>
    <row r="225">
      <c r="B225" s="62" t="s">
        <v>2758</v>
      </c>
      <c r="C225" s="45" t="s">
        <v>162</v>
      </c>
      <c r="D225" s="62" t="s">
        <v>2757</v>
      </c>
      <c r="E225" s="11" t="s">
        <v>9</v>
      </c>
    </row>
    <row r="226">
      <c r="B226" s="62" t="s">
        <v>2434</v>
      </c>
      <c r="C226" s="45" t="s">
        <v>38</v>
      </c>
      <c r="D226" s="56" t="s">
        <v>1198</v>
      </c>
      <c r="E226" s="11" t="s">
        <v>13</v>
      </c>
    </row>
    <row r="227">
      <c r="B227" s="62" t="s">
        <v>2758</v>
      </c>
      <c r="C227" s="45" t="s">
        <v>173</v>
      </c>
      <c r="D227" s="62" t="s">
        <v>486</v>
      </c>
      <c r="E227" s="11" t="s">
        <v>9</v>
      </c>
    </row>
    <row r="228">
      <c r="B228" s="62" t="s">
        <v>2434</v>
      </c>
      <c r="C228" s="45" t="s">
        <v>165</v>
      </c>
      <c r="D228" s="62" t="s">
        <v>2757</v>
      </c>
      <c r="E228" s="11" t="s">
        <v>13</v>
      </c>
    </row>
    <row r="229">
      <c r="B229" s="62" t="s">
        <v>2758</v>
      </c>
      <c r="C229" s="45" t="s">
        <v>38</v>
      </c>
      <c r="D229" s="56" t="s">
        <v>1198</v>
      </c>
      <c r="E229" s="11" t="s">
        <v>9</v>
      </c>
    </row>
    <row r="230">
      <c r="B230" s="62" t="s">
        <v>486</v>
      </c>
      <c r="C230" s="45" t="s">
        <v>18</v>
      </c>
      <c r="D230" s="62" t="s">
        <v>2757</v>
      </c>
      <c r="E230" s="11" t="s">
        <v>13</v>
      </c>
    </row>
    <row r="231">
      <c r="B231" s="62" t="s">
        <v>2758</v>
      </c>
      <c r="C231" s="45" t="s">
        <v>189</v>
      </c>
      <c r="D231" s="62" t="s">
        <v>2434</v>
      </c>
      <c r="E231" s="11" t="s">
        <v>9</v>
      </c>
    </row>
    <row r="232">
      <c r="B232" s="62" t="s">
        <v>486</v>
      </c>
      <c r="C232" s="45" t="s">
        <v>610</v>
      </c>
      <c r="D232" s="56" t="s">
        <v>1198</v>
      </c>
      <c r="E232" s="11" t="s">
        <v>13</v>
      </c>
    </row>
    <row r="233">
      <c r="B233" s="56" t="s">
        <v>1198</v>
      </c>
      <c r="C233" s="45" t="s">
        <v>163</v>
      </c>
      <c r="D233" s="62" t="s">
        <v>2757</v>
      </c>
      <c r="E233" s="11" t="s">
        <v>9</v>
      </c>
    </row>
    <row r="234">
      <c r="B234" s="62" t="s">
        <v>486</v>
      </c>
      <c r="C234" s="45" t="s">
        <v>536</v>
      </c>
      <c r="D234" s="62" t="s">
        <v>2434</v>
      </c>
      <c r="E234" s="11" t="s">
        <v>13</v>
      </c>
    </row>
    <row r="235">
      <c r="B235" s="62" t="s">
        <v>2757</v>
      </c>
      <c r="C235" s="45" t="s">
        <v>23</v>
      </c>
      <c r="D235" s="62" t="s">
        <v>2758</v>
      </c>
      <c r="E235" s="11" t="s">
        <v>9</v>
      </c>
    </row>
    <row r="236">
      <c r="B236" s="56" t="s">
        <v>1198</v>
      </c>
      <c r="C236" s="45" t="s">
        <v>19</v>
      </c>
      <c r="D236" s="62" t="s">
        <v>2434</v>
      </c>
      <c r="E236" s="11" t="s">
        <v>13</v>
      </c>
    </row>
    <row r="237">
      <c r="B237" s="62" t="s">
        <v>486</v>
      </c>
      <c r="C237" s="45" t="s">
        <v>18</v>
      </c>
      <c r="D237" s="62" t="s">
        <v>2758</v>
      </c>
      <c r="E237" s="11" t="s">
        <v>9</v>
      </c>
    </row>
    <row r="238">
      <c r="B238" s="62" t="s">
        <v>2757</v>
      </c>
      <c r="C238" s="45" t="s">
        <v>163</v>
      </c>
      <c r="D238" s="62" t="s">
        <v>2434</v>
      </c>
      <c r="E238" s="11" t="s">
        <v>13</v>
      </c>
    </row>
    <row r="239">
      <c r="B239" s="56" t="s">
        <v>1198</v>
      </c>
      <c r="C239" s="45" t="s">
        <v>7</v>
      </c>
      <c r="D239" s="62" t="s">
        <v>2758</v>
      </c>
      <c r="E239" s="11" t="s">
        <v>9</v>
      </c>
    </row>
    <row r="240">
      <c r="B240" s="62" t="s">
        <v>2757</v>
      </c>
      <c r="C240" s="45" t="s">
        <v>354</v>
      </c>
      <c r="D240" s="62" t="s">
        <v>486</v>
      </c>
      <c r="E240" s="11" t="s">
        <v>13</v>
      </c>
    </row>
    <row r="241">
      <c r="B241" s="62" t="s">
        <v>2434</v>
      </c>
      <c r="C241" s="45" t="s">
        <v>836</v>
      </c>
      <c r="D241" s="62" t="s">
        <v>2758</v>
      </c>
      <c r="E241" s="11" t="s">
        <v>9</v>
      </c>
    </row>
    <row r="242">
      <c r="B242" s="56" t="s">
        <v>1198</v>
      </c>
      <c r="C242" s="45" t="s">
        <v>173</v>
      </c>
      <c r="D242" s="62" t="s">
        <v>486</v>
      </c>
      <c r="E242" s="11" t="s">
        <v>13</v>
      </c>
    </row>
    <row r="243">
      <c r="B243" s="52" t="s">
        <v>2304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2170</v>
      </c>
      <c r="C245" s="45" t="s">
        <v>334</v>
      </c>
      <c r="D245" s="56" t="s">
        <v>1713</v>
      </c>
      <c r="E245" s="11" t="s">
        <v>9</v>
      </c>
    </row>
    <row r="246">
      <c r="B246" s="62" t="s">
        <v>1498</v>
      </c>
      <c r="C246" s="45" t="s">
        <v>1153</v>
      </c>
      <c r="D246" s="62" t="s">
        <v>2759</v>
      </c>
      <c r="E246" s="11" t="s">
        <v>13</v>
      </c>
    </row>
    <row r="247">
      <c r="B247" s="62" t="s">
        <v>2760</v>
      </c>
      <c r="C247" s="45" t="s">
        <v>21</v>
      </c>
      <c r="D247" s="62" t="s">
        <v>2170</v>
      </c>
      <c r="E247" s="11" t="s">
        <v>9</v>
      </c>
    </row>
    <row r="248">
      <c r="B248" s="62" t="s">
        <v>1498</v>
      </c>
      <c r="C248" s="45" t="s">
        <v>19</v>
      </c>
      <c r="D248" s="56" t="s">
        <v>1713</v>
      </c>
      <c r="E248" s="11" t="s">
        <v>13</v>
      </c>
    </row>
    <row r="249">
      <c r="B249" s="62" t="s">
        <v>2760</v>
      </c>
      <c r="C249" s="45" t="s">
        <v>278</v>
      </c>
      <c r="D249" s="62" t="s">
        <v>2759</v>
      </c>
      <c r="E249" s="11" t="s">
        <v>9</v>
      </c>
    </row>
    <row r="250">
      <c r="B250" s="62" t="s">
        <v>1498</v>
      </c>
      <c r="C250" s="45" t="s">
        <v>362</v>
      </c>
      <c r="D250" s="62" t="s">
        <v>2170</v>
      </c>
      <c r="E250" s="11" t="s">
        <v>13</v>
      </c>
    </row>
    <row r="251">
      <c r="B251" s="62" t="s">
        <v>2760</v>
      </c>
      <c r="C251" s="45" t="s">
        <v>41</v>
      </c>
      <c r="D251" s="56" t="s">
        <v>1713</v>
      </c>
      <c r="E251" s="11" t="s">
        <v>9</v>
      </c>
    </row>
    <row r="252">
      <c r="B252" s="62" t="s">
        <v>2759</v>
      </c>
      <c r="C252" s="45" t="s">
        <v>1153</v>
      </c>
      <c r="D252" s="62" t="s">
        <v>2170</v>
      </c>
      <c r="E252" s="11" t="s">
        <v>13</v>
      </c>
    </row>
    <row r="253">
      <c r="B253" s="62" t="s">
        <v>2760</v>
      </c>
      <c r="C253" s="45" t="s">
        <v>342</v>
      </c>
      <c r="D253" s="62" t="s">
        <v>1498</v>
      </c>
      <c r="E253" s="11" t="s">
        <v>9</v>
      </c>
    </row>
    <row r="254">
      <c r="B254" s="62" t="s">
        <v>2759</v>
      </c>
      <c r="C254" s="45" t="s">
        <v>2761</v>
      </c>
      <c r="D254" s="56" t="s">
        <v>1713</v>
      </c>
      <c r="E254" s="11" t="s">
        <v>13</v>
      </c>
    </row>
    <row r="255">
      <c r="B255" s="56" t="s">
        <v>1713</v>
      </c>
      <c r="C255" s="45" t="s">
        <v>334</v>
      </c>
      <c r="D255" s="62" t="s">
        <v>2170</v>
      </c>
      <c r="E255" s="11" t="s">
        <v>9</v>
      </c>
    </row>
    <row r="256">
      <c r="B256" s="62" t="s">
        <v>2759</v>
      </c>
      <c r="C256" s="45" t="s">
        <v>41</v>
      </c>
      <c r="D256" s="62" t="s">
        <v>1498</v>
      </c>
      <c r="E256" s="11" t="s">
        <v>13</v>
      </c>
    </row>
    <row r="257">
      <c r="B257" s="62" t="s">
        <v>2170</v>
      </c>
      <c r="C257" s="45" t="s">
        <v>245</v>
      </c>
      <c r="D257" s="62" t="s">
        <v>2760</v>
      </c>
      <c r="E257" s="11" t="s">
        <v>9</v>
      </c>
    </row>
    <row r="258">
      <c r="B258" s="56" t="s">
        <v>1713</v>
      </c>
      <c r="C258" s="45" t="s">
        <v>173</v>
      </c>
      <c r="D258" s="62" t="s">
        <v>1498</v>
      </c>
      <c r="E258" s="11" t="s">
        <v>13</v>
      </c>
    </row>
    <row r="259">
      <c r="B259" s="62" t="s">
        <v>2759</v>
      </c>
      <c r="C259" s="45" t="s">
        <v>193</v>
      </c>
      <c r="D259" s="62" t="s">
        <v>2760</v>
      </c>
      <c r="E259" s="11" t="s">
        <v>9</v>
      </c>
    </row>
    <row r="260">
      <c r="B260" s="62" t="s">
        <v>2170</v>
      </c>
      <c r="C260" s="45" t="s">
        <v>998</v>
      </c>
      <c r="D260" s="62" t="s">
        <v>1498</v>
      </c>
      <c r="E260" s="11" t="s">
        <v>13</v>
      </c>
    </row>
    <row r="261">
      <c r="B261" s="56" t="s">
        <v>1713</v>
      </c>
      <c r="C261" s="45" t="s">
        <v>218</v>
      </c>
      <c r="D261" s="62" t="s">
        <v>2760</v>
      </c>
      <c r="E261" s="11" t="s">
        <v>9</v>
      </c>
    </row>
    <row r="262">
      <c r="B262" s="62" t="s">
        <v>2170</v>
      </c>
      <c r="C262" s="45" t="s">
        <v>41</v>
      </c>
      <c r="D262" s="62" t="s">
        <v>2759</v>
      </c>
      <c r="E262" s="11" t="s">
        <v>13</v>
      </c>
    </row>
    <row r="263">
      <c r="B263" s="62" t="s">
        <v>1498</v>
      </c>
      <c r="C263" s="45" t="s">
        <v>375</v>
      </c>
      <c r="D263" s="62" t="s">
        <v>2760</v>
      </c>
      <c r="E263" s="11" t="s">
        <v>9</v>
      </c>
    </row>
    <row r="264">
      <c r="B264" s="56" t="s">
        <v>1713</v>
      </c>
      <c r="C264" s="45" t="s">
        <v>173</v>
      </c>
      <c r="D264" s="62" t="s">
        <v>2759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2626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2762</v>
      </c>
      <c r="C3" s="57" t="s">
        <v>18</v>
      </c>
      <c r="D3" s="62" t="s">
        <v>2763</v>
      </c>
      <c r="E3" s="11" t="s">
        <v>9</v>
      </c>
    </row>
    <row r="4">
      <c r="A4" s="90"/>
      <c r="B4" s="62" t="s">
        <v>2764</v>
      </c>
      <c r="C4" s="57" t="s">
        <v>290</v>
      </c>
      <c r="D4" s="61" t="s">
        <v>2765</v>
      </c>
      <c r="E4" s="11" t="s">
        <v>13</v>
      </c>
    </row>
    <row r="5">
      <c r="A5" s="90"/>
      <c r="B5" s="62" t="s">
        <v>2766</v>
      </c>
      <c r="C5" s="57" t="s">
        <v>547</v>
      </c>
      <c r="D5" s="62" t="s">
        <v>2762</v>
      </c>
      <c r="E5" s="11" t="s">
        <v>9</v>
      </c>
    </row>
    <row r="6">
      <c r="A6" s="90"/>
      <c r="B6" s="62" t="s">
        <v>2764</v>
      </c>
      <c r="C6" s="57" t="s">
        <v>218</v>
      </c>
      <c r="D6" s="62" t="s">
        <v>2763</v>
      </c>
      <c r="E6" s="11" t="s">
        <v>13</v>
      </c>
    </row>
    <row r="7">
      <c r="A7" s="90"/>
      <c r="B7" s="62" t="s">
        <v>2766</v>
      </c>
      <c r="C7" s="57" t="s">
        <v>18</v>
      </c>
      <c r="D7" s="61" t="s">
        <v>2765</v>
      </c>
      <c r="E7" s="11" t="s">
        <v>9</v>
      </c>
    </row>
    <row r="8">
      <c r="A8" s="90"/>
      <c r="B8" s="62" t="s">
        <v>2764</v>
      </c>
      <c r="C8" s="57" t="s">
        <v>709</v>
      </c>
      <c r="D8" s="62" t="s">
        <v>2762</v>
      </c>
      <c r="E8" s="11" t="s">
        <v>13</v>
      </c>
    </row>
    <row r="9">
      <c r="A9" s="90"/>
      <c r="B9" s="62" t="s">
        <v>2766</v>
      </c>
      <c r="C9" s="57" t="s">
        <v>185</v>
      </c>
      <c r="D9" s="62" t="s">
        <v>2763</v>
      </c>
      <c r="E9" s="11" t="s">
        <v>9</v>
      </c>
    </row>
    <row r="10">
      <c r="A10" s="90"/>
      <c r="B10" s="61" t="s">
        <v>2765</v>
      </c>
      <c r="C10" s="57" t="s">
        <v>184</v>
      </c>
      <c r="D10" s="62" t="s">
        <v>2762</v>
      </c>
      <c r="E10" s="11" t="s">
        <v>13</v>
      </c>
    </row>
    <row r="11">
      <c r="A11" s="90"/>
      <c r="B11" s="62" t="s">
        <v>2766</v>
      </c>
      <c r="C11" s="57" t="s">
        <v>195</v>
      </c>
      <c r="D11" s="62" t="s">
        <v>2764</v>
      </c>
      <c r="E11" s="11" t="s">
        <v>9</v>
      </c>
    </row>
    <row r="12">
      <c r="A12" s="90"/>
      <c r="B12" s="61" t="s">
        <v>2765</v>
      </c>
      <c r="C12" s="57" t="s">
        <v>289</v>
      </c>
      <c r="D12" s="62" t="s">
        <v>2763</v>
      </c>
      <c r="E12" s="11" t="s">
        <v>13</v>
      </c>
    </row>
    <row r="13">
      <c r="A13" s="90"/>
      <c r="B13" s="62" t="s">
        <v>2763</v>
      </c>
      <c r="C13" s="57" t="s">
        <v>271</v>
      </c>
      <c r="D13" s="62" t="s">
        <v>2762</v>
      </c>
      <c r="E13" s="11" t="s">
        <v>9</v>
      </c>
    </row>
    <row r="14">
      <c r="A14" s="90"/>
      <c r="B14" s="61" t="s">
        <v>2765</v>
      </c>
      <c r="C14" s="57" t="s">
        <v>219</v>
      </c>
      <c r="D14" s="62" t="s">
        <v>2764</v>
      </c>
      <c r="E14" s="11" t="s">
        <v>13</v>
      </c>
    </row>
    <row r="15">
      <c r="A15" s="90"/>
      <c r="B15" s="62" t="s">
        <v>2762</v>
      </c>
      <c r="C15" s="45" t="s">
        <v>219</v>
      </c>
      <c r="D15" s="62" t="s">
        <v>2766</v>
      </c>
      <c r="E15" s="11" t="s">
        <v>9</v>
      </c>
    </row>
    <row r="16">
      <c r="A16" s="90"/>
      <c r="B16" s="62" t="s">
        <v>2763</v>
      </c>
      <c r="C16" s="45" t="s">
        <v>442</v>
      </c>
      <c r="D16" s="62" t="s">
        <v>2764</v>
      </c>
      <c r="E16" s="11" t="s">
        <v>13</v>
      </c>
    </row>
    <row r="17">
      <c r="A17" s="90"/>
      <c r="B17" s="61" t="s">
        <v>2765</v>
      </c>
      <c r="C17" s="45" t="s">
        <v>302</v>
      </c>
      <c r="D17" s="62" t="s">
        <v>2766</v>
      </c>
      <c r="E17" s="11" t="s">
        <v>9</v>
      </c>
    </row>
    <row r="18">
      <c r="A18" s="90"/>
      <c r="B18" s="62" t="s">
        <v>2762</v>
      </c>
      <c r="C18" s="45" t="s">
        <v>36</v>
      </c>
      <c r="D18" s="62" t="s">
        <v>2764</v>
      </c>
      <c r="E18" s="11" t="s">
        <v>13</v>
      </c>
    </row>
    <row r="19">
      <c r="A19" s="90"/>
      <c r="B19" s="62" t="s">
        <v>2763</v>
      </c>
      <c r="C19" s="45" t="s">
        <v>16</v>
      </c>
      <c r="D19" s="62" t="s">
        <v>2766</v>
      </c>
      <c r="E19" s="11" t="s">
        <v>9</v>
      </c>
    </row>
    <row r="20">
      <c r="A20" s="90"/>
      <c r="B20" s="62" t="s">
        <v>2762</v>
      </c>
      <c r="C20" s="45" t="s">
        <v>383</v>
      </c>
      <c r="D20" s="61" t="s">
        <v>2765</v>
      </c>
      <c r="E20" s="11" t="s">
        <v>13</v>
      </c>
    </row>
    <row r="21">
      <c r="A21" s="90"/>
      <c r="B21" s="62" t="s">
        <v>2764</v>
      </c>
      <c r="C21" s="45" t="s">
        <v>23</v>
      </c>
      <c r="D21" s="62" t="s">
        <v>2766</v>
      </c>
      <c r="E21" s="11" t="s">
        <v>9</v>
      </c>
    </row>
    <row r="22">
      <c r="A22" s="90"/>
      <c r="B22" s="62" t="s">
        <v>2763</v>
      </c>
      <c r="C22" s="45" t="s">
        <v>220</v>
      </c>
      <c r="D22" s="61" t="s">
        <v>2765</v>
      </c>
      <c r="E22" s="11" t="s">
        <v>13</v>
      </c>
    </row>
    <row r="23">
      <c r="A23" s="90"/>
      <c r="B23" s="1" t="s">
        <v>2324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2767</v>
      </c>
      <c r="C25" s="57" t="s">
        <v>477</v>
      </c>
      <c r="D25" s="62" t="s">
        <v>2325</v>
      </c>
      <c r="E25" s="11" t="s">
        <v>9</v>
      </c>
    </row>
    <row r="26">
      <c r="A26" s="90"/>
      <c r="B26" s="62" t="s">
        <v>2768</v>
      </c>
      <c r="C26" s="57" t="s">
        <v>2769</v>
      </c>
      <c r="D26" s="61" t="s">
        <v>2770</v>
      </c>
      <c r="E26" s="11" t="s">
        <v>13</v>
      </c>
    </row>
    <row r="27">
      <c r="A27" s="90"/>
      <c r="B27" s="62" t="s">
        <v>2771</v>
      </c>
      <c r="C27" s="57" t="s">
        <v>18</v>
      </c>
      <c r="D27" s="62" t="s">
        <v>2767</v>
      </c>
      <c r="E27" s="11" t="s">
        <v>9</v>
      </c>
    </row>
    <row r="28">
      <c r="A28" s="90"/>
      <c r="B28" s="62" t="s">
        <v>2768</v>
      </c>
      <c r="C28" s="57" t="s">
        <v>185</v>
      </c>
      <c r="D28" s="62" t="s">
        <v>2325</v>
      </c>
      <c r="E28" s="11" t="s">
        <v>13</v>
      </c>
    </row>
    <row r="29">
      <c r="A29" s="90"/>
      <c r="B29" s="62" t="s">
        <v>2771</v>
      </c>
      <c r="C29" s="57" t="s">
        <v>193</v>
      </c>
      <c r="D29" s="61" t="s">
        <v>2770</v>
      </c>
      <c r="E29" s="11" t="s">
        <v>9</v>
      </c>
    </row>
    <row r="30">
      <c r="A30" s="90"/>
      <c r="B30" s="62" t="s">
        <v>2768</v>
      </c>
      <c r="C30" s="57" t="s">
        <v>208</v>
      </c>
      <c r="D30" s="62" t="s">
        <v>2767</v>
      </c>
      <c r="E30" s="11" t="s">
        <v>13</v>
      </c>
    </row>
    <row r="31">
      <c r="A31" s="90"/>
      <c r="B31" s="62" t="s">
        <v>2771</v>
      </c>
      <c r="C31" s="57" t="s">
        <v>44</v>
      </c>
      <c r="D31" s="62" t="s">
        <v>2325</v>
      </c>
      <c r="E31" s="11" t="s">
        <v>9</v>
      </c>
    </row>
    <row r="32">
      <c r="A32" s="90"/>
      <c r="B32" s="61" t="s">
        <v>2770</v>
      </c>
      <c r="C32" s="57" t="s">
        <v>362</v>
      </c>
      <c r="D32" s="62" t="s">
        <v>2767</v>
      </c>
      <c r="E32" s="11" t="s">
        <v>13</v>
      </c>
    </row>
    <row r="33">
      <c r="A33" s="90"/>
      <c r="B33" s="62" t="s">
        <v>2771</v>
      </c>
      <c r="C33" s="57" t="s">
        <v>549</v>
      </c>
      <c r="D33" s="62" t="s">
        <v>2768</v>
      </c>
      <c r="E33" s="11" t="s">
        <v>9</v>
      </c>
    </row>
    <row r="34">
      <c r="A34" s="90"/>
      <c r="B34" s="61" t="s">
        <v>2770</v>
      </c>
      <c r="C34" s="57" t="s">
        <v>38</v>
      </c>
      <c r="D34" s="62" t="s">
        <v>2325</v>
      </c>
      <c r="E34" s="11" t="s">
        <v>13</v>
      </c>
    </row>
    <row r="35">
      <c r="A35" s="90"/>
      <c r="B35" s="62" t="s">
        <v>2325</v>
      </c>
      <c r="C35" s="57" t="s">
        <v>17</v>
      </c>
      <c r="D35" s="62" t="s">
        <v>2767</v>
      </c>
      <c r="E35" s="11" t="s">
        <v>9</v>
      </c>
    </row>
    <row r="36">
      <c r="A36" s="90"/>
      <c r="B36" s="61" t="s">
        <v>2770</v>
      </c>
      <c r="C36" s="57" t="s">
        <v>205</v>
      </c>
      <c r="D36" s="62" t="s">
        <v>2768</v>
      </c>
      <c r="E36" s="11" t="s">
        <v>13</v>
      </c>
    </row>
    <row r="37">
      <c r="A37" s="90"/>
      <c r="B37" s="62" t="s">
        <v>2767</v>
      </c>
      <c r="C37" s="45" t="s">
        <v>251</v>
      </c>
      <c r="D37" s="62" t="s">
        <v>2771</v>
      </c>
      <c r="E37" s="11" t="s">
        <v>9</v>
      </c>
    </row>
    <row r="38">
      <c r="A38" s="90"/>
      <c r="B38" s="62" t="s">
        <v>2325</v>
      </c>
      <c r="C38" s="45" t="s">
        <v>23</v>
      </c>
      <c r="D38" s="62" t="s">
        <v>2768</v>
      </c>
      <c r="E38" s="11" t="s">
        <v>13</v>
      </c>
    </row>
    <row r="39">
      <c r="A39" s="90"/>
      <c r="B39" s="61" t="s">
        <v>2770</v>
      </c>
      <c r="C39" s="45" t="s">
        <v>219</v>
      </c>
      <c r="D39" s="62" t="s">
        <v>2771</v>
      </c>
      <c r="E39" s="11" t="s">
        <v>9</v>
      </c>
    </row>
    <row r="40">
      <c r="A40" s="90"/>
      <c r="B40" s="62" t="s">
        <v>2767</v>
      </c>
      <c r="C40" s="45" t="s">
        <v>257</v>
      </c>
      <c r="D40" s="62" t="s">
        <v>2768</v>
      </c>
      <c r="E40" s="11" t="s">
        <v>13</v>
      </c>
    </row>
    <row r="41">
      <c r="A41" s="90"/>
      <c r="B41" s="62" t="s">
        <v>2325</v>
      </c>
      <c r="C41" s="45" t="s">
        <v>271</v>
      </c>
      <c r="D41" s="62" t="s">
        <v>2771</v>
      </c>
      <c r="E41" s="11" t="s">
        <v>9</v>
      </c>
    </row>
    <row r="42">
      <c r="A42" s="90"/>
      <c r="B42" s="62" t="s">
        <v>2767</v>
      </c>
      <c r="C42" s="45" t="s">
        <v>157</v>
      </c>
      <c r="D42" s="61" t="s">
        <v>2770</v>
      </c>
      <c r="E42" s="11" t="s">
        <v>13</v>
      </c>
    </row>
    <row r="43">
      <c r="A43" s="90"/>
      <c r="B43" s="62" t="s">
        <v>2768</v>
      </c>
      <c r="C43" s="45" t="s">
        <v>251</v>
      </c>
      <c r="D43" s="62" t="s">
        <v>2771</v>
      </c>
      <c r="E43" s="11" t="s">
        <v>9</v>
      </c>
    </row>
    <row r="44">
      <c r="A44" s="91"/>
      <c r="B44" s="62" t="s">
        <v>2325</v>
      </c>
      <c r="C44" s="45" t="s">
        <v>19</v>
      </c>
      <c r="D44" s="61" t="s">
        <v>2770</v>
      </c>
      <c r="E44" s="11" t="s">
        <v>13</v>
      </c>
    </row>
    <row r="45">
      <c r="B45" s="1" t="s">
        <v>2260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2261</v>
      </c>
      <c r="C47" s="45" t="s">
        <v>7</v>
      </c>
      <c r="D47" s="56" t="s">
        <v>2772</v>
      </c>
      <c r="E47" s="11" t="s">
        <v>9</v>
      </c>
    </row>
    <row r="48">
      <c r="B48" s="61" t="s">
        <v>739</v>
      </c>
      <c r="C48" s="45" t="s">
        <v>289</v>
      </c>
      <c r="D48" s="61" t="s">
        <v>845</v>
      </c>
      <c r="E48" s="11" t="s">
        <v>13</v>
      </c>
    </row>
    <row r="49">
      <c r="B49" s="61" t="s">
        <v>2262</v>
      </c>
      <c r="C49" s="45" t="s">
        <v>43</v>
      </c>
      <c r="D49" s="61" t="s">
        <v>2261</v>
      </c>
      <c r="E49" s="11" t="s">
        <v>9</v>
      </c>
    </row>
    <row r="50">
      <c r="B50" s="61" t="s">
        <v>739</v>
      </c>
      <c r="C50" s="45" t="s">
        <v>173</v>
      </c>
      <c r="D50" s="56" t="s">
        <v>2772</v>
      </c>
      <c r="E50" s="11" t="s">
        <v>13</v>
      </c>
    </row>
    <row r="51">
      <c r="B51" s="61" t="s">
        <v>2262</v>
      </c>
      <c r="C51" s="45" t="s">
        <v>194</v>
      </c>
      <c r="D51" s="61" t="s">
        <v>845</v>
      </c>
      <c r="E51" s="11" t="s">
        <v>9</v>
      </c>
    </row>
    <row r="52">
      <c r="B52" s="61" t="s">
        <v>739</v>
      </c>
      <c r="C52" s="45" t="s">
        <v>1836</v>
      </c>
      <c r="D52" s="61" t="s">
        <v>2261</v>
      </c>
      <c r="E52" s="11" t="s">
        <v>13</v>
      </c>
    </row>
    <row r="53">
      <c r="B53" s="61" t="s">
        <v>2262</v>
      </c>
      <c r="C53" s="45" t="s">
        <v>27</v>
      </c>
      <c r="D53" s="56" t="s">
        <v>2772</v>
      </c>
      <c r="E53" s="11" t="s">
        <v>9</v>
      </c>
    </row>
    <row r="54">
      <c r="B54" s="61" t="s">
        <v>845</v>
      </c>
      <c r="C54" s="45" t="s">
        <v>194</v>
      </c>
      <c r="D54" s="61" t="s">
        <v>2261</v>
      </c>
      <c r="E54" s="11" t="s">
        <v>13</v>
      </c>
    </row>
    <row r="55">
      <c r="B55" s="61" t="s">
        <v>2262</v>
      </c>
      <c r="C55" s="45" t="s">
        <v>43</v>
      </c>
      <c r="D55" s="61" t="s">
        <v>739</v>
      </c>
      <c r="E55" s="11" t="s">
        <v>9</v>
      </c>
    </row>
    <row r="56">
      <c r="B56" s="61" t="s">
        <v>845</v>
      </c>
      <c r="C56" s="45" t="s">
        <v>7</v>
      </c>
      <c r="D56" s="56" t="s">
        <v>2772</v>
      </c>
      <c r="E56" s="11" t="s">
        <v>13</v>
      </c>
    </row>
    <row r="57">
      <c r="B57" s="56" t="s">
        <v>2772</v>
      </c>
      <c r="C57" s="45" t="s">
        <v>525</v>
      </c>
      <c r="D57" s="61" t="s">
        <v>2261</v>
      </c>
      <c r="E57" s="11" t="s">
        <v>9</v>
      </c>
    </row>
    <row r="58">
      <c r="B58" s="61" t="s">
        <v>845</v>
      </c>
      <c r="C58" s="45" t="s">
        <v>2773</v>
      </c>
      <c r="D58" s="61" t="s">
        <v>739</v>
      </c>
      <c r="E58" s="11" t="s">
        <v>13</v>
      </c>
    </row>
    <row r="59">
      <c r="B59" s="61" t="s">
        <v>2261</v>
      </c>
      <c r="C59" s="45" t="s">
        <v>219</v>
      </c>
      <c r="D59" s="61" t="s">
        <v>2262</v>
      </c>
      <c r="E59" s="11" t="s">
        <v>9</v>
      </c>
    </row>
    <row r="60">
      <c r="B60" s="56" t="s">
        <v>2772</v>
      </c>
      <c r="C60" s="45" t="s">
        <v>7</v>
      </c>
      <c r="D60" s="61" t="s">
        <v>739</v>
      </c>
      <c r="E60" s="11" t="s">
        <v>13</v>
      </c>
    </row>
    <row r="61">
      <c r="B61" s="61" t="s">
        <v>845</v>
      </c>
      <c r="C61" s="45" t="s">
        <v>161</v>
      </c>
      <c r="D61" s="61" t="s">
        <v>2262</v>
      </c>
      <c r="E61" s="11" t="s">
        <v>9</v>
      </c>
    </row>
    <row r="62">
      <c r="B62" s="61" t="s">
        <v>2261</v>
      </c>
      <c r="C62" s="45" t="s">
        <v>42</v>
      </c>
      <c r="D62" s="61" t="s">
        <v>739</v>
      </c>
      <c r="E62" s="11" t="s">
        <v>13</v>
      </c>
    </row>
    <row r="63">
      <c r="B63" s="56" t="s">
        <v>2772</v>
      </c>
      <c r="C63" s="45" t="s">
        <v>231</v>
      </c>
      <c r="D63" s="61" t="s">
        <v>2262</v>
      </c>
      <c r="E63" s="11" t="s">
        <v>9</v>
      </c>
    </row>
    <row r="64">
      <c r="B64" s="61" t="s">
        <v>2261</v>
      </c>
      <c r="C64" s="45" t="s">
        <v>517</v>
      </c>
      <c r="D64" s="61" t="s">
        <v>845</v>
      </c>
      <c r="E64" s="11" t="s">
        <v>13</v>
      </c>
    </row>
    <row r="65">
      <c r="B65" s="61" t="s">
        <v>739</v>
      </c>
      <c r="C65" s="45" t="s">
        <v>16</v>
      </c>
      <c r="D65" s="61" t="s">
        <v>2262</v>
      </c>
      <c r="E65" s="11" t="s">
        <v>9</v>
      </c>
    </row>
    <row r="66">
      <c r="B66" s="56" t="s">
        <v>2772</v>
      </c>
      <c r="C66" s="45" t="s">
        <v>160</v>
      </c>
      <c r="D66" s="61" t="s">
        <v>845</v>
      </c>
      <c r="E66" s="11" t="s">
        <v>13</v>
      </c>
    </row>
    <row r="67">
      <c r="B67" s="1" t="s">
        <v>2207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2642</v>
      </c>
      <c r="C69" s="45" t="s">
        <v>525</v>
      </c>
      <c r="D69" s="56" t="s">
        <v>2774</v>
      </c>
      <c r="E69" s="11" t="s">
        <v>9</v>
      </c>
    </row>
    <row r="70">
      <c r="B70" s="61" t="s">
        <v>2775</v>
      </c>
      <c r="C70" s="45" t="s">
        <v>220</v>
      </c>
      <c r="D70" s="61" t="s">
        <v>1547</v>
      </c>
      <c r="E70" s="11" t="s">
        <v>13</v>
      </c>
    </row>
    <row r="71">
      <c r="B71" s="61" t="s">
        <v>1548</v>
      </c>
      <c r="C71" s="45" t="s">
        <v>164</v>
      </c>
      <c r="D71" s="61" t="s">
        <v>2642</v>
      </c>
      <c r="E71" s="11" t="s">
        <v>9</v>
      </c>
    </row>
    <row r="72">
      <c r="B72" s="61" t="s">
        <v>2775</v>
      </c>
      <c r="C72" s="45" t="s">
        <v>565</v>
      </c>
      <c r="D72" s="56" t="s">
        <v>2774</v>
      </c>
      <c r="E72" s="11" t="s">
        <v>13</v>
      </c>
    </row>
    <row r="73">
      <c r="B73" s="61" t="s">
        <v>1548</v>
      </c>
      <c r="C73" s="45" t="s">
        <v>198</v>
      </c>
      <c r="D73" s="61" t="s">
        <v>1547</v>
      </c>
      <c r="E73" s="11" t="s">
        <v>9</v>
      </c>
    </row>
    <row r="74">
      <c r="B74" s="61" t="s">
        <v>2775</v>
      </c>
      <c r="C74" s="45" t="s">
        <v>290</v>
      </c>
      <c r="D74" s="70" t="s">
        <v>2642</v>
      </c>
      <c r="E74" s="11" t="s">
        <v>13</v>
      </c>
    </row>
    <row r="75">
      <c r="B75" s="61" t="s">
        <v>1548</v>
      </c>
      <c r="C75" s="45" t="s">
        <v>209</v>
      </c>
      <c r="D75" s="56" t="s">
        <v>2774</v>
      </c>
      <c r="E75" s="11" t="s">
        <v>9</v>
      </c>
    </row>
    <row r="76">
      <c r="B76" s="61" t="s">
        <v>1547</v>
      </c>
      <c r="C76" s="45" t="s">
        <v>196</v>
      </c>
      <c r="D76" s="61" t="s">
        <v>2642</v>
      </c>
      <c r="E76" s="11" t="s">
        <v>13</v>
      </c>
    </row>
    <row r="77">
      <c r="B77" s="61" t="s">
        <v>1548</v>
      </c>
      <c r="C77" s="45" t="s">
        <v>176</v>
      </c>
      <c r="D77" s="61" t="s">
        <v>2775</v>
      </c>
      <c r="E77" s="11" t="s">
        <v>9</v>
      </c>
    </row>
    <row r="78">
      <c r="B78" s="61" t="s">
        <v>1547</v>
      </c>
      <c r="C78" s="45" t="s">
        <v>302</v>
      </c>
      <c r="D78" s="56" t="s">
        <v>2774</v>
      </c>
      <c r="E78" s="11" t="s">
        <v>13</v>
      </c>
    </row>
    <row r="79">
      <c r="B79" s="56" t="s">
        <v>2774</v>
      </c>
      <c r="C79" s="45" t="s">
        <v>24</v>
      </c>
      <c r="D79" s="61" t="s">
        <v>2642</v>
      </c>
      <c r="E79" s="11" t="s">
        <v>9</v>
      </c>
    </row>
    <row r="80">
      <c r="B80" s="61" t="s">
        <v>1547</v>
      </c>
      <c r="C80" s="45" t="s">
        <v>291</v>
      </c>
      <c r="D80" s="61" t="s">
        <v>2775</v>
      </c>
      <c r="E80" s="11" t="s">
        <v>13</v>
      </c>
    </row>
    <row r="81">
      <c r="B81" s="61" t="s">
        <v>2642</v>
      </c>
      <c r="C81" s="45" t="s">
        <v>302</v>
      </c>
      <c r="D81" s="61" t="s">
        <v>1548</v>
      </c>
      <c r="E81" s="11" t="s">
        <v>9</v>
      </c>
    </row>
    <row r="82">
      <c r="B82" s="56" t="s">
        <v>2774</v>
      </c>
      <c r="C82" s="45" t="s">
        <v>177</v>
      </c>
      <c r="D82" s="61" t="s">
        <v>2775</v>
      </c>
      <c r="E82" s="11" t="s">
        <v>13</v>
      </c>
    </row>
    <row r="83">
      <c r="B83" s="61" t="s">
        <v>1547</v>
      </c>
      <c r="C83" s="45" t="s">
        <v>233</v>
      </c>
      <c r="D83" s="61" t="s">
        <v>1548</v>
      </c>
      <c r="E83" s="11" t="s">
        <v>9</v>
      </c>
    </row>
    <row r="84">
      <c r="B84" s="61" t="s">
        <v>2642</v>
      </c>
      <c r="C84" s="45" t="s">
        <v>184</v>
      </c>
      <c r="D84" s="61" t="s">
        <v>2775</v>
      </c>
      <c r="E84" s="11" t="s">
        <v>13</v>
      </c>
    </row>
    <row r="85">
      <c r="B85" s="56" t="s">
        <v>2774</v>
      </c>
      <c r="C85" s="45" t="s">
        <v>1016</v>
      </c>
      <c r="D85" s="61" t="s">
        <v>1548</v>
      </c>
      <c r="E85" s="11" t="s">
        <v>9</v>
      </c>
    </row>
    <row r="86">
      <c r="B86" s="61" t="s">
        <v>2642</v>
      </c>
      <c r="C86" s="45" t="s">
        <v>525</v>
      </c>
      <c r="D86" s="61" t="s">
        <v>1547</v>
      </c>
      <c r="E86" s="11" t="s">
        <v>13</v>
      </c>
    </row>
    <row r="87">
      <c r="B87" s="61" t="s">
        <v>2775</v>
      </c>
      <c r="C87" s="45" t="s">
        <v>248</v>
      </c>
      <c r="D87" s="61" t="s">
        <v>1548</v>
      </c>
      <c r="E87" s="11" t="s">
        <v>9</v>
      </c>
    </row>
    <row r="88">
      <c r="B88" s="56" t="s">
        <v>2774</v>
      </c>
      <c r="C88" s="45" t="s">
        <v>344</v>
      </c>
      <c r="D88" s="61" t="s">
        <v>1547</v>
      </c>
      <c r="E88" s="11" t="s">
        <v>13</v>
      </c>
    </row>
    <row r="89">
      <c r="B89" s="96" t="s">
        <v>2776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2777</v>
      </c>
      <c r="C91" s="57" t="s">
        <v>218</v>
      </c>
      <c r="D91" s="61" t="s">
        <v>1055</v>
      </c>
      <c r="E91" s="33" t="s">
        <v>29</v>
      </c>
    </row>
    <row r="92">
      <c r="B92" s="61" t="s">
        <v>1368</v>
      </c>
      <c r="C92" s="57" t="s">
        <v>1079</v>
      </c>
      <c r="D92" s="61" t="s">
        <v>328</v>
      </c>
      <c r="E92" s="33" t="s">
        <v>33</v>
      </c>
    </row>
    <row r="93">
      <c r="B93" s="61" t="s">
        <v>2077</v>
      </c>
      <c r="C93" s="57" t="s">
        <v>17</v>
      </c>
      <c r="D93" s="61" t="s">
        <v>2777</v>
      </c>
      <c r="E93" s="33" t="s">
        <v>29</v>
      </c>
    </row>
    <row r="94">
      <c r="B94" s="61" t="s">
        <v>1368</v>
      </c>
      <c r="C94" s="57" t="s">
        <v>1162</v>
      </c>
      <c r="D94" s="61" t="s">
        <v>1055</v>
      </c>
      <c r="E94" s="33" t="s">
        <v>33</v>
      </c>
    </row>
    <row r="95">
      <c r="B95" s="61" t="s">
        <v>2077</v>
      </c>
      <c r="C95" s="57" t="s">
        <v>197</v>
      </c>
      <c r="D95" s="61" t="s">
        <v>328</v>
      </c>
      <c r="E95" s="33" t="s">
        <v>29</v>
      </c>
    </row>
    <row r="96">
      <c r="B96" s="61" t="s">
        <v>1368</v>
      </c>
      <c r="C96" s="57" t="s">
        <v>517</v>
      </c>
      <c r="D96" s="61" t="s">
        <v>2777</v>
      </c>
      <c r="E96" s="33" t="s">
        <v>33</v>
      </c>
    </row>
    <row r="97">
      <c r="B97" s="61" t="s">
        <v>2077</v>
      </c>
      <c r="C97" s="57" t="s">
        <v>408</v>
      </c>
      <c r="D97" s="61" t="s">
        <v>1055</v>
      </c>
      <c r="E97" s="33" t="s">
        <v>29</v>
      </c>
    </row>
    <row r="98">
      <c r="B98" s="61" t="s">
        <v>328</v>
      </c>
      <c r="C98" s="57" t="s">
        <v>43</v>
      </c>
      <c r="D98" s="61" t="s">
        <v>2777</v>
      </c>
      <c r="E98" s="33" t="s">
        <v>33</v>
      </c>
    </row>
    <row r="99">
      <c r="B99" s="61" t="s">
        <v>2077</v>
      </c>
      <c r="C99" s="57" t="s">
        <v>164</v>
      </c>
      <c r="D99" s="61" t="s">
        <v>1368</v>
      </c>
      <c r="E99" s="33" t="s">
        <v>29</v>
      </c>
    </row>
    <row r="100">
      <c r="B100" s="61" t="s">
        <v>328</v>
      </c>
      <c r="C100" s="57" t="s">
        <v>14</v>
      </c>
      <c r="D100" s="61" t="s">
        <v>1055</v>
      </c>
      <c r="E100" s="33" t="s">
        <v>33</v>
      </c>
    </row>
    <row r="101">
      <c r="B101" s="61" t="s">
        <v>1055</v>
      </c>
      <c r="C101" s="57" t="s">
        <v>17</v>
      </c>
      <c r="D101" s="61" t="s">
        <v>2777</v>
      </c>
      <c r="E101" s="33" t="s">
        <v>29</v>
      </c>
    </row>
    <row r="102">
      <c r="B102" s="61" t="s">
        <v>328</v>
      </c>
      <c r="C102" s="57" t="s">
        <v>324</v>
      </c>
      <c r="D102" s="61" t="s">
        <v>1368</v>
      </c>
      <c r="E102" s="33" t="s">
        <v>33</v>
      </c>
      <c r="F102" s="50"/>
    </row>
    <row r="103">
      <c r="B103" s="61" t="s">
        <v>2777</v>
      </c>
      <c r="C103" s="45" t="s">
        <v>18</v>
      </c>
      <c r="D103" s="61" t="s">
        <v>2077</v>
      </c>
      <c r="E103" s="33" t="s">
        <v>29</v>
      </c>
    </row>
    <row r="104">
      <c r="B104" s="61" t="s">
        <v>1055</v>
      </c>
      <c r="C104" s="45" t="s">
        <v>502</v>
      </c>
      <c r="D104" s="61" t="s">
        <v>1368</v>
      </c>
      <c r="E104" s="33" t="s">
        <v>33</v>
      </c>
    </row>
    <row r="105">
      <c r="B105" s="61" t="s">
        <v>328</v>
      </c>
      <c r="C105" s="45" t="s">
        <v>210</v>
      </c>
      <c r="D105" s="61" t="s">
        <v>2077</v>
      </c>
      <c r="E105" s="33" t="s">
        <v>29</v>
      </c>
    </row>
    <row r="106">
      <c r="B106" s="61" t="s">
        <v>2777</v>
      </c>
      <c r="C106" s="45" t="s">
        <v>27</v>
      </c>
      <c r="D106" s="61" t="s">
        <v>1368</v>
      </c>
      <c r="E106" s="33" t="s">
        <v>33</v>
      </c>
    </row>
    <row r="107">
      <c r="B107" s="61" t="s">
        <v>1055</v>
      </c>
      <c r="C107" s="45" t="s">
        <v>555</v>
      </c>
      <c r="D107" s="61" t="s">
        <v>2077</v>
      </c>
      <c r="E107" s="33" t="s">
        <v>29</v>
      </c>
    </row>
    <row r="108">
      <c r="B108" s="61" t="s">
        <v>2777</v>
      </c>
      <c r="C108" s="45" t="s">
        <v>23</v>
      </c>
      <c r="D108" s="61" t="s">
        <v>328</v>
      </c>
      <c r="E108" s="33" t="s">
        <v>33</v>
      </c>
    </row>
    <row r="109">
      <c r="B109" s="61" t="s">
        <v>1368</v>
      </c>
      <c r="C109" s="45" t="s">
        <v>531</v>
      </c>
      <c r="D109" s="61" t="s">
        <v>2077</v>
      </c>
      <c r="E109" s="33" t="s">
        <v>29</v>
      </c>
    </row>
    <row r="110">
      <c r="B110" s="61" t="s">
        <v>1055</v>
      </c>
      <c r="C110" s="45" t="s">
        <v>229</v>
      </c>
      <c r="D110" s="61" t="s">
        <v>328</v>
      </c>
      <c r="E110" s="33" t="s">
        <v>33</v>
      </c>
    </row>
    <row r="111">
      <c r="B111" s="1" t="s">
        <v>2741</v>
      </c>
      <c r="C111" s="2"/>
      <c r="D111" s="3"/>
      <c r="E111" s="4"/>
      <c r="H111" s="50" t="s">
        <v>505</v>
      </c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2778</v>
      </c>
      <c r="C113" s="57" t="s">
        <v>162</v>
      </c>
      <c r="D113" s="61" t="s">
        <v>1877</v>
      </c>
      <c r="E113" s="33" t="s">
        <v>29</v>
      </c>
    </row>
    <row r="114">
      <c r="B114" s="61" t="s">
        <v>551</v>
      </c>
      <c r="C114" s="57" t="s">
        <v>750</v>
      </c>
      <c r="D114" s="61" t="s">
        <v>548</v>
      </c>
      <c r="E114" s="33" t="s">
        <v>33</v>
      </c>
    </row>
    <row r="115">
      <c r="B115" s="61" t="s">
        <v>1876</v>
      </c>
      <c r="C115" s="57" t="s">
        <v>187</v>
      </c>
      <c r="D115" s="61" t="s">
        <v>2778</v>
      </c>
      <c r="E115" s="33" t="s">
        <v>29</v>
      </c>
    </row>
    <row r="116">
      <c r="B116" s="61" t="s">
        <v>551</v>
      </c>
      <c r="C116" s="57" t="s">
        <v>848</v>
      </c>
      <c r="D116" s="61" t="s">
        <v>1877</v>
      </c>
      <c r="E116" s="33" t="s">
        <v>33</v>
      </c>
    </row>
    <row r="117">
      <c r="B117" s="61" t="s">
        <v>1876</v>
      </c>
      <c r="C117" s="57" t="s">
        <v>573</v>
      </c>
      <c r="D117" s="61" t="s">
        <v>548</v>
      </c>
      <c r="E117" s="33" t="s">
        <v>29</v>
      </c>
    </row>
    <row r="118">
      <c r="B118" s="61" t="s">
        <v>551</v>
      </c>
      <c r="C118" s="57" t="s">
        <v>248</v>
      </c>
      <c r="D118" s="61" t="s">
        <v>2778</v>
      </c>
      <c r="E118" s="33" t="s">
        <v>33</v>
      </c>
    </row>
    <row r="119">
      <c r="B119" s="61" t="s">
        <v>1876</v>
      </c>
      <c r="C119" s="57" t="s">
        <v>525</v>
      </c>
      <c r="D119" s="61" t="s">
        <v>1877</v>
      </c>
      <c r="E119" s="33" t="s">
        <v>29</v>
      </c>
    </row>
    <row r="120">
      <c r="B120" s="61" t="s">
        <v>548</v>
      </c>
      <c r="C120" s="57" t="s">
        <v>155</v>
      </c>
      <c r="D120" s="61" t="s">
        <v>2778</v>
      </c>
      <c r="E120" s="33" t="s">
        <v>33</v>
      </c>
    </row>
    <row r="121">
      <c r="B121" s="61" t="s">
        <v>1876</v>
      </c>
      <c r="C121" s="57" t="s">
        <v>43</v>
      </c>
      <c r="D121" s="61" t="s">
        <v>551</v>
      </c>
      <c r="E121" s="33" t="s">
        <v>29</v>
      </c>
    </row>
    <row r="122">
      <c r="B122" s="61" t="s">
        <v>548</v>
      </c>
      <c r="C122" s="57" t="s">
        <v>791</v>
      </c>
      <c r="D122" s="61" t="s">
        <v>1877</v>
      </c>
      <c r="E122" s="33" t="s">
        <v>33</v>
      </c>
    </row>
    <row r="123">
      <c r="B123" s="61" t="s">
        <v>1877</v>
      </c>
      <c r="C123" s="57" t="s">
        <v>281</v>
      </c>
      <c r="D123" s="61" t="s">
        <v>2778</v>
      </c>
      <c r="E123" s="33" t="s">
        <v>29</v>
      </c>
    </row>
    <row r="124">
      <c r="B124" s="61" t="s">
        <v>548</v>
      </c>
      <c r="C124" s="57" t="s">
        <v>231</v>
      </c>
      <c r="D124" s="61" t="s">
        <v>551</v>
      </c>
      <c r="E124" s="33" t="s">
        <v>33</v>
      </c>
    </row>
    <row r="125">
      <c r="B125" s="61" t="s">
        <v>2778</v>
      </c>
      <c r="C125" s="45" t="s">
        <v>338</v>
      </c>
      <c r="D125" s="61" t="s">
        <v>1876</v>
      </c>
      <c r="E125" s="33" t="s">
        <v>29</v>
      </c>
    </row>
    <row r="126">
      <c r="B126" s="61" t="s">
        <v>1877</v>
      </c>
      <c r="C126" s="45" t="s">
        <v>2779</v>
      </c>
      <c r="D126" s="61" t="s">
        <v>551</v>
      </c>
      <c r="E126" s="33" t="s">
        <v>33</v>
      </c>
    </row>
    <row r="127">
      <c r="B127" s="61" t="s">
        <v>548</v>
      </c>
      <c r="C127" s="45" t="s">
        <v>225</v>
      </c>
      <c r="D127" s="61" t="s">
        <v>1876</v>
      </c>
      <c r="E127" s="33" t="s">
        <v>29</v>
      </c>
    </row>
    <row r="128">
      <c r="B128" s="61" t="s">
        <v>2778</v>
      </c>
      <c r="C128" s="45" t="s">
        <v>159</v>
      </c>
      <c r="D128" s="61" t="s">
        <v>551</v>
      </c>
      <c r="E128" s="33" t="s">
        <v>33</v>
      </c>
    </row>
    <row r="129">
      <c r="B129" s="61" t="s">
        <v>1877</v>
      </c>
      <c r="C129" s="45" t="s">
        <v>17</v>
      </c>
      <c r="D129" s="61" t="s">
        <v>1876</v>
      </c>
      <c r="E129" s="33" t="s">
        <v>29</v>
      </c>
    </row>
    <row r="130">
      <c r="B130" s="61" t="s">
        <v>2778</v>
      </c>
      <c r="C130" s="45" t="s">
        <v>231</v>
      </c>
      <c r="D130" s="61" t="s">
        <v>548</v>
      </c>
      <c r="E130" s="33" t="s">
        <v>33</v>
      </c>
    </row>
    <row r="131">
      <c r="B131" s="61" t="s">
        <v>551</v>
      </c>
      <c r="C131" s="45" t="s">
        <v>549</v>
      </c>
      <c r="D131" s="61" t="s">
        <v>1876</v>
      </c>
      <c r="E131" s="33" t="s">
        <v>29</v>
      </c>
    </row>
    <row r="132">
      <c r="B132" s="61" t="s">
        <v>1877</v>
      </c>
      <c r="C132" s="45" t="s">
        <v>2360</v>
      </c>
      <c r="D132" s="61" t="s">
        <v>548</v>
      </c>
      <c r="E132" s="33" t="s">
        <v>33</v>
      </c>
    </row>
    <row r="133">
      <c r="B133" s="1" t="s">
        <v>2780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2247</v>
      </c>
      <c r="C135" s="57" t="s">
        <v>2360</v>
      </c>
      <c r="D135" s="56" t="s">
        <v>2781</v>
      </c>
      <c r="E135" s="11" t="s">
        <v>9</v>
      </c>
    </row>
    <row r="136">
      <c r="B136" s="61" t="s">
        <v>2249</v>
      </c>
      <c r="C136" s="57" t="s">
        <v>166</v>
      </c>
      <c r="D136" s="61" t="s">
        <v>1044</v>
      </c>
      <c r="E136" s="11" t="s">
        <v>13</v>
      </c>
    </row>
    <row r="137">
      <c r="B137" s="61" t="s">
        <v>2782</v>
      </c>
      <c r="C137" s="57" t="s">
        <v>185</v>
      </c>
      <c r="D137" s="61" t="s">
        <v>2247</v>
      </c>
      <c r="E137" s="11" t="s">
        <v>9</v>
      </c>
    </row>
    <row r="138">
      <c r="B138" s="61" t="s">
        <v>2249</v>
      </c>
      <c r="C138" s="57" t="s">
        <v>194</v>
      </c>
      <c r="D138" s="56" t="s">
        <v>2781</v>
      </c>
      <c r="E138" s="11" t="s">
        <v>13</v>
      </c>
    </row>
    <row r="139">
      <c r="B139" s="61" t="s">
        <v>2782</v>
      </c>
      <c r="C139" s="57" t="s">
        <v>164</v>
      </c>
      <c r="D139" s="61" t="s">
        <v>1044</v>
      </c>
      <c r="E139" s="11" t="s">
        <v>9</v>
      </c>
    </row>
    <row r="140">
      <c r="B140" s="61" t="s">
        <v>2249</v>
      </c>
      <c r="C140" s="57" t="s">
        <v>324</v>
      </c>
      <c r="D140" s="61" t="s">
        <v>2247</v>
      </c>
      <c r="E140" s="11" t="s">
        <v>13</v>
      </c>
    </row>
    <row r="141">
      <c r="B141" s="61" t="s">
        <v>2782</v>
      </c>
      <c r="C141" s="57" t="s">
        <v>38</v>
      </c>
      <c r="D141" s="56" t="s">
        <v>2781</v>
      </c>
      <c r="E141" s="11" t="s">
        <v>9</v>
      </c>
    </row>
    <row r="142">
      <c r="B142" s="61" t="s">
        <v>1044</v>
      </c>
      <c r="C142" s="57" t="s">
        <v>209</v>
      </c>
      <c r="D142" s="61" t="s">
        <v>2247</v>
      </c>
      <c r="E142" s="11" t="s">
        <v>13</v>
      </c>
    </row>
    <row r="143">
      <c r="B143" s="61" t="s">
        <v>2782</v>
      </c>
      <c r="C143" s="57" t="s">
        <v>177</v>
      </c>
      <c r="D143" s="61" t="s">
        <v>2249</v>
      </c>
      <c r="E143" s="11" t="s">
        <v>9</v>
      </c>
    </row>
    <row r="144">
      <c r="B144" s="61" t="s">
        <v>1044</v>
      </c>
      <c r="C144" s="57" t="s">
        <v>7</v>
      </c>
      <c r="D144" s="56" t="s">
        <v>2781</v>
      </c>
      <c r="E144" s="11" t="s">
        <v>13</v>
      </c>
    </row>
    <row r="145">
      <c r="B145" s="56" t="s">
        <v>2781</v>
      </c>
      <c r="C145" s="57" t="s">
        <v>19</v>
      </c>
      <c r="D145" s="61" t="s">
        <v>2247</v>
      </c>
      <c r="E145" s="11" t="s">
        <v>9</v>
      </c>
    </row>
    <row r="146">
      <c r="B146" s="61" t="s">
        <v>1044</v>
      </c>
      <c r="C146" s="57" t="s">
        <v>225</v>
      </c>
      <c r="D146" s="61" t="s">
        <v>2249</v>
      </c>
      <c r="E146" s="11" t="s">
        <v>13</v>
      </c>
    </row>
    <row r="147">
      <c r="B147" s="61" t="s">
        <v>2247</v>
      </c>
      <c r="C147" s="45" t="s">
        <v>158</v>
      </c>
      <c r="D147" s="61" t="s">
        <v>2782</v>
      </c>
      <c r="E147" s="11" t="s">
        <v>9</v>
      </c>
    </row>
    <row r="148">
      <c r="B148" s="56" t="s">
        <v>2781</v>
      </c>
      <c r="C148" s="45" t="s">
        <v>185</v>
      </c>
      <c r="D148" s="61" t="s">
        <v>2249</v>
      </c>
      <c r="E148" s="11" t="s">
        <v>13</v>
      </c>
    </row>
    <row r="149">
      <c r="B149" s="61" t="s">
        <v>1044</v>
      </c>
      <c r="C149" s="45" t="s">
        <v>24</v>
      </c>
      <c r="D149" s="61" t="s">
        <v>2782</v>
      </c>
      <c r="E149" s="11" t="s">
        <v>9</v>
      </c>
    </row>
    <row r="150">
      <c r="B150" s="61" t="s">
        <v>2247</v>
      </c>
      <c r="C150" s="45" t="s">
        <v>336</v>
      </c>
      <c r="D150" s="61" t="s">
        <v>2249</v>
      </c>
      <c r="E150" s="11" t="s">
        <v>13</v>
      </c>
    </row>
    <row r="151">
      <c r="B151" s="56" t="s">
        <v>2781</v>
      </c>
      <c r="C151" s="45" t="s">
        <v>158</v>
      </c>
      <c r="D151" s="61" t="s">
        <v>2782</v>
      </c>
      <c r="E151" s="11" t="s">
        <v>9</v>
      </c>
    </row>
    <row r="152">
      <c r="B152" s="61" t="s">
        <v>2247</v>
      </c>
      <c r="C152" s="45" t="s">
        <v>289</v>
      </c>
      <c r="D152" s="61" t="s">
        <v>1044</v>
      </c>
      <c r="E152" s="11" t="s">
        <v>13</v>
      </c>
    </row>
    <row r="153">
      <c r="B153" s="61" t="s">
        <v>2249</v>
      </c>
      <c r="C153" s="45" t="s">
        <v>193</v>
      </c>
      <c r="D153" s="61" t="s">
        <v>2782</v>
      </c>
      <c r="E153" s="11" t="s">
        <v>9</v>
      </c>
    </row>
    <row r="154">
      <c r="B154" s="56" t="s">
        <v>2781</v>
      </c>
      <c r="C154" s="45" t="s">
        <v>219</v>
      </c>
      <c r="D154" s="61" t="s">
        <v>1044</v>
      </c>
      <c r="E154" s="11" t="s">
        <v>13</v>
      </c>
    </row>
    <row r="155">
      <c r="B155" s="1" t="s">
        <v>1803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2702</v>
      </c>
      <c r="C157" s="57" t="s">
        <v>233</v>
      </c>
      <c r="D157" s="56" t="s">
        <v>2783</v>
      </c>
      <c r="E157" s="11" t="s">
        <v>9</v>
      </c>
    </row>
    <row r="158">
      <c r="B158" s="61" t="s">
        <v>2323</v>
      </c>
      <c r="C158" s="57" t="s">
        <v>257</v>
      </c>
      <c r="D158" s="61" t="s">
        <v>2605</v>
      </c>
      <c r="E158" s="11" t="s">
        <v>13</v>
      </c>
    </row>
    <row r="159">
      <c r="B159" s="61" t="s">
        <v>2784</v>
      </c>
      <c r="C159" s="57" t="s">
        <v>574</v>
      </c>
      <c r="D159" s="61" t="s">
        <v>2702</v>
      </c>
      <c r="E159" s="11" t="s">
        <v>9</v>
      </c>
    </row>
    <row r="160">
      <c r="B160" s="61" t="s">
        <v>2323</v>
      </c>
      <c r="C160" s="54" t="s">
        <v>193</v>
      </c>
      <c r="D160" s="56" t="s">
        <v>2783</v>
      </c>
      <c r="E160" s="11" t="s">
        <v>13</v>
      </c>
    </row>
    <row r="161">
      <c r="B161" s="61" t="s">
        <v>2784</v>
      </c>
      <c r="C161" s="57" t="s">
        <v>162</v>
      </c>
      <c r="D161" s="61" t="s">
        <v>2605</v>
      </c>
      <c r="E161" s="11" t="s">
        <v>9</v>
      </c>
    </row>
    <row r="162">
      <c r="B162" s="61" t="s">
        <v>2323</v>
      </c>
      <c r="C162" s="57" t="s">
        <v>20</v>
      </c>
      <c r="D162" s="61" t="s">
        <v>2702</v>
      </c>
      <c r="E162" s="11" t="s">
        <v>13</v>
      </c>
    </row>
    <row r="163">
      <c r="B163" s="61" t="s">
        <v>2784</v>
      </c>
      <c r="C163" s="57" t="s">
        <v>196</v>
      </c>
      <c r="D163" s="56" t="s">
        <v>2783</v>
      </c>
      <c r="E163" s="11" t="s">
        <v>9</v>
      </c>
    </row>
    <row r="164">
      <c r="B164" s="61" t="s">
        <v>2605</v>
      </c>
      <c r="C164" s="57" t="s">
        <v>271</v>
      </c>
      <c r="D164" s="61" t="s">
        <v>2702</v>
      </c>
      <c r="E164" s="11" t="s">
        <v>13</v>
      </c>
    </row>
    <row r="165">
      <c r="B165" s="61" t="s">
        <v>2784</v>
      </c>
      <c r="C165" s="57" t="s">
        <v>464</v>
      </c>
      <c r="D165" s="61" t="s">
        <v>2323</v>
      </c>
      <c r="E165" s="11" t="s">
        <v>9</v>
      </c>
    </row>
    <row r="166">
      <c r="B166" s="61" t="s">
        <v>2605</v>
      </c>
      <c r="C166" s="57" t="s">
        <v>334</v>
      </c>
      <c r="D166" s="56" t="s">
        <v>2783</v>
      </c>
      <c r="E166" s="11" t="s">
        <v>13</v>
      </c>
    </row>
    <row r="167">
      <c r="B167" s="56" t="s">
        <v>2783</v>
      </c>
      <c r="C167" s="57" t="s">
        <v>43</v>
      </c>
      <c r="D167" s="61" t="s">
        <v>2702</v>
      </c>
      <c r="E167" s="11" t="s">
        <v>9</v>
      </c>
    </row>
    <row r="168">
      <c r="B168" s="61" t="s">
        <v>2605</v>
      </c>
      <c r="C168" s="57" t="s">
        <v>203</v>
      </c>
      <c r="D168" s="61" t="s">
        <v>2323</v>
      </c>
      <c r="E168" s="11" t="s">
        <v>13</v>
      </c>
    </row>
    <row r="169">
      <c r="B169" s="61" t="s">
        <v>2702</v>
      </c>
      <c r="C169" s="45" t="s">
        <v>23</v>
      </c>
      <c r="D169" s="61" t="s">
        <v>2784</v>
      </c>
      <c r="E169" s="11" t="s">
        <v>9</v>
      </c>
    </row>
    <row r="170">
      <c r="B170" s="56" t="s">
        <v>2783</v>
      </c>
      <c r="C170" s="45" t="s">
        <v>184</v>
      </c>
      <c r="D170" s="61" t="s">
        <v>2323</v>
      </c>
      <c r="E170" s="11" t="s">
        <v>13</v>
      </c>
    </row>
    <row r="171">
      <c r="B171" s="61" t="s">
        <v>2605</v>
      </c>
      <c r="C171" s="45" t="s">
        <v>19</v>
      </c>
      <c r="D171" s="61" t="s">
        <v>2784</v>
      </c>
      <c r="E171" s="11" t="s">
        <v>9</v>
      </c>
    </row>
    <row r="172">
      <c r="B172" s="61" t="s">
        <v>2702</v>
      </c>
      <c r="C172" s="45" t="s">
        <v>301</v>
      </c>
      <c r="D172" s="61" t="s">
        <v>2323</v>
      </c>
      <c r="E172" s="11" t="s">
        <v>13</v>
      </c>
    </row>
    <row r="173">
      <c r="B173" s="56" t="s">
        <v>2783</v>
      </c>
      <c r="C173" s="45" t="s">
        <v>193</v>
      </c>
      <c r="D173" s="61" t="s">
        <v>2784</v>
      </c>
      <c r="E173" s="11" t="s">
        <v>9</v>
      </c>
    </row>
    <row r="174">
      <c r="B174" s="61" t="s">
        <v>2702</v>
      </c>
      <c r="C174" s="45" t="s">
        <v>272</v>
      </c>
      <c r="D174" s="61" t="s">
        <v>2605</v>
      </c>
      <c r="E174" s="11" t="s">
        <v>13</v>
      </c>
    </row>
    <row r="175">
      <c r="B175" s="61" t="s">
        <v>2323</v>
      </c>
      <c r="C175" s="45" t="s">
        <v>225</v>
      </c>
      <c r="D175" s="61" t="s">
        <v>2784</v>
      </c>
      <c r="E175" s="11" t="s">
        <v>9</v>
      </c>
    </row>
    <row r="176">
      <c r="B176" s="56" t="s">
        <v>2783</v>
      </c>
      <c r="C176" s="45" t="s">
        <v>278</v>
      </c>
      <c r="D176" s="61" t="s">
        <v>2605</v>
      </c>
      <c r="E176" s="11" t="s">
        <v>13</v>
      </c>
    </row>
    <row r="177">
      <c r="B177" s="1" t="s">
        <v>2748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2785</v>
      </c>
      <c r="C179" s="57" t="s">
        <v>18</v>
      </c>
      <c r="D179" s="61" t="s">
        <v>2786</v>
      </c>
      <c r="E179" s="33" t="s">
        <v>29</v>
      </c>
    </row>
    <row r="180">
      <c r="B180" s="61" t="s">
        <v>1291</v>
      </c>
      <c r="C180" s="57" t="s">
        <v>218</v>
      </c>
      <c r="D180" s="61" t="s">
        <v>2787</v>
      </c>
      <c r="E180" s="33" t="s">
        <v>33</v>
      </c>
    </row>
    <row r="181">
      <c r="B181" s="61" t="s">
        <v>2788</v>
      </c>
      <c r="C181" s="57" t="s">
        <v>1590</v>
      </c>
      <c r="D181" s="61" t="s">
        <v>2785</v>
      </c>
      <c r="E181" s="33" t="s">
        <v>29</v>
      </c>
    </row>
    <row r="182">
      <c r="B182" s="61" t="s">
        <v>1291</v>
      </c>
      <c r="C182" s="57" t="s">
        <v>185</v>
      </c>
      <c r="D182" s="61" t="s">
        <v>2786</v>
      </c>
      <c r="E182" s="33" t="s">
        <v>33</v>
      </c>
    </row>
    <row r="183">
      <c r="B183" s="61" t="s">
        <v>2788</v>
      </c>
      <c r="C183" s="57" t="s">
        <v>657</v>
      </c>
      <c r="D183" s="61" t="s">
        <v>2787</v>
      </c>
      <c r="E183" s="33" t="s">
        <v>29</v>
      </c>
    </row>
    <row r="184">
      <c r="B184" s="61" t="s">
        <v>1291</v>
      </c>
      <c r="C184" s="57" t="s">
        <v>258</v>
      </c>
      <c r="D184" s="61" t="s">
        <v>2785</v>
      </c>
      <c r="E184" s="33" t="s">
        <v>33</v>
      </c>
    </row>
    <row r="185">
      <c r="B185" s="61" t="s">
        <v>2788</v>
      </c>
      <c r="C185" s="57" t="s">
        <v>545</v>
      </c>
      <c r="D185" s="61" t="s">
        <v>2786</v>
      </c>
      <c r="E185" s="33" t="s">
        <v>29</v>
      </c>
    </row>
    <row r="186">
      <c r="B186" s="61" t="s">
        <v>2787</v>
      </c>
      <c r="C186" s="57" t="s">
        <v>898</v>
      </c>
      <c r="D186" s="61" t="s">
        <v>2785</v>
      </c>
      <c r="E186" s="33" t="s">
        <v>33</v>
      </c>
    </row>
    <row r="187">
      <c r="B187" s="61" t="s">
        <v>2788</v>
      </c>
      <c r="C187" s="57" t="s">
        <v>43</v>
      </c>
      <c r="D187" s="61" t="s">
        <v>1291</v>
      </c>
      <c r="E187" s="33" t="s">
        <v>29</v>
      </c>
    </row>
    <row r="188">
      <c r="B188" s="61" t="s">
        <v>2787</v>
      </c>
      <c r="C188" s="57" t="s">
        <v>316</v>
      </c>
      <c r="D188" s="61" t="s">
        <v>2786</v>
      </c>
      <c r="E188" s="33" t="s">
        <v>33</v>
      </c>
    </row>
    <row r="189">
      <c r="B189" s="61" t="s">
        <v>2786</v>
      </c>
      <c r="C189" s="57" t="s">
        <v>194</v>
      </c>
      <c r="D189" s="61" t="s">
        <v>2785</v>
      </c>
      <c r="E189" s="33" t="s">
        <v>29</v>
      </c>
    </row>
    <row r="190">
      <c r="B190" s="61" t="s">
        <v>2787</v>
      </c>
      <c r="C190" s="57" t="s">
        <v>1153</v>
      </c>
      <c r="D190" s="61" t="s">
        <v>1291</v>
      </c>
      <c r="E190" s="33" t="s">
        <v>33</v>
      </c>
    </row>
    <row r="191">
      <c r="B191" s="61" t="s">
        <v>2785</v>
      </c>
      <c r="C191" s="45" t="s">
        <v>324</v>
      </c>
      <c r="D191" s="61" t="s">
        <v>2788</v>
      </c>
      <c r="E191" s="33" t="s">
        <v>29</v>
      </c>
    </row>
    <row r="192">
      <c r="B192" s="61" t="s">
        <v>2786</v>
      </c>
      <c r="C192" s="45" t="s">
        <v>248</v>
      </c>
      <c r="D192" s="61" t="s">
        <v>1291</v>
      </c>
      <c r="E192" s="33" t="s">
        <v>33</v>
      </c>
    </row>
    <row r="193">
      <c r="B193" s="61" t="s">
        <v>2787</v>
      </c>
      <c r="C193" s="45" t="s">
        <v>2444</v>
      </c>
      <c r="D193" s="61" t="s">
        <v>2788</v>
      </c>
      <c r="E193" s="33" t="s">
        <v>29</v>
      </c>
    </row>
    <row r="194">
      <c r="B194" s="61" t="s">
        <v>2785</v>
      </c>
      <c r="C194" s="45" t="s">
        <v>640</v>
      </c>
      <c r="D194" s="61" t="s">
        <v>1291</v>
      </c>
      <c r="E194" s="33" t="s">
        <v>33</v>
      </c>
    </row>
    <row r="195">
      <c r="B195" s="61" t="s">
        <v>2786</v>
      </c>
      <c r="C195" s="45" t="s">
        <v>554</v>
      </c>
      <c r="D195" s="61" t="s">
        <v>2788</v>
      </c>
      <c r="E195" s="33" t="s">
        <v>29</v>
      </c>
    </row>
    <row r="196">
      <c r="B196" s="61" t="s">
        <v>2785</v>
      </c>
      <c r="C196" s="45" t="s">
        <v>443</v>
      </c>
      <c r="D196" s="61" t="s">
        <v>2787</v>
      </c>
      <c r="E196" s="33" t="s">
        <v>33</v>
      </c>
    </row>
    <row r="197">
      <c r="B197" s="61" t="s">
        <v>1291</v>
      </c>
      <c r="C197" s="45" t="s">
        <v>264</v>
      </c>
      <c r="D197" s="61" t="s">
        <v>2788</v>
      </c>
      <c r="E197" s="33" t="s">
        <v>29</v>
      </c>
    </row>
    <row r="198">
      <c r="B198" s="61" t="s">
        <v>2786</v>
      </c>
      <c r="C198" s="45" t="s">
        <v>315</v>
      </c>
      <c r="D198" s="61" t="s">
        <v>2787</v>
      </c>
      <c r="E198" s="33" t="s">
        <v>33</v>
      </c>
    </row>
    <row r="199">
      <c r="B199" s="1" t="s">
        <v>2789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2790</v>
      </c>
      <c r="C201" s="57" t="s">
        <v>336</v>
      </c>
      <c r="D201" s="61" t="s">
        <v>2558</v>
      </c>
      <c r="E201" s="33" t="s">
        <v>29</v>
      </c>
    </row>
    <row r="202">
      <c r="B202" s="61" t="s">
        <v>2082</v>
      </c>
      <c r="C202" s="57" t="s">
        <v>477</v>
      </c>
      <c r="D202" s="61" t="s">
        <v>2791</v>
      </c>
      <c r="E202" s="33" t="s">
        <v>33</v>
      </c>
    </row>
    <row r="203">
      <c r="B203" s="61" t="s">
        <v>2792</v>
      </c>
      <c r="C203" s="57" t="s">
        <v>7</v>
      </c>
      <c r="D203" s="61" t="s">
        <v>2790</v>
      </c>
      <c r="E203" s="33" t="s">
        <v>29</v>
      </c>
    </row>
    <row r="204">
      <c r="B204" s="61" t="s">
        <v>2082</v>
      </c>
      <c r="C204" s="57" t="s">
        <v>334</v>
      </c>
      <c r="D204" s="61" t="s">
        <v>2558</v>
      </c>
      <c r="E204" s="33" t="s">
        <v>33</v>
      </c>
    </row>
    <row r="205">
      <c r="B205" s="61" t="s">
        <v>2792</v>
      </c>
      <c r="C205" s="57" t="s">
        <v>327</v>
      </c>
      <c r="D205" s="61" t="s">
        <v>2791</v>
      </c>
      <c r="E205" s="33" t="s">
        <v>29</v>
      </c>
    </row>
    <row r="206">
      <c r="B206" s="61" t="s">
        <v>2082</v>
      </c>
      <c r="C206" s="57" t="s">
        <v>173</v>
      </c>
      <c r="D206" s="61" t="s">
        <v>2790</v>
      </c>
      <c r="E206" s="33" t="s">
        <v>33</v>
      </c>
    </row>
    <row r="207">
      <c r="B207" s="61" t="s">
        <v>2792</v>
      </c>
      <c r="C207" s="57" t="s">
        <v>2793</v>
      </c>
      <c r="D207" s="61" t="s">
        <v>2558</v>
      </c>
      <c r="E207" s="33" t="s">
        <v>29</v>
      </c>
    </row>
    <row r="208">
      <c r="B208" s="61" t="s">
        <v>2791</v>
      </c>
      <c r="C208" s="57" t="s">
        <v>195</v>
      </c>
      <c r="D208" s="61" t="s">
        <v>2790</v>
      </c>
      <c r="E208" s="33" t="s">
        <v>33</v>
      </c>
    </row>
    <row r="209">
      <c r="B209" s="61" t="s">
        <v>2792</v>
      </c>
      <c r="C209" s="57" t="s">
        <v>651</v>
      </c>
      <c r="D209" s="61" t="s">
        <v>2082</v>
      </c>
      <c r="E209" s="33" t="s">
        <v>29</v>
      </c>
    </row>
    <row r="210">
      <c r="B210" s="61" t="s">
        <v>2791</v>
      </c>
      <c r="C210" s="57" t="s">
        <v>195</v>
      </c>
      <c r="D210" s="61" t="s">
        <v>2558</v>
      </c>
      <c r="E210" s="33" t="s">
        <v>33</v>
      </c>
    </row>
    <row r="211">
      <c r="B211" s="61" t="s">
        <v>2558</v>
      </c>
      <c r="C211" s="57" t="s">
        <v>155</v>
      </c>
      <c r="D211" s="61" t="s">
        <v>2790</v>
      </c>
      <c r="E211" s="33" t="s">
        <v>29</v>
      </c>
    </row>
    <row r="212">
      <c r="B212" s="61" t="s">
        <v>2791</v>
      </c>
      <c r="C212" s="57" t="s">
        <v>2426</v>
      </c>
      <c r="D212" s="61" t="s">
        <v>2082</v>
      </c>
      <c r="E212" s="33" t="s">
        <v>33</v>
      </c>
    </row>
    <row r="213">
      <c r="B213" s="61" t="s">
        <v>2790</v>
      </c>
      <c r="C213" s="45" t="s">
        <v>292</v>
      </c>
      <c r="D213" s="61" t="s">
        <v>2792</v>
      </c>
      <c r="E213" s="33" t="s">
        <v>29</v>
      </c>
    </row>
    <row r="214">
      <c r="B214" s="61" t="s">
        <v>2558</v>
      </c>
      <c r="C214" s="45" t="s">
        <v>556</v>
      </c>
      <c r="D214" s="61" t="s">
        <v>2082</v>
      </c>
      <c r="E214" s="33" t="s">
        <v>33</v>
      </c>
    </row>
    <row r="215">
      <c r="B215" s="61" t="s">
        <v>2791</v>
      </c>
      <c r="C215" s="45" t="s">
        <v>464</v>
      </c>
      <c r="D215" s="61" t="s">
        <v>2792</v>
      </c>
      <c r="E215" s="33" t="s">
        <v>29</v>
      </c>
    </row>
    <row r="216">
      <c r="B216" s="61" t="s">
        <v>2790</v>
      </c>
      <c r="C216" s="45" t="s">
        <v>176</v>
      </c>
      <c r="D216" s="61" t="s">
        <v>2082</v>
      </c>
      <c r="E216" s="33" t="s">
        <v>33</v>
      </c>
    </row>
    <row r="217">
      <c r="B217" s="61" t="s">
        <v>2558</v>
      </c>
      <c r="C217" s="45" t="s">
        <v>193</v>
      </c>
      <c r="D217" s="61" t="s">
        <v>2792</v>
      </c>
      <c r="E217" s="33" t="s">
        <v>29</v>
      </c>
    </row>
    <row r="218">
      <c r="B218" s="61" t="s">
        <v>2790</v>
      </c>
      <c r="C218" s="45" t="s">
        <v>44</v>
      </c>
      <c r="D218" s="61" t="s">
        <v>2791</v>
      </c>
      <c r="E218" s="33" t="s">
        <v>33</v>
      </c>
    </row>
    <row r="219">
      <c r="B219" s="61" t="s">
        <v>2082</v>
      </c>
      <c r="C219" s="45" t="s">
        <v>19</v>
      </c>
      <c r="D219" s="61" t="s">
        <v>2792</v>
      </c>
      <c r="E219" s="33" t="s">
        <v>29</v>
      </c>
    </row>
    <row r="220">
      <c r="B220" s="61" t="s">
        <v>2558</v>
      </c>
      <c r="C220" s="45" t="s">
        <v>222</v>
      </c>
      <c r="D220" s="61" t="s">
        <v>2791</v>
      </c>
      <c r="E220" s="33" t="s">
        <v>33</v>
      </c>
    </row>
    <row r="221">
      <c r="B221" s="52" t="s">
        <v>2495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1516</v>
      </c>
      <c r="C223" s="57" t="s">
        <v>181</v>
      </c>
      <c r="D223" s="62" t="s">
        <v>2794</v>
      </c>
      <c r="E223" s="11" t="s">
        <v>9</v>
      </c>
    </row>
    <row r="224">
      <c r="B224" s="56" t="s">
        <v>2795</v>
      </c>
      <c r="C224" s="57" t="s">
        <v>209</v>
      </c>
      <c r="D224" s="62" t="s">
        <v>131</v>
      </c>
      <c r="E224" s="11" t="s">
        <v>13</v>
      </c>
    </row>
    <row r="225">
      <c r="B225" s="62" t="s">
        <v>2796</v>
      </c>
      <c r="C225" s="57" t="s">
        <v>163</v>
      </c>
      <c r="D225" s="62" t="s">
        <v>1516</v>
      </c>
      <c r="E225" s="11" t="s">
        <v>9</v>
      </c>
    </row>
    <row r="226">
      <c r="B226" s="56" t="s">
        <v>2795</v>
      </c>
      <c r="C226" s="57" t="s">
        <v>210</v>
      </c>
      <c r="D226" s="62" t="s">
        <v>2794</v>
      </c>
      <c r="E226" s="11" t="s">
        <v>13</v>
      </c>
    </row>
    <row r="227">
      <c r="B227" s="62" t="s">
        <v>2796</v>
      </c>
      <c r="C227" s="57" t="s">
        <v>225</v>
      </c>
      <c r="D227" s="62" t="s">
        <v>131</v>
      </c>
      <c r="E227" s="11" t="s">
        <v>9</v>
      </c>
    </row>
    <row r="228">
      <c r="B228" s="56" t="s">
        <v>2795</v>
      </c>
      <c r="C228" s="57" t="s">
        <v>195</v>
      </c>
      <c r="D228" s="62" t="s">
        <v>1516</v>
      </c>
      <c r="E228" s="11" t="s">
        <v>13</v>
      </c>
    </row>
    <row r="229">
      <c r="B229" s="62" t="s">
        <v>2796</v>
      </c>
      <c r="C229" s="57" t="s">
        <v>477</v>
      </c>
      <c r="D229" s="62" t="s">
        <v>2794</v>
      </c>
      <c r="E229" s="11" t="s">
        <v>9</v>
      </c>
    </row>
    <row r="230">
      <c r="B230" s="62" t="s">
        <v>131</v>
      </c>
      <c r="C230" s="57" t="s">
        <v>292</v>
      </c>
      <c r="D230" s="62" t="s">
        <v>1516</v>
      </c>
      <c r="E230" s="11" t="s">
        <v>13</v>
      </c>
    </row>
    <row r="231">
      <c r="B231" s="62" t="s">
        <v>2796</v>
      </c>
      <c r="C231" s="57" t="s">
        <v>744</v>
      </c>
      <c r="D231" s="56" t="s">
        <v>2795</v>
      </c>
      <c r="E231" s="11" t="s">
        <v>9</v>
      </c>
    </row>
    <row r="232">
      <c r="B232" s="62" t="s">
        <v>131</v>
      </c>
      <c r="C232" s="57" t="s">
        <v>193</v>
      </c>
      <c r="D232" s="62" t="s">
        <v>2794</v>
      </c>
      <c r="E232" s="11" t="s">
        <v>13</v>
      </c>
    </row>
    <row r="233">
      <c r="B233" s="62" t="s">
        <v>2794</v>
      </c>
      <c r="C233" s="57" t="s">
        <v>220</v>
      </c>
      <c r="D233" s="62" t="s">
        <v>1516</v>
      </c>
      <c r="E233" s="11" t="s">
        <v>9</v>
      </c>
    </row>
    <row r="234">
      <c r="B234" s="62" t="s">
        <v>131</v>
      </c>
      <c r="C234" s="57" t="s">
        <v>18</v>
      </c>
      <c r="D234" s="56" t="s">
        <v>2795</v>
      </c>
      <c r="E234" s="11" t="s">
        <v>13</v>
      </c>
    </row>
    <row r="235">
      <c r="B235" s="62" t="s">
        <v>1516</v>
      </c>
      <c r="C235" s="45" t="s">
        <v>189</v>
      </c>
      <c r="D235" s="62" t="s">
        <v>2796</v>
      </c>
      <c r="E235" s="11" t="s">
        <v>9</v>
      </c>
    </row>
    <row r="236">
      <c r="B236" s="62" t="s">
        <v>2794</v>
      </c>
      <c r="C236" s="45" t="s">
        <v>162</v>
      </c>
      <c r="D236" s="56" t="s">
        <v>2795</v>
      </c>
      <c r="E236" s="11" t="s">
        <v>13</v>
      </c>
    </row>
    <row r="237">
      <c r="B237" s="62" t="s">
        <v>131</v>
      </c>
      <c r="C237" s="45" t="s">
        <v>189</v>
      </c>
      <c r="D237" s="62" t="s">
        <v>2796</v>
      </c>
      <c r="E237" s="11" t="s">
        <v>9</v>
      </c>
    </row>
    <row r="238">
      <c r="B238" s="62" t="s">
        <v>1516</v>
      </c>
      <c r="C238" s="45" t="s">
        <v>18</v>
      </c>
      <c r="D238" s="56" t="s">
        <v>2795</v>
      </c>
      <c r="E238" s="11" t="s">
        <v>13</v>
      </c>
    </row>
    <row r="239">
      <c r="B239" s="62" t="s">
        <v>2794</v>
      </c>
      <c r="C239" s="45" t="s">
        <v>2468</v>
      </c>
      <c r="D239" s="62" t="s">
        <v>2796</v>
      </c>
      <c r="E239" s="11" t="s">
        <v>9</v>
      </c>
    </row>
    <row r="240">
      <c r="B240" s="62" t="s">
        <v>1516</v>
      </c>
      <c r="C240" s="45" t="s">
        <v>198</v>
      </c>
      <c r="D240" s="62" t="s">
        <v>131</v>
      </c>
      <c r="E240" s="11" t="s">
        <v>13</v>
      </c>
    </row>
    <row r="241">
      <c r="B241" s="56" t="s">
        <v>2795</v>
      </c>
      <c r="C241" s="45" t="s">
        <v>547</v>
      </c>
      <c r="D241" s="62" t="s">
        <v>2796</v>
      </c>
      <c r="E241" s="11" t="s">
        <v>9</v>
      </c>
    </row>
    <row r="242">
      <c r="B242" s="62" t="s">
        <v>2794</v>
      </c>
      <c r="C242" s="45" t="s">
        <v>193</v>
      </c>
      <c r="D242" s="62" t="s">
        <v>131</v>
      </c>
      <c r="E242" s="11" t="s">
        <v>13</v>
      </c>
    </row>
    <row r="243">
      <c r="B243" s="52" t="s">
        <v>2304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2318</v>
      </c>
      <c r="C245" s="57" t="s">
        <v>264</v>
      </c>
      <c r="D245" s="62" t="s">
        <v>2760</v>
      </c>
      <c r="E245" s="11" t="s">
        <v>9</v>
      </c>
    </row>
    <row r="246">
      <c r="B246" s="56" t="s">
        <v>2593</v>
      </c>
      <c r="C246" s="57" t="s">
        <v>210</v>
      </c>
      <c r="D246" s="62" t="s">
        <v>2797</v>
      </c>
      <c r="E246" s="11" t="s">
        <v>13</v>
      </c>
    </row>
    <row r="247">
      <c r="B247" s="62" t="s">
        <v>2348</v>
      </c>
      <c r="C247" s="57" t="s">
        <v>432</v>
      </c>
      <c r="D247" s="62" t="s">
        <v>2318</v>
      </c>
      <c r="E247" s="11" t="s">
        <v>9</v>
      </c>
    </row>
    <row r="248">
      <c r="B248" s="56" t="s">
        <v>2593</v>
      </c>
      <c r="C248" s="57" t="s">
        <v>16</v>
      </c>
      <c r="D248" s="62" t="s">
        <v>2760</v>
      </c>
      <c r="E248" s="11" t="s">
        <v>13</v>
      </c>
    </row>
    <row r="249">
      <c r="B249" s="62" t="s">
        <v>2348</v>
      </c>
      <c r="C249" s="57" t="s">
        <v>352</v>
      </c>
      <c r="D249" s="62" t="s">
        <v>2797</v>
      </c>
      <c r="E249" s="11" t="s">
        <v>9</v>
      </c>
    </row>
    <row r="250">
      <c r="B250" s="56" t="s">
        <v>2593</v>
      </c>
      <c r="C250" s="57" t="s">
        <v>440</v>
      </c>
      <c r="D250" s="62" t="s">
        <v>2318</v>
      </c>
      <c r="E250" s="11" t="s">
        <v>13</v>
      </c>
    </row>
    <row r="251">
      <c r="B251" s="62" t="s">
        <v>2348</v>
      </c>
      <c r="C251" s="57" t="s">
        <v>248</v>
      </c>
      <c r="D251" s="62" t="s">
        <v>2760</v>
      </c>
      <c r="E251" s="11" t="s">
        <v>9</v>
      </c>
    </row>
    <row r="252">
      <c r="B252" s="62" t="s">
        <v>2797</v>
      </c>
      <c r="C252" s="57" t="s">
        <v>44</v>
      </c>
      <c r="D252" s="62" t="s">
        <v>2318</v>
      </c>
      <c r="E252" s="11" t="s">
        <v>13</v>
      </c>
    </row>
    <row r="253">
      <c r="B253" s="62" t="s">
        <v>2348</v>
      </c>
      <c r="C253" s="57" t="s">
        <v>155</v>
      </c>
      <c r="D253" s="56" t="s">
        <v>2593</v>
      </c>
      <c r="E253" s="11" t="s">
        <v>9</v>
      </c>
    </row>
    <row r="254">
      <c r="B254" s="62" t="s">
        <v>2797</v>
      </c>
      <c r="C254" s="57" t="s">
        <v>155</v>
      </c>
      <c r="D254" s="62" t="s">
        <v>2760</v>
      </c>
      <c r="E254" s="11" t="s">
        <v>13</v>
      </c>
    </row>
    <row r="255">
      <c r="B255" s="62" t="s">
        <v>2760</v>
      </c>
      <c r="C255" s="57" t="s">
        <v>219</v>
      </c>
      <c r="D255" s="62" t="s">
        <v>2318</v>
      </c>
      <c r="E255" s="11" t="s">
        <v>9</v>
      </c>
    </row>
    <row r="256">
      <c r="B256" s="62" t="s">
        <v>2797</v>
      </c>
      <c r="C256" s="57" t="s">
        <v>43</v>
      </c>
      <c r="D256" s="56" t="s">
        <v>2593</v>
      </c>
      <c r="E256" s="11" t="s">
        <v>13</v>
      </c>
    </row>
    <row r="257">
      <c r="B257" s="62" t="s">
        <v>2318</v>
      </c>
      <c r="C257" s="45" t="s">
        <v>21</v>
      </c>
      <c r="D257" s="62" t="s">
        <v>2348</v>
      </c>
      <c r="E257" s="11" t="s">
        <v>9</v>
      </c>
    </row>
    <row r="258">
      <c r="B258" s="62" t="s">
        <v>2760</v>
      </c>
      <c r="C258" s="45" t="s">
        <v>158</v>
      </c>
      <c r="D258" s="56" t="s">
        <v>2593</v>
      </c>
      <c r="E258" s="11" t="s">
        <v>13</v>
      </c>
    </row>
    <row r="259">
      <c r="B259" s="62" t="s">
        <v>2797</v>
      </c>
      <c r="C259" s="45" t="s">
        <v>1947</v>
      </c>
      <c r="D259" s="62" t="s">
        <v>2348</v>
      </c>
      <c r="E259" s="11" t="s">
        <v>9</v>
      </c>
    </row>
    <row r="260">
      <c r="B260" s="62" t="s">
        <v>2318</v>
      </c>
      <c r="C260" s="45" t="s">
        <v>19</v>
      </c>
      <c r="D260" s="56" t="s">
        <v>2593</v>
      </c>
      <c r="E260" s="11" t="s">
        <v>13</v>
      </c>
    </row>
    <row r="261">
      <c r="B261" s="62" t="s">
        <v>2760</v>
      </c>
      <c r="C261" s="45" t="s">
        <v>14</v>
      </c>
      <c r="D261" s="62" t="s">
        <v>2348</v>
      </c>
      <c r="E261" s="11" t="s">
        <v>9</v>
      </c>
    </row>
    <row r="262">
      <c r="B262" s="62" t="s">
        <v>2318</v>
      </c>
      <c r="C262" s="45" t="s">
        <v>165</v>
      </c>
      <c r="D262" s="62" t="s">
        <v>2797</v>
      </c>
      <c r="E262" s="11" t="s">
        <v>13</v>
      </c>
    </row>
    <row r="263">
      <c r="B263" s="56" t="s">
        <v>2593</v>
      </c>
      <c r="C263" s="45" t="s">
        <v>237</v>
      </c>
      <c r="D263" s="62" t="s">
        <v>2348</v>
      </c>
      <c r="E263" s="11" t="s">
        <v>9</v>
      </c>
    </row>
    <row r="264">
      <c r="B264" s="62" t="s">
        <v>2760</v>
      </c>
      <c r="C264" s="45" t="s">
        <v>7</v>
      </c>
      <c r="D264" s="62" t="s">
        <v>2797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2573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2018</v>
      </c>
      <c r="C3" s="57" t="s">
        <v>208</v>
      </c>
      <c r="D3" s="62" t="s">
        <v>1961</v>
      </c>
      <c r="E3" s="11" t="s">
        <v>9</v>
      </c>
    </row>
    <row r="4">
      <c r="A4" s="90"/>
      <c r="B4" s="62" t="s">
        <v>2798</v>
      </c>
      <c r="C4" s="57" t="s">
        <v>888</v>
      </c>
      <c r="D4" s="61" t="s">
        <v>2401</v>
      </c>
      <c r="E4" s="11" t="s">
        <v>13</v>
      </c>
    </row>
    <row r="5">
      <c r="A5" s="90"/>
      <c r="B5" s="62" t="s">
        <v>1824</v>
      </c>
      <c r="C5" s="57" t="s">
        <v>24</v>
      </c>
      <c r="D5" s="62" t="s">
        <v>2018</v>
      </c>
      <c r="E5" s="11" t="s">
        <v>9</v>
      </c>
    </row>
    <row r="6">
      <c r="A6" s="90"/>
      <c r="B6" s="62" t="s">
        <v>2798</v>
      </c>
      <c r="C6" s="57" t="s">
        <v>751</v>
      </c>
      <c r="D6" s="62" t="s">
        <v>1961</v>
      </c>
      <c r="E6" s="11" t="s">
        <v>13</v>
      </c>
    </row>
    <row r="7">
      <c r="A7" s="90"/>
      <c r="B7" s="62" t="s">
        <v>1824</v>
      </c>
      <c r="C7" s="57" t="s">
        <v>464</v>
      </c>
      <c r="D7" s="61" t="s">
        <v>2401</v>
      </c>
      <c r="E7" s="11" t="s">
        <v>9</v>
      </c>
    </row>
    <row r="8">
      <c r="A8" s="90"/>
      <c r="B8" s="62" t="s">
        <v>2798</v>
      </c>
      <c r="C8" s="57" t="s">
        <v>545</v>
      </c>
      <c r="D8" s="62" t="s">
        <v>2018</v>
      </c>
      <c r="E8" s="11" t="s">
        <v>13</v>
      </c>
    </row>
    <row r="9">
      <c r="A9" s="90"/>
      <c r="B9" s="62" t="s">
        <v>1824</v>
      </c>
      <c r="C9" s="57" t="s">
        <v>404</v>
      </c>
      <c r="D9" s="62" t="s">
        <v>1961</v>
      </c>
      <c r="E9" s="11" t="s">
        <v>9</v>
      </c>
    </row>
    <row r="10">
      <c r="A10" s="90"/>
      <c r="B10" s="61" t="s">
        <v>2401</v>
      </c>
      <c r="C10" s="57" t="s">
        <v>162</v>
      </c>
      <c r="D10" s="62" t="s">
        <v>2018</v>
      </c>
      <c r="E10" s="11" t="s">
        <v>13</v>
      </c>
    </row>
    <row r="11">
      <c r="A11" s="90"/>
      <c r="B11" s="62" t="s">
        <v>1824</v>
      </c>
      <c r="C11" s="57" t="s">
        <v>882</v>
      </c>
      <c r="D11" s="62" t="s">
        <v>2798</v>
      </c>
      <c r="E11" s="11" t="s">
        <v>9</v>
      </c>
    </row>
    <row r="12">
      <c r="A12" s="90"/>
      <c r="B12" s="61" t="s">
        <v>2401</v>
      </c>
      <c r="C12" s="57" t="s">
        <v>289</v>
      </c>
      <c r="D12" s="62" t="s">
        <v>1961</v>
      </c>
      <c r="E12" s="11" t="s">
        <v>13</v>
      </c>
    </row>
    <row r="13">
      <c r="A13" s="90"/>
      <c r="B13" s="62" t="s">
        <v>1961</v>
      </c>
      <c r="C13" s="57" t="s">
        <v>155</v>
      </c>
      <c r="D13" s="62" t="s">
        <v>2018</v>
      </c>
      <c r="E13" s="11" t="s">
        <v>9</v>
      </c>
    </row>
    <row r="14">
      <c r="A14" s="90"/>
      <c r="B14" s="61" t="s">
        <v>2401</v>
      </c>
      <c r="C14" s="57" t="s">
        <v>216</v>
      </c>
      <c r="D14" s="62" t="s">
        <v>2798</v>
      </c>
      <c r="E14" s="11" t="s">
        <v>13</v>
      </c>
    </row>
    <row r="15">
      <c r="A15" s="90"/>
      <c r="B15" s="62" t="s">
        <v>2018</v>
      </c>
      <c r="C15" s="45" t="s">
        <v>162</v>
      </c>
      <c r="D15" s="62" t="s">
        <v>1824</v>
      </c>
      <c r="E15" s="11" t="s">
        <v>9</v>
      </c>
    </row>
    <row r="16">
      <c r="A16" s="90"/>
      <c r="B16" s="62" t="s">
        <v>1961</v>
      </c>
      <c r="C16" s="45" t="s">
        <v>173</v>
      </c>
      <c r="D16" s="62" t="s">
        <v>2798</v>
      </c>
      <c r="E16" s="11" t="s">
        <v>13</v>
      </c>
    </row>
    <row r="17">
      <c r="A17" s="90"/>
      <c r="B17" s="61" t="s">
        <v>2401</v>
      </c>
      <c r="C17" s="45" t="s">
        <v>161</v>
      </c>
      <c r="D17" s="62" t="s">
        <v>1824</v>
      </c>
      <c r="E17" s="11" t="s">
        <v>9</v>
      </c>
    </row>
    <row r="18">
      <c r="A18" s="90"/>
      <c r="B18" s="62" t="s">
        <v>2018</v>
      </c>
      <c r="C18" s="45" t="s">
        <v>43</v>
      </c>
      <c r="D18" s="62" t="s">
        <v>2798</v>
      </c>
      <c r="E18" s="11" t="s">
        <v>13</v>
      </c>
    </row>
    <row r="19">
      <c r="A19" s="90"/>
      <c r="B19" s="62" t="s">
        <v>1961</v>
      </c>
      <c r="C19" s="45" t="s">
        <v>43</v>
      </c>
      <c r="D19" s="62" t="s">
        <v>1824</v>
      </c>
      <c r="E19" s="11" t="s">
        <v>9</v>
      </c>
    </row>
    <row r="20">
      <c r="A20" s="90"/>
      <c r="B20" s="62" t="s">
        <v>2018</v>
      </c>
      <c r="C20" s="45" t="s">
        <v>41</v>
      </c>
      <c r="D20" s="61" t="s">
        <v>2401</v>
      </c>
      <c r="E20" s="11" t="s">
        <v>13</v>
      </c>
    </row>
    <row r="21">
      <c r="A21" s="90"/>
      <c r="B21" s="62" t="s">
        <v>2798</v>
      </c>
      <c r="C21" s="45" t="s">
        <v>279</v>
      </c>
      <c r="D21" s="62" t="s">
        <v>1824</v>
      </c>
      <c r="E21" s="11" t="s">
        <v>9</v>
      </c>
    </row>
    <row r="22">
      <c r="A22" s="90"/>
      <c r="B22" s="62" t="s">
        <v>1961</v>
      </c>
      <c r="C22" s="45" t="s">
        <v>182</v>
      </c>
      <c r="D22" s="61" t="s">
        <v>2401</v>
      </c>
      <c r="E22" s="11" t="s">
        <v>13</v>
      </c>
    </row>
    <row r="23">
      <c r="A23" s="90"/>
      <c r="B23" s="1" t="s">
        <v>2631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1831</v>
      </c>
      <c r="C25" s="57" t="s">
        <v>166</v>
      </c>
      <c r="D25" s="62" t="s">
        <v>2799</v>
      </c>
      <c r="E25" s="11" t="s">
        <v>9</v>
      </c>
    </row>
    <row r="26">
      <c r="A26" s="90"/>
      <c r="B26" s="62" t="s">
        <v>2800</v>
      </c>
      <c r="C26" s="57" t="s">
        <v>348</v>
      </c>
      <c r="D26" s="61" t="s">
        <v>2801</v>
      </c>
      <c r="E26" s="11" t="s">
        <v>13</v>
      </c>
    </row>
    <row r="27">
      <c r="A27" s="90"/>
      <c r="B27" s="62" t="s">
        <v>2726</v>
      </c>
      <c r="C27" s="57" t="s">
        <v>184</v>
      </c>
      <c r="D27" s="62" t="s">
        <v>1831</v>
      </c>
      <c r="E27" s="11" t="s">
        <v>9</v>
      </c>
    </row>
    <row r="28">
      <c r="A28" s="90"/>
      <c r="B28" s="62" t="s">
        <v>2800</v>
      </c>
      <c r="C28" s="57" t="s">
        <v>688</v>
      </c>
      <c r="D28" s="62" t="s">
        <v>2799</v>
      </c>
      <c r="E28" s="11" t="s">
        <v>13</v>
      </c>
    </row>
    <row r="29">
      <c r="A29" s="90"/>
      <c r="B29" s="62" t="s">
        <v>2726</v>
      </c>
      <c r="C29" s="57" t="s">
        <v>289</v>
      </c>
      <c r="D29" s="61" t="s">
        <v>2801</v>
      </c>
      <c r="E29" s="11" t="s">
        <v>9</v>
      </c>
    </row>
    <row r="30">
      <c r="A30" s="90"/>
      <c r="B30" s="62" t="s">
        <v>2800</v>
      </c>
      <c r="C30" s="57" t="s">
        <v>17</v>
      </c>
      <c r="D30" s="62" t="s">
        <v>1831</v>
      </c>
      <c r="E30" s="11" t="s">
        <v>13</v>
      </c>
    </row>
    <row r="31">
      <c r="A31" s="90"/>
      <c r="B31" s="62" t="s">
        <v>2726</v>
      </c>
      <c r="C31" s="57" t="s">
        <v>162</v>
      </c>
      <c r="D31" s="62" t="s">
        <v>2799</v>
      </c>
      <c r="E31" s="11" t="s">
        <v>9</v>
      </c>
    </row>
    <row r="32">
      <c r="A32" s="90"/>
      <c r="B32" s="61" t="s">
        <v>2801</v>
      </c>
      <c r="C32" s="57" t="s">
        <v>19</v>
      </c>
      <c r="D32" s="62" t="s">
        <v>1831</v>
      </c>
      <c r="E32" s="11" t="s">
        <v>13</v>
      </c>
    </row>
    <row r="33">
      <c r="A33" s="90"/>
      <c r="B33" s="62" t="s">
        <v>2726</v>
      </c>
      <c r="C33" s="57" t="s">
        <v>41</v>
      </c>
      <c r="D33" s="62" t="s">
        <v>2800</v>
      </c>
      <c r="E33" s="11" t="s">
        <v>9</v>
      </c>
    </row>
    <row r="34">
      <c r="A34" s="90"/>
      <c r="B34" s="61" t="s">
        <v>2801</v>
      </c>
      <c r="C34" s="57" t="s">
        <v>155</v>
      </c>
      <c r="D34" s="62" t="s">
        <v>2799</v>
      </c>
      <c r="E34" s="11" t="s">
        <v>13</v>
      </c>
    </row>
    <row r="35">
      <c r="A35" s="90"/>
      <c r="B35" s="62" t="s">
        <v>2799</v>
      </c>
      <c r="C35" s="57" t="s">
        <v>248</v>
      </c>
      <c r="D35" s="62" t="s">
        <v>1831</v>
      </c>
      <c r="E35" s="11" t="s">
        <v>9</v>
      </c>
    </row>
    <row r="36">
      <c r="A36" s="90"/>
      <c r="B36" s="61" t="s">
        <v>2801</v>
      </c>
      <c r="C36" s="57" t="s">
        <v>2802</v>
      </c>
      <c r="D36" s="62" t="s">
        <v>2800</v>
      </c>
      <c r="E36" s="11" t="s">
        <v>13</v>
      </c>
    </row>
    <row r="37">
      <c r="A37" s="90"/>
      <c r="B37" s="62" t="s">
        <v>1831</v>
      </c>
      <c r="C37" s="45" t="s">
        <v>44</v>
      </c>
      <c r="D37" s="62" t="s">
        <v>2726</v>
      </c>
      <c r="E37" s="11" t="s">
        <v>9</v>
      </c>
    </row>
    <row r="38">
      <c r="A38" s="90"/>
      <c r="B38" s="62" t="s">
        <v>2799</v>
      </c>
      <c r="C38" s="45" t="s">
        <v>185</v>
      </c>
      <c r="D38" s="62" t="s">
        <v>2800</v>
      </c>
      <c r="E38" s="11" t="s">
        <v>13</v>
      </c>
    </row>
    <row r="39">
      <c r="A39" s="90"/>
      <c r="B39" s="61" t="s">
        <v>2801</v>
      </c>
      <c r="C39" s="45" t="s">
        <v>7</v>
      </c>
      <c r="D39" s="62" t="s">
        <v>2726</v>
      </c>
      <c r="E39" s="11" t="s">
        <v>9</v>
      </c>
    </row>
    <row r="40">
      <c r="A40" s="90"/>
      <c r="B40" s="62" t="s">
        <v>1831</v>
      </c>
      <c r="C40" s="45" t="s">
        <v>433</v>
      </c>
      <c r="D40" s="62" t="s">
        <v>2800</v>
      </c>
      <c r="E40" s="11" t="s">
        <v>13</v>
      </c>
    </row>
    <row r="41">
      <c r="A41" s="90"/>
      <c r="B41" s="62" t="s">
        <v>2799</v>
      </c>
      <c r="C41" s="45" t="s">
        <v>292</v>
      </c>
      <c r="D41" s="62" t="s">
        <v>2726</v>
      </c>
      <c r="E41" s="11" t="s">
        <v>9</v>
      </c>
    </row>
    <row r="42">
      <c r="A42" s="90"/>
      <c r="B42" s="62" t="s">
        <v>1831</v>
      </c>
      <c r="C42" s="45" t="s">
        <v>165</v>
      </c>
      <c r="D42" s="61" t="s">
        <v>2801</v>
      </c>
      <c r="E42" s="11" t="s">
        <v>13</v>
      </c>
    </row>
    <row r="43">
      <c r="A43" s="90"/>
      <c r="B43" s="62" t="s">
        <v>2800</v>
      </c>
      <c r="C43" s="45" t="s">
        <v>250</v>
      </c>
      <c r="D43" s="62" t="s">
        <v>2726</v>
      </c>
      <c r="E43" s="11" t="s">
        <v>9</v>
      </c>
    </row>
    <row r="44">
      <c r="A44" s="91"/>
      <c r="B44" s="62" t="s">
        <v>2799</v>
      </c>
      <c r="C44" s="45" t="s">
        <v>173</v>
      </c>
      <c r="D44" s="61" t="s">
        <v>2801</v>
      </c>
      <c r="E44" s="11" t="s">
        <v>13</v>
      </c>
    </row>
    <row r="45">
      <c r="B45" s="1" t="s">
        <v>2471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2612</v>
      </c>
      <c r="C47" s="45" t="s">
        <v>157</v>
      </c>
      <c r="D47" s="61" t="s">
        <v>1909</v>
      </c>
      <c r="E47" s="11" t="s">
        <v>9</v>
      </c>
    </row>
    <row r="48">
      <c r="B48" s="61" t="s">
        <v>2803</v>
      </c>
      <c r="C48" s="45" t="s">
        <v>17</v>
      </c>
      <c r="D48" s="61" t="s">
        <v>1622</v>
      </c>
      <c r="E48" s="11" t="s">
        <v>13</v>
      </c>
    </row>
    <row r="49">
      <c r="B49" s="61" t="s">
        <v>1968</v>
      </c>
      <c r="C49" s="45" t="s">
        <v>23</v>
      </c>
      <c r="D49" s="61" t="s">
        <v>2612</v>
      </c>
      <c r="E49" s="11" t="s">
        <v>9</v>
      </c>
    </row>
    <row r="50">
      <c r="B50" s="61" t="s">
        <v>2803</v>
      </c>
      <c r="C50" s="45" t="s">
        <v>531</v>
      </c>
      <c r="D50" s="61" t="s">
        <v>1909</v>
      </c>
      <c r="E50" s="11" t="s">
        <v>13</v>
      </c>
    </row>
    <row r="51">
      <c r="B51" s="61" t="s">
        <v>1968</v>
      </c>
      <c r="C51" s="45" t="s">
        <v>11</v>
      </c>
      <c r="D51" s="61" t="s">
        <v>1622</v>
      </c>
      <c r="E51" s="11" t="s">
        <v>9</v>
      </c>
    </row>
    <row r="52">
      <c r="B52" s="61" t="s">
        <v>2803</v>
      </c>
      <c r="C52" s="45" t="s">
        <v>209</v>
      </c>
      <c r="D52" s="61" t="s">
        <v>2612</v>
      </c>
      <c r="E52" s="11" t="s">
        <v>13</v>
      </c>
    </row>
    <row r="53">
      <c r="B53" s="61" t="s">
        <v>1968</v>
      </c>
      <c r="C53" s="45" t="s">
        <v>18</v>
      </c>
      <c r="D53" s="61" t="s">
        <v>1909</v>
      </c>
      <c r="E53" s="11" t="s">
        <v>9</v>
      </c>
    </row>
    <row r="54">
      <c r="B54" s="61" t="s">
        <v>1622</v>
      </c>
      <c r="C54" s="45" t="s">
        <v>776</v>
      </c>
      <c r="D54" s="61" t="s">
        <v>2612</v>
      </c>
      <c r="E54" s="11" t="s">
        <v>13</v>
      </c>
    </row>
    <row r="55">
      <c r="B55" s="61" t="s">
        <v>1968</v>
      </c>
      <c r="C55" s="45" t="s">
        <v>251</v>
      </c>
      <c r="D55" s="61" t="s">
        <v>2803</v>
      </c>
      <c r="E55" s="11" t="s">
        <v>9</v>
      </c>
    </row>
    <row r="56">
      <c r="B56" s="61" t="s">
        <v>1622</v>
      </c>
      <c r="C56" s="45" t="s">
        <v>222</v>
      </c>
      <c r="D56" s="61" t="s">
        <v>1909</v>
      </c>
      <c r="E56" s="11" t="s">
        <v>13</v>
      </c>
    </row>
    <row r="57">
      <c r="B57" s="61" t="s">
        <v>1909</v>
      </c>
      <c r="C57" s="45" t="s">
        <v>225</v>
      </c>
      <c r="D57" s="61" t="s">
        <v>2612</v>
      </c>
      <c r="E57" s="11" t="s">
        <v>9</v>
      </c>
    </row>
    <row r="58">
      <c r="B58" s="61" t="s">
        <v>1622</v>
      </c>
      <c r="C58" s="45" t="s">
        <v>316</v>
      </c>
      <c r="D58" s="61" t="s">
        <v>2803</v>
      </c>
      <c r="E58" s="11" t="s">
        <v>13</v>
      </c>
    </row>
    <row r="59">
      <c r="B59" s="61" t="s">
        <v>2612</v>
      </c>
      <c r="C59" s="45" t="s">
        <v>439</v>
      </c>
      <c r="D59" s="61" t="s">
        <v>1968</v>
      </c>
      <c r="E59" s="11" t="s">
        <v>9</v>
      </c>
    </row>
    <row r="60">
      <c r="B60" s="61" t="s">
        <v>1909</v>
      </c>
      <c r="C60" s="45" t="s">
        <v>27</v>
      </c>
      <c r="D60" s="61" t="s">
        <v>2803</v>
      </c>
      <c r="E60" s="11" t="s">
        <v>13</v>
      </c>
    </row>
    <row r="61">
      <c r="B61" s="61" t="s">
        <v>1622</v>
      </c>
      <c r="C61" s="45" t="s">
        <v>17</v>
      </c>
      <c r="D61" s="61" t="s">
        <v>1968</v>
      </c>
      <c r="E61" s="11" t="s">
        <v>9</v>
      </c>
    </row>
    <row r="62">
      <c r="B62" s="61" t="s">
        <v>2612</v>
      </c>
      <c r="C62" s="45" t="s">
        <v>14</v>
      </c>
      <c r="D62" s="61" t="s">
        <v>2803</v>
      </c>
      <c r="E62" s="11" t="s">
        <v>13</v>
      </c>
    </row>
    <row r="63">
      <c r="B63" s="61" t="s">
        <v>1909</v>
      </c>
      <c r="C63" s="45" t="s">
        <v>248</v>
      </c>
      <c r="D63" s="61" t="s">
        <v>1968</v>
      </c>
      <c r="E63" s="11" t="s">
        <v>9</v>
      </c>
    </row>
    <row r="64">
      <c r="B64" s="61" t="s">
        <v>2612</v>
      </c>
      <c r="C64" s="45" t="s">
        <v>197</v>
      </c>
      <c r="D64" s="61" t="s">
        <v>1622</v>
      </c>
      <c r="E64" s="11" t="s">
        <v>13</v>
      </c>
    </row>
    <row r="65">
      <c r="B65" s="61" t="s">
        <v>2803</v>
      </c>
      <c r="C65" s="45" t="s">
        <v>545</v>
      </c>
      <c r="D65" s="61" t="s">
        <v>1968</v>
      </c>
      <c r="E65" s="11" t="s">
        <v>9</v>
      </c>
    </row>
    <row r="66">
      <c r="B66" s="61" t="s">
        <v>1909</v>
      </c>
      <c r="C66" s="45" t="s">
        <v>184</v>
      </c>
      <c r="D66" s="61" t="s">
        <v>1622</v>
      </c>
      <c r="E66" s="11" t="s">
        <v>13</v>
      </c>
    </row>
    <row r="67">
      <c r="B67" s="1" t="s">
        <v>2207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2804</v>
      </c>
      <c r="C69" s="45" t="s">
        <v>37</v>
      </c>
      <c r="D69" s="61" t="s">
        <v>2532</v>
      </c>
      <c r="E69" s="11" t="s">
        <v>9</v>
      </c>
    </row>
    <row r="70">
      <c r="B70" s="61" t="s">
        <v>2805</v>
      </c>
      <c r="C70" s="45" t="s">
        <v>244</v>
      </c>
      <c r="D70" s="61" t="s">
        <v>2561</v>
      </c>
      <c r="E70" s="11" t="s">
        <v>13</v>
      </c>
    </row>
    <row r="71">
      <c r="B71" s="61" t="s">
        <v>1101</v>
      </c>
      <c r="C71" s="45" t="s">
        <v>696</v>
      </c>
      <c r="D71" s="61" t="s">
        <v>2804</v>
      </c>
      <c r="E71" s="11" t="s">
        <v>9</v>
      </c>
    </row>
    <row r="72">
      <c r="B72" s="61" t="s">
        <v>2805</v>
      </c>
      <c r="C72" s="45" t="s">
        <v>324</v>
      </c>
      <c r="D72" s="61" t="s">
        <v>2532</v>
      </c>
      <c r="E72" s="11" t="s">
        <v>13</v>
      </c>
    </row>
    <row r="73">
      <c r="B73" s="61" t="s">
        <v>1101</v>
      </c>
      <c r="C73" s="45" t="s">
        <v>38</v>
      </c>
      <c r="D73" s="61" t="s">
        <v>2561</v>
      </c>
      <c r="E73" s="11" t="s">
        <v>9</v>
      </c>
    </row>
    <row r="74">
      <c r="B74" s="61" t="s">
        <v>2805</v>
      </c>
      <c r="C74" s="45" t="s">
        <v>1189</v>
      </c>
      <c r="D74" s="61" t="s">
        <v>2804</v>
      </c>
      <c r="E74" s="11" t="s">
        <v>13</v>
      </c>
    </row>
    <row r="75">
      <c r="B75" s="61" t="s">
        <v>1101</v>
      </c>
      <c r="C75" s="45" t="s">
        <v>20</v>
      </c>
      <c r="D75" s="61" t="s">
        <v>2532</v>
      </c>
      <c r="E75" s="11" t="s">
        <v>9</v>
      </c>
    </row>
    <row r="76">
      <c r="B76" s="61" t="s">
        <v>2561</v>
      </c>
      <c r="C76" s="45" t="s">
        <v>173</v>
      </c>
      <c r="D76" s="61" t="s">
        <v>2804</v>
      </c>
      <c r="E76" s="11" t="s">
        <v>13</v>
      </c>
    </row>
    <row r="77">
      <c r="B77" s="61" t="s">
        <v>1101</v>
      </c>
      <c r="C77" s="45" t="s">
        <v>229</v>
      </c>
      <c r="D77" s="61" t="s">
        <v>2805</v>
      </c>
      <c r="E77" s="11" t="s">
        <v>9</v>
      </c>
    </row>
    <row r="78">
      <c r="B78" s="61" t="s">
        <v>2561</v>
      </c>
      <c r="C78" s="45" t="s">
        <v>425</v>
      </c>
      <c r="D78" s="61" t="s">
        <v>2532</v>
      </c>
      <c r="E78" s="11" t="s">
        <v>13</v>
      </c>
    </row>
    <row r="79">
      <c r="B79" s="61" t="s">
        <v>2532</v>
      </c>
      <c r="C79" s="45" t="s">
        <v>292</v>
      </c>
      <c r="D79" s="61" t="s">
        <v>2804</v>
      </c>
      <c r="E79" s="11" t="s">
        <v>9</v>
      </c>
    </row>
    <row r="80">
      <c r="B80" s="61" t="s">
        <v>2561</v>
      </c>
      <c r="C80" s="45" t="s">
        <v>176</v>
      </c>
      <c r="D80" s="61" t="s">
        <v>2805</v>
      </c>
      <c r="E80" s="11" t="s">
        <v>13</v>
      </c>
    </row>
    <row r="81">
      <c r="B81" s="61" t="s">
        <v>2804</v>
      </c>
      <c r="C81" s="45" t="s">
        <v>525</v>
      </c>
      <c r="D81" s="61" t="s">
        <v>1101</v>
      </c>
      <c r="E81" s="11" t="s">
        <v>9</v>
      </c>
    </row>
    <row r="82">
      <c r="B82" s="61" t="s">
        <v>2532</v>
      </c>
      <c r="C82" s="45" t="s">
        <v>185</v>
      </c>
      <c r="D82" s="61" t="s">
        <v>2805</v>
      </c>
      <c r="E82" s="11" t="s">
        <v>13</v>
      </c>
    </row>
    <row r="83">
      <c r="B83" s="61" t="s">
        <v>2561</v>
      </c>
      <c r="C83" s="45" t="s">
        <v>688</v>
      </c>
      <c r="D83" s="61" t="s">
        <v>1101</v>
      </c>
      <c r="E83" s="11" t="s">
        <v>9</v>
      </c>
    </row>
    <row r="84">
      <c r="B84" s="61" t="s">
        <v>2804</v>
      </c>
      <c r="C84" s="45" t="s">
        <v>547</v>
      </c>
      <c r="D84" s="61" t="s">
        <v>2805</v>
      </c>
      <c r="E84" s="11" t="s">
        <v>13</v>
      </c>
    </row>
    <row r="85">
      <c r="B85" s="61" t="s">
        <v>2532</v>
      </c>
      <c r="C85" s="45" t="s">
        <v>315</v>
      </c>
      <c r="D85" s="61" t="s">
        <v>1101</v>
      </c>
      <c r="E85" s="11" t="s">
        <v>9</v>
      </c>
    </row>
    <row r="86">
      <c r="B86" s="61" t="s">
        <v>2804</v>
      </c>
      <c r="C86" s="45" t="s">
        <v>220</v>
      </c>
      <c r="D86" s="61" t="s">
        <v>2561</v>
      </c>
      <c r="E86" s="11" t="s">
        <v>13</v>
      </c>
    </row>
    <row r="87">
      <c r="B87" s="61" t="s">
        <v>2805</v>
      </c>
      <c r="C87" s="45" t="s">
        <v>1970</v>
      </c>
      <c r="D87" s="61" t="s">
        <v>1101</v>
      </c>
      <c r="E87" s="11" t="s">
        <v>9</v>
      </c>
    </row>
    <row r="88">
      <c r="B88" s="61" t="s">
        <v>2532</v>
      </c>
      <c r="C88" s="45" t="s">
        <v>352</v>
      </c>
      <c r="D88" s="61" t="s">
        <v>2561</v>
      </c>
      <c r="E88" s="11" t="s">
        <v>13</v>
      </c>
    </row>
    <row r="89">
      <c r="B89" s="1" t="s">
        <v>2806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2807</v>
      </c>
      <c r="C91" s="45" t="s">
        <v>432</v>
      </c>
      <c r="D91" s="61" t="s">
        <v>869</v>
      </c>
      <c r="E91" s="33" t="s">
        <v>29</v>
      </c>
    </row>
    <row r="92">
      <c r="B92" s="61" t="s">
        <v>2808</v>
      </c>
      <c r="C92" s="45" t="s">
        <v>173</v>
      </c>
      <c r="D92" s="61" t="s">
        <v>2621</v>
      </c>
      <c r="E92" s="33" t="s">
        <v>33</v>
      </c>
    </row>
    <row r="93">
      <c r="B93" s="61" t="s">
        <v>2809</v>
      </c>
      <c r="C93" s="45" t="s">
        <v>193</v>
      </c>
      <c r="D93" s="61" t="s">
        <v>2807</v>
      </c>
      <c r="E93" s="33" t="s">
        <v>29</v>
      </c>
    </row>
    <row r="94">
      <c r="B94" s="61" t="s">
        <v>2808</v>
      </c>
      <c r="C94" s="45" t="s">
        <v>41</v>
      </c>
      <c r="D94" s="61" t="s">
        <v>869</v>
      </c>
      <c r="E94" s="33" t="s">
        <v>33</v>
      </c>
      <c r="G94" s="104"/>
    </row>
    <row r="95">
      <c r="B95" s="61" t="s">
        <v>2809</v>
      </c>
      <c r="C95" s="45" t="s">
        <v>357</v>
      </c>
      <c r="D95" s="61" t="s">
        <v>2621</v>
      </c>
      <c r="E95" s="33" t="s">
        <v>29</v>
      </c>
    </row>
    <row r="96">
      <c r="B96" s="61" t="s">
        <v>2808</v>
      </c>
      <c r="C96" s="45" t="s">
        <v>426</v>
      </c>
      <c r="D96" s="61" t="s">
        <v>2807</v>
      </c>
      <c r="E96" s="33" t="s">
        <v>33</v>
      </c>
    </row>
    <row r="97">
      <c r="B97" s="61" t="s">
        <v>2809</v>
      </c>
      <c r="C97" s="45" t="s">
        <v>184</v>
      </c>
      <c r="D97" s="61" t="s">
        <v>869</v>
      </c>
      <c r="E97" s="33" t="s">
        <v>29</v>
      </c>
      <c r="H97" s="50" t="s">
        <v>514</v>
      </c>
    </row>
    <row r="98">
      <c r="B98" s="61" t="s">
        <v>2621</v>
      </c>
      <c r="C98" s="45" t="s">
        <v>1335</v>
      </c>
      <c r="D98" s="61" t="s">
        <v>2807</v>
      </c>
      <c r="E98" s="33" t="s">
        <v>33</v>
      </c>
    </row>
    <row r="99">
      <c r="B99" s="61" t="s">
        <v>2809</v>
      </c>
      <c r="C99" s="45" t="s">
        <v>173</v>
      </c>
      <c r="D99" s="61" t="s">
        <v>2808</v>
      </c>
      <c r="E99" s="33" t="s">
        <v>29</v>
      </c>
    </row>
    <row r="100">
      <c r="B100" s="61" t="s">
        <v>2621</v>
      </c>
      <c r="C100" s="45" t="s">
        <v>173</v>
      </c>
      <c r="D100" s="61" t="s">
        <v>869</v>
      </c>
      <c r="E100" s="33" t="s">
        <v>33</v>
      </c>
    </row>
    <row r="101">
      <c r="B101" s="61" t="s">
        <v>869</v>
      </c>
      <c r="C101" s="45" t="s">
        <v>43</v>
      </c>
      <c r="D101" s="61" t="s">
        <v>2807</v>
      </c>
      <c r="E101" s="33" t="s">
        <v>29</v>
      </c>
    </row>
    <row r="102">
      <c r="B102" s="61" t="s">
        <v>2621</v>
      </c>
      <c r="C102" s="45" t="s">
        <v>165</v>
      </c>
      <c r="D102" s="61" t="s">
        <v>2808</v>
      </c>
      <c r="E102" s="33" t="s">
        <v>33</v>
      </c>
    </row>
    <row r="103">
      <c r="B103" s="61" t="s">
        <v>2807</v>
      </c>
      <c r="C103" s="45" t="s">
        <v>17</v>
      </c>
      <c r="D103" s="61" t="s">
        <v>2809</v>
      </c>
      <c r="E103" s="33" t="s">
        <v>29</v>
      </c>
    </row>
    <row r="104">
      <c r="B104" s="61" t="s">
        <v>869</v>
      </c>
      <c r="C104" s="45" t="s">
        <v>315</v>
      </c>
      <c r="D104" s="61" t="s">
        <v>2808</v>
      </c>
      <c r="E104" s="33" t="s">
        <v>33</v>
      </c>
    </row>
    <row r="105">
      <c r="B105" s="61" t="s">
        <v>2621</v>
      </c>
      <c r="C105" s="45" t="s">
        <v>271</v>
      </c>
      <c r="D105" s="61" t="s">
        <v>2809</v>
      </c>
      <c r="E105" s="33" t="s">
        <v>29</v>
      </c>
    </row>
    <row r="106">
      <c r="B106" s="61" t="s">
        <v>2807</v>
      </c>
      <c r="C106" s="45" t="s">
        <v>248</v>
      </c>
      <c r="D106" s="61" t="s">
        <v>2808</v>
      </c>
      <c r="E106" s="33" t="s">
        <v>33</v>
      </c>
    </row>
    <row r="107">
      <c r="B107" s="61" t="s">
        <v>869</v>
      </c>
      <c r="C107" s="45" t="s">
        <v>173</v>
      </c>
      <c r="D107" s="61" t="s">
        <v>2809</v>
      </c>
      <c r="E107" s="33" t="s">
        <v>29</v>
      </c>
    </row>
    <row r="108">
      <c r="B108" s="61" t="s">
        <v>2807</v>
      </c>
      <c r="C108" s="45" t="s">
        <v>17</v>
      </c>
      <c r="D108" s="61" t="s">
        <v>2621</v>
      </c>
      <c r="E108" s="33" t="s">
        <v>33</v>
      </c>
    </row>
    <row r="109">
      <c r="B109" s="61" t="s">
        <v>2808</v>
      </c>
      <c r="C109" s="45" t="s">
        <v>181</v>
      </c>
      <c r="D109" s="61" t="s">
        <v>2809</v>
      </c>
      <c r="E109" s="33" t="s">
        <v>29</v>
      </c>
    </row>
    <row r="110">
      <c r="B110" s="61" t="s">
        <v>869</v>
      </c>
      <c r="C110" s="45" t="s">
        <v>1444</v>
      </c>
      <c r="D110" s="61" t="s">
        <v>2621</v>
      </c>
      <c r="E110" s="33" t="s">
        <v>33</v>
      </c>
    </row>
    <row r="111">
      <c r="B111" s="1" t="s">
        <v>2810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992</v>
      </c>
      <c r="C113" s="57" t="s">
        <v>212</v>
      </c>
      <c r="D113" s="61" t="s">
        <v>2811</v>
      </c>
      <c r="E113" s="33" t="s">
        <v>29</v>
      </c>
    </row>
    <row r="114">
      <c r="B114" s="61" t="s">
        <v>823</v>
      </c>
      <c r="C114" s="57" t="s">
        <v>158</v>
      </c>
      <c r="D114" s="61" t="s">
        <v>2812</v>
      </c>
      <c r="E114" s="33" t="s">
        <v>33</v>
      </c>
    </row>
    <row r="115">
      <c r="B115" s="61" t="s">
        <v>2813</v>
      </c>
      <c r="C115" s="57" t="s">
        <v>185</v>
      </c>
      <c r="D115" s="61" t="s">
        <v>992</v>
      </c>
      <c r="E115" s="33" t="s">
        <v>29</v>
      </c>
    </row>
    <row r="116">
      <c r="B116" s="61" t="s">
        <v>823</v>
      </c>
      <c r="C116" s="57" t="s">
        <v>2814</v>
      </c>
      <c r="D116" s="61" t="s">
        <v>2811</v>
      </c>
      <c r="E116" s="33" t="s">
        <v>33</v>
      </c>
    </row>
    <row r="117">
      <c r="B117" s="61" t="s">
        <v>2813</v>
      </c>
      <c r="C117" s="57" t="s">
        <v>158</v>
      </c>
      <c r="D117" s="61" t="s">
        <v>2812</v>
      </c>
      <c r="E117" s="33" t="s">
        <v>29</v>
      </c>
    </row>
    <row r="118">
      <c r="B118" s="61" t="s">
        <v>823</v>
      </c>
      <c r="C118" s="57" t="s">
        <v>245</v>
      </c>
      <c r="D118" s="61" t="s">
        <v>992</v>
      </c>
      <c r="E118" s="33" t="s">
        <v>33</v>
      </c>
    </row>
    <row r="119">
      <c r="B119" s="61" t="s">
        <v>2813</v>
      </c>
      <c r="C119" s="57" t="s">
        <v>2222</v>
      </c>
      <c r="D119" s="61" t="s">
        <v>2811</v>
      </c>
      <c r="E119" s="33" t="s">
        <v>29</v>
      </c>
    </row>
    <row r="120">
      <c r="B120" s="61" t="s">
        <v>2812</v>
      </c>
      <c r="C120" s="57" t="s">
        <v>220</v>
      </c>
      <c r="D120" s="61" t="s">
        <v>992</v>
      </c>
      <c r="E120" s="33" t="s">
        <v>33</v>
      </c>
    </row>
    <row r="121">
      <c r="B121" s="61" t="s">
        <v>2813</v>
      </c>
      <c r="C121" s="57" t="s">
        <v>158</v>
      </c>
      <c r="D121" s="61" t="s">
        <v>823</v>
      </c>
      <c r="E121" s="33" t="s">
        <v>29</v>
      </c>
    </row>
    <row r="122">
      <c r="B122" s="61" t="s">
        <v>2812</v>
      </c>
      <c r="C122" s="57" t="s">
        <v>281</v>
      </c>
      <c r="D122" s="61" t="s">
        <v>2811</v>
      </c>
      <c r="E122" s="33" t="s">
        <v>33</v>
      </c>
    </row>
    <row r="123">
      <c r="B123" s="61" t="s">
        <v>2811</v>
      </c>
      <c r="C123" s="57" t="s">
        <v>41</v>
      </c>
      <c r="D123" s="61" t="s">
        <v>992</v>
      </c>
      <c r="E123" s="33" t="s">
        <v>29</v>
      </c>
    </row>
    <row r="124">
      <c r="B124" s="61" t="s">
        <v>2812</v>
      </c>
      <c r="C124" s="57" t="s">
        <v>14</v>
      </c>
      <c r="D124" s="61" t="s">
        <v>823</v>
      </c>
      <c r="E124" s="33" t="s">
        <v>33</v>
      </c>
    </row>
    <row r="125">
      <c r="B125" s="61" t="s">
        <v>992</v>
      </c>
      <c r="C125" s="45" t="s">
        <v>193</v>
      </c>
      <c r="D125" s="61" t="s">
        <v>2813</v>
      </c>
      <c r="E125" s="33" t="s">
        <v>29</v>
      </c>
    </row>
    <row r="126">
      <c r="B126" s="61" t="s">
        <v>2811</v>
      </c>
      <c r="C126" s="45" t="s">
        <v>251</v>
      </c>
      <c r="D126" s="61" t="s">
        <v>823</v>
      </c>
      <c r="E126" s="33" t="s">
        <v>33</v>
      </c>
    </row>
    <row r="127">
      <c r="B127" s="61" t="s">
        <v>2812</v>
      </c>
      <c r="C127" s="45" t="s">
        <v>185</v>
      </c>
      <c r="D127" s="61" t="s">
        <v>2813</v>
      </c>
      <c r="E127" s="33" t="s">
        <v>29</v>
      </c>
    </row>
    <row r="128">
      <c r="B128" s="61" t="s">
        <v>992</v>
      </c>
      <c r="C128" s="45" t="s">
        <v>244</v>
      </c>
      <c r="D128" s="61" t="s">
        <v>823</v>
      </c>
      <c r="E128" s="33" t="s">
        <v>33</v>
      </c>
    </row>
    <row r="129">
      <c r="B129" s="61" t="s">
        <v>2811</v>
      </c>
      <c r="C129" s="45" t="s">
        <v>193</v>
      </c>
      <c r="D129" s="61" t="s">
        <v>2813</v>
      </c>
      <c r="E129" s="33" t="s">
        <v>29</v>
      </c>
    </row>
    <row r="130">
      <c r="B130" s="61" t="s">
        <v>992</v>
      </c>
      <c r="C130" s="45" t="s">
        <v>16</v>
      </c>
      <c r="D130" s="61" t="s">
        <v>2812</v>
      </c>
      <c r="E130" s="33" t="s">
        <v>33</v>
      </c>
    </row>
    <row r="131">
      <c r="B131" s="61" t="s">
        <v>823</v>
      </c>
      <c r="C131" s="45" t="s">
        <v>193</v>
      </c>
      <c r="D131" s="61" t="s">
        <v>2813</v>
      </c>
      <c r="E131" s="33" t="s">
        <v>29</v>
      </c>
    </row>
    <row r="132">
      <c r="B132" s="61" t="s">
        <v>2811</v>
      </c>
      <c r="C132" s="45" t="s">
        <v>762</v>
      </c>
      <c r="D132" s="61" t="s">
        <v>2812</v>
      </c>
      <c r="E132" s="33" t="s">
        <v>33</v>
      </c>
    </row>
    <row r="133">
      <c r="B133" s="1" t="s">
        <v>2780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2815</v>
      </c>
      <c r="C135" s="57" t="s">
        <v>293</v>
      </c>
      <c r="D135" s="61" t="s">
        <v>2425</v>
      </c>
      <c r="E135" s="11" t="s">
        <v>9</v>
      </c>
    </row>
    <row r="136">
      <c r="B136" s="61" t="s">
        <v>2816</v>
      </c>
      <c r="C136" s="57" t="s">
        <v>344</v>
      </c>
      <c r="D136" s="61" t="s">
        <v>1187</v>
      </c>
      <c r="E136" s="11" t="s">
        <v>13</v>
      </c>
    </row>
    <row r="137">
      <c r="B137" s="61" t="s">
        <v>1046</v>
      </c>
      <c r="C137" s="57" t="s">
        <v>41</v>
      </c>
      <c r="D137" s="61" t="s">
        <v>2815</v>
      </c>
      <c r="E137" s="11" t="s">
        <v>9</v>
      </c>
    </row>
    <row r="138">
      <c r="B138" s="61" t="s">
        <v>2816</v>
      </c>
      <c r="C138" s="57" t="s">
        <v>17</v>
      </c>
      <c r="D138" s="61" t="s">
        <v>2425</v>
      </c>
      <c r="E138" s="11" t="s">
        <v>13</v>
      </c>
    </row>
    <row r="139">
      <c r="B139" s="61" t="s">
        <v>1046</v>
      </c>
      <c r="C139" s="57" t="s">
        <v>538</v>
      </c>
      <c r="D139" s="61" t="s">
        <v>1187</v>
      </c>
      <c r="E139" s="11" t="s">
        <v>9</v>
      </c>
    </row>
    <row r="140">
      <c r="B140" s="61" t="s">
        <v>2816</v>
      </c>
      <c r="C140" s="57" t="s">
        <v>545</v>
      </c>
      <c r="D140" s="61" t="s">
        <v>2815</v>
      </c>
      <c r="E140" s="11" t="s">
        <v>13</v>
      </c>
    </row>
    <row r="141">
      <c r="B141" s="61" t="s">
        <v>1046</v>
      </c>
      <c r="C141" s="57" t="s">
        <v>20</v>
      </c>
      <c r="D141" s="61" t="s">
        <v>2425</v>
      </c>
      <c r="E141" s="11" t="s">
        <v>9</v>
      </c>
    </row>
    <row r="142">
      <c r="B142" s="61" t="s">
        <v>1187</v>
      </c>
      <c r="C142" s="57" t="s">
        <v>291</v>
      </c>
      <c r="D142" s="61" t="s">
        <v>2815</v>
      </c>
      <c r="E142" s="11" t="s">
        <v>13</v>
      </c>
    </row>
    <row r="143">
      <c r="B143" s="61" t="s">
        <v>1046</v>
      </c>
      <c r="C143" s="57" t="s">
        <v>251</v>
      </c>
      <c r="D143" s="61" t="s">
        <v>2816</v>
      </c>
      <c r="E143" s="11" t="s">
        <v>9</v>
      </c>
    </row>
    <row r="144">
      <c r="B144" s="61" t="s">
        <v>1187</v>
      </c>
      <c r="C144" s="57" t="s">
        <v>344</v>
      </c>
      <c r="D144" s="61" t="s">
        <v>2425</v>
      </c>
      <c r="E144" s="11" t="s">
        <v>13</v>
      </c>
    </row>
    <row r="145">
      <c r="B145" s="61" t="s">
        <v>2425</v>
      </c>
      <c r="C145" s="57" t="s">
        <v>477</v>
      </c>
      <c r="D145" s="61" t="s">
        <v>2815</v>
      </c>
      <c r="E145" s="11" t="s">
        <v>9</v>
      </c>
    </row>
    <row r="146">
      <c r="B146" s="61" t="s">
        <v>1187</v>
      </c>
      <c r="C146" s="57" t="s">
        <v>362</v>
      </c>
      <c r="D146" s="61" t="s">
        <v>2816</v>
      </c>
      <c r="E146" s="11" t="s">
        <v>13</v>
      </c>
    </row>
    <row r="147">
      <c r="B147" s="61" t="s">
        <v>2815</v>
      </c>
      <c r="C147" s="45" t="s">
        <v>18</v>
      </c>
      <c r="D147" s="61" t="s">
        <v>1046</v>
      </c>
      <c r="E147" s="11" t="s">
        <v>9</v>
      </c>
    </row>
    <row r="148">
      <c r="B148" s="61" t="s">
        <v>2425</v>
      </c>
      <c r="C148" s="45" t="s">
        <v>185</v>
      </c>
      <c r="D148" s="61" t="s">
        <v>2816</v>
      </c>
      <c r="E148" s="11" t="s">
        <v>13</v>
      </c>
    </row>
    <row r="149">
      <c r="B149" s="61" t="s">
        <v>1187</v>
      </c>
      <c r="C149" s="45" t="s">
        <v>279</v>
      </c>
      <c r="D149" s="61" t="s">
        <v>1046</v>
      </c>
      <c r="E149" s="11" t="s">
        <v>9</v>
      </c>
    </row>
    <row r="150">
      <c r="B150" s="61" t="s">
        <v>2815</v>
      </c>
      <c r="C150" s="45" t="s">
        <v>549</v>
      </c>
      <c r="D150" s="61" t="s">
        <v>2816</v>
      </c>
      <c r="E150" s="11" t="s">
        <v>13</v>
      </c>
    </row>
    <row r="151">
      <c r="B151" s="61" t="s">
        <v>2425</v>
      </c>
      <c r="C151" s="45" t="s">
        <v>19</v>
      </c>
      <c r="D151" s="61" t="s">
        <v>1046</v>
      </c>
      <c r="E151" s="11" t="s">
        <v>9</v>
      </c>
    </row>
    <row r="152">
      <c r="B152" s="61" t="s">
        <v>2815</v>
      </c>
      <c r="C152" s="45" t="s">
        <v>159</v>
      </c>
      <c r="D152" s="61" t="s">
        <v>1187</v>
      </c>
      <c r="E152" s="11" t="s">
        <v>13</v>
      </c>
    </row>
    <row r="153">
      <c r="B153" s="61" t="s">
        <v>2816</v>
      </c>
      <c r="C153" s="45" t="s">
        <v>166</v>
      </c>
      <c r="D153" s="61" t="s">
        <v>1046</v>
      </c>
      <c r="E153" s="11" t="s">
        <v>9</v>
      </c>
    </row>
    <row r="154">
      <c r="B154" s="61" t="s">
        <v>2425</v>
      </c>
      <c r="C154" s="45" t="s">
        <v>442</v>
      </c>
      <c r="D154" s="61" t="s">
        <v>1187</v>
      </c>
      <c r="E154" s="11" t="s">
        <v>13</v>
      </c>
    </row>
    <row r="155">
      <c r="B155" s="1" t="s">
        <v>1803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458</v>
      </c>
      <c r="C157" s="57" t="s">
        <v>229</v>
      </c>
      <c r="D157" s="61" t="s">
        <v>2355</v>
      </c>
      <c r="E157" s="11" t="s">
        <v>9</v>
      </c>
    </row>
    <row r="158">
      <c r="B158" s="61" t="s">
        <v>2817</v>
      </c>
      <c r="C158" s="57" t="s">
        <v>164</v>
      </c>
      <c r="D158" s="61" t="s">
        <v>933</v>
      </c>
      <c r="E158" s="11" t="s">
        <v>13</v>
      </c>
    </row>
    <row r="159">
      <c r="B159" s="61" t="s">
        <v>2818</v>
      </c>
      <c r="C159" s="57" t="s">
        <v>291</v>
      </c>
      <c r="D159" s="61" t="s">
        <v>458</v>
      </c>
      <c r="E159" s="11" t="s">
        <v>9</v>
      </c>
    </row>
    <row r="160">
      <c r="B160" s="61" t="s">
        <v>2817</v>
      </c>
      <c r="C160" s="57" t="s">
        <v>155</v>
      </c>
      <c r="D160" s="61" t="s">
        <v>2355</v>
      </c>
      <c r="E160" s="11" t="s">
        <v>13</v>
      </c>
    </row>
    <row r="161">
      <c r="B161" s="61" t="s">
        <v>2818</v>
      </c>
      <c r="C161" s="57" t="s">
        <v>289</v>
      </c>
      <c r="D161" s="61" t="s">
        <v>933</v>
      </c>
      <c r="E161" s="11" t="s">
        <v>9</v>
      </c>
    </row>
    <row r="162">
      <c r="B162" s="61" t="s">
        <v>2817</v>
      </c>
      <c r="C162" s="57" t="s">
        <v>173</v>
      </c>
      <c r="D162" s="61" t="s">
        <v>458</v>
      </c>
      <c r="E162" s="11" t="s">
        <v>13</v>
      </c>
    </row>
    <row r="163">
      <c r="B163" s="61" t="s">
        <v>2818</v>
      </c>
      <c r="C163" s="57" t="s">
        <v>718</v>
      </c>
      <c r="D163" s="61" t="s">
        <v>2355</v>
      </c>
      <c r="E163" s="11" t="s">
        <v>9</v>
      </c>
    </row>
    <row r="164">
      <c r="B164" s="61" t="s">
        <v>933</v>
      </c>
      <c r="C164" s="57" t="s">
        <v>2819</v>
      </c>
      <c r="D164" s="61" t="s">
        <v>458</v>
      </c>
      <c r="E164" s="11" t="s">
        <v>13</v>
      </c>
    </row>
    <row r="165">
      <c r="B165" s="61" t="s">
        <v>2818</v>
      </c>
      <c r="C165" s="57" t="s">
        <v>640</v>
      </c>
      <c r="D165" s="61" t="s">
        <v>2817</v>
      </c>
      <c r="E165" s="11" t="s">
        <v>9</v>
      </c>
    </row>
    <row r="166">
      <c r="B166" s="61" t="s">
        <v>933</v>
      </c>
      <c r="C166" s="57" t="s">
        <v>164</v>
      </c>
      <c r="D166" s="61" t="s">
        <v>2355</v>
      </c>
      <c r="E166" s="11" t="s">
        <v>13</v>
      </c>
    </row>
    <row r="167">
      <c r="B167" s="61" t="s">
        <v>2355</v>
      </c>
      <c r="C167" s="57" t="s">
        <v>1590</v>
      </c>
      <c r="D167" s="61" t="s">
        <v>458</v>
      </c>
      <c r="E167" s="11" t="s">
        <v>9</v>
      </c>
    </row>
    <row r="168">
      <c r="B168" s="61" t="s">
        <v>933</v>
      </c>
      <c r="C168" s="57" t="s">
        <v>18</v>
      </c>
      <c r="D168" s="61" t="s">
        <v>2817</v>
      </c>
      <c r="E168" s="11" t="s">
        <v>13</v>
      </c>
    </row>
    <row r="169">
      <c r="B169" s="61" t="s">
        <v>458</v>
      </c>
      <c r="C169" s="45" t="s">
        <v>37</v>
      </c>
      <c r="D169" s="61" t="s">
        <v>2818</v>
      </c>
      <c r="E169" s="11" t="s">
        <v>9</v>
      </c>
    </row>
    <row r="170">
      <c r="B170" s="61" t="s">
        <v>2355</v>
      </c>
      <c r="C170" s="45" t="s">
        <v>208</v>
      </c>
      <c r="D170" s="61" t="s">
        <v>2817</v>
      </c>
      <c r="E170" s="11" t="s">
        <v>13</v>
      </c>
    </row>
    <row r="171">
      <c r="B171" s="61" t="s">
        <v>933</v>
      </c>
      <c r="C171" s="45" t="s">
        <v>166</v>
      </c>
      <c r="D171" s="61" t="s">
        <v>2818</v>
      </c>
      <c r="E171" s="11" t="s">
        <v>9</v>
      </c>
    </row>
    <row r="172">
      <c r="B172" s="61" t="s">
        <v>458</v>
      </c>
      <c r="C172" s="45" t="s">
        <v>1121</v>
      </c>
      <c r="D172" s="61" t="s">
        <v>2817</v>
      </c>
      <c r="E172" s="11" t="s">
        <v>13</v>
      </c>
    </row>
    <row r="173">
      <c r="B173" s="61" t="s">
        <v>2355</v>
      </c>
      <c r="C173" s="45" t="s">
        <v>207</v>
      </c>
      <c r="D173" s="61" t="s">
        <v>2818</v>
      </c>
      <c r="E173" s="11" t="s">
        <v>9</v>
      </c>
    </row>
    <row r="174">
      <c r="B174" s="61" t="s">
        <v>458</v>
      </c>
      <c r="C174" s="45" t="s">
        <v>185</v>
      </c>
      <c r="D174" s="61" t="s">
        <v>933</v>
      </c>
      <c r="E174" s="11" t="s">
        <v>13</v>
      </c>
    </row>
    <row r="175">
      <c r="B175" s="61" t="s">
        <v>2817</v>
      </c>
      <c r="C175" s="45" t="s">
        <v>16</v>
      </c>
      <c r="D175" s="61" t="s">
        <v>2818</v>
      </c>
      <c r="E175" s="11" t="s">
        <v>9</v>
      </c>
    </row>
    <row r="176">
      <c r="B176" s="61" t="s">
        <v>2355</v>
      </c>
      <c r="C176" s="45" t="s">
        <v>185</v>
      </c>
      <c r="D176" s="61" t="s">
        <v>933</v>
      </c>
      <c r="E176" s="11" t="s">
        <v>13</v>
      </c>
    </row>
    <row r="177">
      <c r="B177" s="1" t="s">
        <v>2820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2821</v>
      </c>
      <c r="C179" s="57" t="s">
        <v>477</v>
      </c>
      <c r="D179" s="61" t="s">
        <v>551</v>
      </c>
      <c r="E179" s="33" t="s">
        <v>29</v>
      </c>
    </row>
    <row r="180">
      <c r="B180" s="61" t="s">
        <v>2822</v>
      </c>
      <c r="C180" s="57" t="s">
        <v>23</v>
      </c>
      <c r="D180" s="61" t="s">
        <v>2823</v>
      </c>
      <c r="E180" s="33" t="s">
        <v>33</v>
      </c>
      <c r="H180" s="50"/>
    </row>
    <row r="181">
      <c r="B181" s="61" t="s">
        <v>2824</v>
      </c>
      <c r="C181" s="57" t="s">
        <v>342</v>
      </c>
      <c r="D181" s="61" t="s">
        <v>2821</v>
      </c>
      <c r="E181" s="33" t="s">
        <v>29</v>
      </c>
    </row>
    <row r="182">
      <c r="B182" s="61" t="s">
        <v>2822</v>
      </c>
      <c r="C182" s="57" t="s">
        <v>36</v>
      </c>
      <c r="D182" s="61" t="s">
        <v>551</v>
      </c>
      <c r="E182" s="33" t="s">
        <v>33</v>
      </c>
    </row>
    <row r="183">
      <c r="B183" s="61" t="s">
        <v>2824</v>
      </c>
      <c r="C183" s="57" t="s">
        <v>750</v>
      </c>
      <c r="D183" s="61" t="s">
        <v>2823</v>
      </c>
      <c r="E183" s="33" t="s">
        <v>29</v>
      </c>
    </row>
    <row r="184">
      <c r="B184" s="61" t="s">
        <v>2822</v>
      </c>
      <c r="C184" s="57" t="s">
        <v>181</v>
      </c>
      <c r="D184" s="61" t="s">
        <v>2821</v>
      </c>
      <c r="E184" s="33" t="s">
        <v>33</v>
      </c>
    </row>
    <row r="185">
      <c r="B185" s="61" t="s">
        <v>2824</v>
      </c>
      <c r="C185" s="57" t="s">
        <v>184</v>
      </c>
      <c r="D185" s="61" t="s">
        <v>551</v>
      </c>
      <c r="E185" s="33" t="s">
        <v>29</v>
      </c>
    </row>
    <row r="186">
      <c r="B186" s="61" t="s">
        <v>2823</v>
      </c>
      <c r="C186" s="57" t="s">
        <v>556</v>
      </c>
      <c r="D186" s="61" t="s">
        <v>2821</v>
      </c>
      <c r="E186" s="33" t="s">
        <v>33</v>
      </c>
    </row>
    <row r="187">
      <c r="B187" s="61" t="s">
        <v>2824</v>
      </c>
      <c r="C187" s="57" t="s">
        <v>19</v>
      </c>
      <c r="D187" s="61" t="s">
        <v>2822</v>
      </c>
      <c r="E187" s="33" t="s">
        <v>29</v>
      </c>
    </row>
    <row r="188">
      <c r="B188" s="61" t="s">
        <v>2823</v>
      </c>
      <c r="C188" s="57" t="s">
        <v>774</v>
      </c>
      <c r="D188" s="61" t="s">
        <v>551</v>
      </c>
      <c r="E188" s="33" t="s">
        <v>33</v>
      </c>
    </row>
    <row r="189">
      <c r="B189" s="61" t="s">
        <v>551</v>
      </c>
      <c r="C189" s="57" t="s">
        <v>196</v>
      </c>
      <c r="D189" s="61" t="s">
        <v>2821</v>
      </c>
      <c r="E189" s="33" t="s">
        <v>29</v>
      </c>
    </row>
    <row r="190">
      <c r="B190" s="61" t="s">
        <v>2823</v>
      </c>
      <c r="C190" s="57" t="s">
        <v>208</v>
      </c>
      <c r="D190" s="61" t="s">
        <v>2822</v>
      </c>
      <c r="E190" s="33" t="s">
        <v>33</v>
      </c>
    </row>
    <row r="191">
      <c r="B191" s="61" t="s">
        <v>2821</v>
      </c>
      <c r="C191" s="45" t="s">
        <v>344</v>
      </c>
      <c r="D191" s="61" t="s">
        <v>2824</v>
      </c>
      <c r="E191" s="33" t="s">
        <v>29</v>
      </c>
    </row>
    <row r="192">
      <c r="B192" s="61" t="s">
        <v>551</v>
      </c>
      <c r="C192" s="45" t="s">
        <v>336</v>
      </c>
      <c r="D192" s="61" t="s">
        <v>2822</v>
      </c>
      <c r="E192" s="33" t="s">
        <v>33</v>
      </c>
    </row>
    <row r="193">
      <c r="B193" s="61" t="s">
        <v>2823</v>
      </c>
      <c r="C193" s="45" t="s">
        <v>1197</v>
      </c>
      <c r="D193" s="61" t="s">
        <v>2824</v>
      </c>
      <c r="E193" s="33" t="s">
        <v>29</v>
      </c>
    </row>
    <row r="194">
      <c r="B194" s="61" t="s">
        <v>2821</v>
      </c>
      <c r="C194" s="45" t="s">
        <v>219</v>
      </c>
      <c r="D194" s="61" t="s">
        <v>2822</v>
      </c>
      <c r="E194" s="33" t="s">
        <v>33</v>
      </c>
    </row>
    <row r="195">
      <c r="B195" s="61" t="s">
        <v>551</v>
      </c>
      <c r="C195" s="45" t="s">
        <v>576</v>
      </c>
      <c r="D195" s="61" t="s">
        <v>2824</v>
      </c>
      <c r="E195" s="33" t="s">
        <v>29</v>
      </c>
    </row>
    <row r="196">
      <c r="B196" s="61" t="s">
        <v>2821</v>
      </c>
      <c r="C196" s="45" t="s">
        <v>42</v>
      </c>
      <c r="D196" s="61" t="s">
        <v>2823</v>
      </c>
      <c r="E196" s="33" t="s">
        <v>33</v>
      </c>
    </row>
    <row r="197">
      <c r="B197" s="61" t="s">
        <v>2822</v>
      </c>
      <c r="C197" s="45" t="s">
        <v>231</v>
      </c>
      <c r="D197" s="61" t="s">
        <v>2824</v>
      </c>
      <c r="E197" s="33" t="s">
        <v>29</v>
      </c>
    </row>
    <row r="198">
      <c r="B198" s="61" t="s">
        <v>551</v>
      </c>
      <c r="C198" s="45" t="s">
        <v>1468</v>
      </c>
      <c r="D198" s="61" t="s">
        <v>2823</v>
      </c>
      <c r="E198" s="33" t="s">
        <v>33</v>
      </c>
    </row>
    <row r="199">
      <c r="B199" s="1" t="s">
        <v>2752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1451</v>
      </c>
      <c r="C201" s="57" t="s">
        <v>419</v>
      </c>
      <c r="D201" s="61" t="s">
        <v>2825</v>
      </c>
      <c r="E201" s="33" t="s">
        <v>29</v>
      </c>
    </row>
    <row r="202">
      <c r="B202" s="61" t="s">
        <v>360</v>
      </c>
      <c r="C202" s="57" t="s">
        <v>251</v>
      </c>
      <c r="D202" s="61" t="s">
        <v>2826</v>
      </c>
      <c r="E202" s="33" t="s">
        <v>33</v>
      </c>
    </row>
    <row r="203">
      <c r="B203" s="61" t="s">
        <v>2827</v>
      </c>
      <c r="C203" s="57" t="s">
        <v>464</v>
      </c>
      <c r="D203" s="61" t="s">
        <v>1451</v>
      </c>
      <c r="E203" s="33" t="s">
        <v>29</v>
      </c>
    </row>
    <row r="204">
      <c r="B204" s="61" t="s">
        <v>360</v>
      </c>
      <c r="C204" s="57" t="s">
        <v>16</v>
      </c>
      <c r="D204" s="61" t="s">
        <v>2825</v>
      </c>
      <c r="E204" s="33" t="s">
        <v>33</v>
      </c>
    </row>
    <row r="205">
      <c r="B205" s="61" t="s">
        <v>2827</v>
      </c>
      <c r="C205" s="57" t="s">
        <v>44</v>
      </c>
      <c r="D205" s="61" t="s">
        <v>2826</v>
      </c>
      <c r="E205" s="33" t="s">
        <v>29</v>
      </c>
    </row>
    <row r="206">
      <c r="B206" s="61" t="s">
        <v>360</v>
      </c>
      <c r="C206" s="57" t="s">
        <v>14</v>
      </c>
      <c r="D206" s="61" t="s">
        <v>1451</v>
      </c>
      <c r="E206" s="33" t="s">
        <v>33</v>
      </c>
    </row>
    <row r="207">
      <c r="B207" s="61" t="s">
        <v>2827</v>
      </c>
      <c r="C207" s="57" t="s">
        <v>211</v>
      </c>
      <c r="D207" s="61" t="s">
        <v>2825</v>
      </c>
      <c r="E207" s="33" t="s">
        <v>29</v>
      </c>
    </row>
    <row r="208">
      <c r="B208" s="61" t="s">
        <v>2826</v>
      </c>
      <c r="C208" s="57" t="s">
        <v>184</v>
      </c>
      <c r="D208" s="61" t="s">
        <v>1451</v>
      </c>
      <c r="E208" s="33" t="s">
        <v>33</v>
      </c>
    </row>
    <row r="209">
      <c r="B209" s="61" t="s">
        <v>2827</v>
      </c>
      <c r="C209" s="57" t="s">
        <v>162</v>
      </c>
      <c r="D209" s="61" t="s">
        <v>360</v>
      </c>
      <c r="E209" s="33" t="s">
        <v>29</v>
      </c>
    </row>
    <row r="210">
      <c r="B210" s="61" t="s">
        <v>2826</v>
      </c>
      <c r="C210" s="57" t="s">
        <v>17</v>
      </c>
      <c r="D210" s="61" t="s">
        <v>2825</v>
      </c>
      <c r="E210" s="33" t="s">
        <v>33</v>
      </c>
    </row>
    <row r="211">
      <c r="B211" s="61" t="s">
        <v>2825</v>
      </c>
      <c r="C211" s="57" t="s">
        <v>158</v>
      </c>
      <c r="D211" s="61" t="s">
        <v>1451</v>
      </c>
      <c r="E211" s="33" t="s">
        <v>29</v>
      </c>
    </row>
    <row r="212">
      <c r="B212" s="61" t="s">
        <v>2826</v>
      </c>
      <c r="C212" s="57" t="s">
        <v>17</v>
      </c>
      <c r="D212" s="61" t="s">
        <v>360</v>
      </c>
      <c r="E212" s="33" t="s">
        <v>33</v>
      </c>
    </row>
    <row r="213">
      <c r="B213" s="61" t="s">
        <v>1451</v>
      </c>
      <c r="C213" s="45" t="s">
        <v>750</v>
      </c>
      <c r="D213" s="61" t="s">
        <v>2827</v>
      </c>
      <c r="E213" s="33" t="s">
        <v>29</v>
      </c>
    </row>
    <row r="214">
      <c r="B214" s="61" t="s">
        <v>2825</v>
      </c>
      <c r="C214" s="45" t="s">
        <v>1590</v>
      </c>
      <c r="D214" s="61" t="s">
        <v>360</v>
      </c>
      <c r="E214" s="33" t="s">
        <v>33</v>
      </c>
    </row>
    <row r="215">
      <c r="B215" s="61" t="s">
        <v>2826</v>
      </c>
      <c r="C215" s="45" t="s">
        <v>281</v>
      </c>
      <c r="D215" s="61" t="s">
        <v>2827</v>
      </c>
      <c r="E215" s="33" t="s">
        <v>29</v>
      </c>
    </row>
    <row r="216">
      <c r="B216" s="61" t="s">
        <v>1451</v>
      </c>
      <c r="C216" s="45" t="s">
        <v>209</v>
      </c>
      <c r="D216" s="61" t="s">
        <v>360</v>
      </c>
      <c r="E216" s="33" t="s">
        <v>33</v>
      </c>
    </row>
    <row r="217">
      <c r="B217" s="61" t="s">
        <v>2825</v>
      </c>
      <c r="C217" s="45" t="s">
        <v>155</v>
      </c>
      <c r="D217" s="61" t="s">
        <v>2827</v>
      </c>
      <c r="E217" s="33" t="s">
        <v>29</v>
      </c>
    </row>
    <row r="218">
      <c r="B218" s="61" t="s">
        <v>1451</v>
      </c>
      <c r="C218" s="45" t="s">
        <v>27</v>
      </c>
      <c r="D218" s="61" t="s">
        <v>2826</v>
      </c>
      <c r="E218" s="33" t="s">
        <v>33</v>
      </c>
    </row>
    <row r="219">
      <c r="B219" s="61" t="s">
        <v>360</v>
      </c>
      <c r="C219" s="45" t="s">
        <v>23</v>
      </c>
      <c r="D219" s="61" t="s">
        <v>2827</v>
      </c>
      <c r="E219" s="33" t="s">
        <v>29</v>
      </c>
    </row>
    <row r="220">
      <c r="B220" s="61" t="s">
        <v>2825</v>
      </c>
      <c r="C220" s="45" t="s">
        <v>16</v>
      </c>
      <c r="D220" s="61" t="s">
        <v>2826</v>
      </c>
      <c r="E220" s="33" t="s">
        <v>33</v>
      </c>
    </row>
    <row r="221">
      <c r="B221" s="52" t="s">
        <v>2828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2829</v>
      </c>
      <c r="C223" s="57" t="s">
        <v>225</v>
      </c>
      <c r="D223" s="62" t="s">
        <v>2830</v>
      </c>
      <c r="E223" s="11" t="s">
        <v>9</v>
      </c>
    </row>
    <row r="224">
      <c r="B224" s="62" t="s">
        <v>1980</v>
      </c>
      <c r="C224" s="57" t="s">
        <v>24</v>
      </c>
      <c r="D224" s="62" t="s">
        <v>2831</v>
      </c>
      <c r="E224" s="11" t="s">
        <v>13</v>
      </c>
    </row>
    <row r="225">
      <c r="B225" s="62" t="s">
        <v>987</v>
      </c>
      <c r="C225" s="57" t="s">
        <v>280</v>
      </c>
      <c r="D225" s="62" t="s">
        <v>2829</v>
      </c>
      <c r="E225" s="11" t="s">
        <v>9</v>
      </c>
    </row>
    <row r="226">
      <c r="B226" s="62" t="s">
        <v>1980</v>
      </c>
      <c r="C226" s="57" t="s">
        <v>776</v>
      </c>
      <c r="D226" s="62" t="s">
        <v>2830</v>
      </c>
      <c r="E226" s="11" t="s">
        <v>13</v>
      </c>
    </row>
    <row r="227">
      <c r="B227" s="62" t="s">
        <v>987</v>
      </c>
      <c r="C227" s="57" t="s">
        <v>507</v>
      </c>
      <c r="D227" s="62" t="s">
        <v>2831</v>
      </c>
      <c r="E227" s="11" t="s">
        <v>9</v>
      </c>
    </row>
    <row r="228">
      <c r="B228" s="62" t="s">
        <v>1980</v>
      </c>
      <c r="C228" s="57" t="s">
        <v>218</v>
      </c>
      <c r="D228" s="62" t="s">
        <v>2829</v>
      </c>
      <c r="E228" s="11" t="s">
        <v>13</v>
      </c>
    </row>
    <row r="229">
      <c r="B229" s="62" t="s">
        <v>987</v>
      </c>
      <c r="C229" s="57" t="s">
        <v>171</v>
      </c>
      <c r="D229" s="62" t="s">
        <v>2830</v>
      </c>
      <c r="E229" s="11" t="s">
        <v>9</v>
      </c>
    </row>
    <row r="230">
      <c r="B230" s="62" t="s">
        <v>2831</v>
      </c>
      <c r="C230" s="57" t="s">
        <v>908</v>
      </c>
      <c r="D230" s="62" t="s">
        <v>2829</v>
      </c>
      <c r="E230" s="11" t="s">
        <v>13</v>
      </c>
    </row>
    <row r="231">
      <c r="B231" s="62" t="s">
        <v>987</v>
      </c>
      <c r="C231" s="57" t="s">
        <v>351</v>
      </c>
      <c r="D231" s="62" t="s">
        <v>1980</v>
      </c>
      <c r="E231" s="11" t="s">
        <v>9</v>
      </c>
    </row>
    <row r="232">
      <c r="B232" s="62" t="s">
        <v>2831</v>
      </c>
      <c r="C232" s="57" t="s">
        <v>250</v>
      </c>
      <c r="D232" s="62" t="s">
        <v>2830</v>
      </c>
      <c r="E232" s="11" t="s">
        <v>13</v>
      </c>
    </row>
    <row r="233">
      <c r="B233" s="62" t="s">
        <v>2830</v>
      </c>
      <c r="C233" s="57" t="s">
        <v>573</v>
      </c>
      <c r="D233" s="62" t="s">
        <v>2829</v>
      </c>
      <c r="E233" s="11" t="s">
        <v>9</v>
      </c>
    </row>
    <row r="234">
      <c r="B234" s="62" t="s">
        <v>2831</v>
      </c>
      <c r="C234" s="57" t="s">
        <v>181</v>
      </c>
      <c r="D234" s="62" t="s">
        <v>1980</v>
      </c>
      <c r="E234" s="11" t="s">
        <v>13</v>
      </c>
    </row>
    <row r="235">
      <c r="B235" s="62" t="s">
        <v>2829</v>
      </c>
      <c r="C235" s="45" t="s">
        <v>164</v>
      </c>
      <c r="D235" s="62" t="s">
        <v>987</v>
      </c>
      <c r="E235" s="11" t="s">
        <v>9</v>
      </c>
    </row>
    <row r="236">
      <c r="B236" s="62" t="s">
        <v>2830</v>
      </c>
      <c r="C236" s="45" t="s">
        <v>712</v>
      </c>
      <c r="D236" s="62" t="s">
        <v>1980</v>
      </c>
      <c r="E236" s="11" t="s">
        <v>13</v>
      </c>
    </row>
    <row r="237">
      <c r="B237" s="62" t="s">
        <v>2831</v>
      </c>
      <c r="C237" s="45" t="s">
        <v>231</v>
      </c>
      <c r="D237" s="62" t="s">
        <v>987</v>
      </c>
      <c r="E237" s="11" t="s">
        <v>9</v>
      </c>
    </row>
    <row r="238">
      <c r="B238" s="62" t="s">
        <v>2829</v>
      </c>
      <c r="C238" s="45" t="s">
        <v>181</v>
      </c>
      <c r="D238" s="62" t="s">
        <v>1980</v>
      </c>
      <c r="E238" s="11" t="s">
        <v>13</v>
      </c>
    </row>
    <row r="239">
      <c r="B239" s="62" t="s">
        <v>2830</v>
      </c>
      <c r="C239" s="45" t="s">
        <v>41</v>
      </c>
      <c r="D239" s="62" t="s">
        <v>987</v>
      </c>
      <c r="E239" s="11" t="s">
        <v>9</v>
      </c>
    </row>
    <row r="240">
      <c r="B240" s="62" t="s">
        <v>2829</v>
      </c>
      <c r="C240" s="45" t="s">
        <v>573</v>
      </c>
      <c r="D240" s="62" t="s">
        <v>2831</v>
      </c>
      <c r="E240" s="11" t="s">
        <v>13</v>
      </c>
    </row>
    <row r="241">
      <c r="B241" s="62" t="s">
        <v>1980</v>
      </c>
      <c r="C241" s="45" t="s">
        <v>18</v>
      </c>
      <c r="D241" s="62" t="s">
        <v>987</v>
      </c>
      <c r="E241" s="11" t="s">
        <v>9</v>
      </c>
    </row>
    <row r="242">
      <c r="B242" s="62" t="s">
        <v>2830</v>
      </c>
      <c r="C242" s="45" t="s">
        <v>2832</v>
      </c>
      <c r="D242" s="62" t="s">
        <v>2831</v>
      </c>
      <c r="E242" s="11" t="s">
        <v>13</v>
      </c>
    </row>
    <row r="243">
      <c r="B243" s="52" t="s">
        <v>1581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2833</v>
      </c>
      <c r="C245" s="57" t="s">
        <v>16</v>
      </c>
      <c r="D245" s="62" t="s">
        <v>1455</v>
      </c>
      <c r="E245" s="11" t="s">
        <v>9</v>
      </c>
    </row>
    <row r="246">
      <c r="B246" s="62" t="s">
        <v>2834</v>
      </c>
      <c r="C246" s="57" t="s">
        <v>425</v>
      </c>
      <c r="D246" s="62" t="s">
        <v>1304</v>
      </c>
      <c r="E246" s="11" t="s">
        <v>13</v>
      </c>
    </row>
    <row r="247">
      <c r="B247" s="62" t="s">
        <v>592</v>
      </c>
      <c r="C247" s="57" t="s">
        <v>222</v>
      </c>
      <c r="D247" s="62" t="s">
        <v>2833</v>
      </c>
      <c r="E247" s="11" t="s">
        <v>9</v>
      </c>
    </row>
    <row r="248">
      <c r="B248" s="62" t="s">
        <v>2834</v>
      </c>
      <c r="C248" s="57" t="s">
        <v>155</v>
      </c>
      <c r="D248" s="62" t="s">
        <v>1455</v>
      </c>
      <c r="E248" s="11" t="s">
        <v>13</v>
      </c>
    </row>
    <row r="249">
      <c r="B249" s="62" t="s">
        <v>592</v>
      </c>
      <c r="C249" s="57" t="s">
        <v>229</v>
      </c>
      <c r="D249" s="62" t="s">
        <v>1304</v>
      </c>
      <c r="E249" s="11" t="s">
        <v>9</v>
      </c>
    </row>
    <row r="250">
      <c r="B250" s="62" t="s">
        <v>2834</v>
      </c>
      <c r="C250" s="57" t="s">
        <v>18</v>
      </c>
      <c r="D250" s="62" t="s">
        <v>2833</v>
      </c>
      <c r="E250" s="11" t="s">
        <v>13</v>
      </c>
    </row>
    <row r="251">
      <c r="B251" s="62" t="s">
        <v>592</v>
      </c>
      <c r="C251" s="57" t="s">
        <v>17</v>
      </c>
      <c r="D251" s="62" t="s">
        <v>1455</v>
      </c>
      <c r="E251" s="11" t="s">
        <v>9</v>
      </c>
    </row>
    <row r="252">
      <c r="B252" s="62" t="s">
        <v>1304</v>
      </c>
      <c r="C252" s="57" t="s">
        <v>576</v>
      </c>
      <c r="D252" s="62" t="s">
        <v>2833</v>
      </c>
      <c r="E252" s="11" t="s">
        <v>13</v>
      </c>
    </row>
    <row r="253">
      <c r="B253" s="62" t="s">
        <v>592</v>
      </c>
      <c r="C253" s="57" t="s">
        <v>162</v>
      </c>
      <c r="D253" s="62" t="s">
        <v>2834</v>
      </c>
      <c r="E253" s="11" t="s">
        <v>9</v>
      </c>
    </row>
    <row r="254">
      <c r="B254" s="62" t="s">
        <v>1304</v>
      </c>
      <c r="C254" s="54" t="s">
        <v>166</v>
      </c>
      <c r="D254" s="62" t="s">
        <v>1455</v>
      </c>
      <c r="E254" s="11" t="s">
        <v>13</v>
      </c>
    </row>
    <row r="255">
      <c r="B255" s="62" t="s">
        <v>1455</v>
      </c>
      <c r="C255" s="57" t="s">
        <v>344</v>
      </c>
      <c r="D255" s="62" t="s">
        <v>2833</v>
      </c>
      <c r="E255" s="11" t="s">
        <v>9</v>
      </c>
    </row>
    <row r="256">
      <c r="B256" s="62" t="s">
        <v>1304</v>
      </c>
      <c r="C256" s="57" t="s">
        <v>2835</v>
      </c>
      <c r="D256" s="62" t="s">
        <v>2834</v>
      </c>
      <c r="E256" s="11" t="s">
        <v>13</v>
      </c>
    </row>
    <row r="257">
      <c r="B257" s="62" t="s">
        <v>2833</v>
      </c>
      <c r="C257" s="45" t="s">
        <v>219</v>
      </c>
      <c r="D257" s="62" t="s">
        <v>592</v>
      </c>
      <c r="E257" s="11" t="s">
        <v>9</v>
      </c>
    </row>
    <row r="258">
      <c r="B258" s="62" t="s">
        <v>1455</v>
      </c>
      <c r="C258" s="45" t="s">
        <v>193</v>
      </c>
      <c r="D258" s="62" t="s">
        <v>2834</v>
      </c>
      <c r="E258" s="11" t="s">
        <v>13</v>
      </c>
    </row>
    <row r="259">
      <c r="B259" s="62" t="s">
        <v>1304</v>
      </c>
      <c r="C259" s="45" t="s">
        <v>2836</v>
      </c>
      <c r="D259" s="62" t="s">
        <v>592</v>
      </c>
      <c r="E259" s="11" t="s">
        <v>9</v>
      </c>
    </row>
    <row r="260">
      <c r="B260" s="62" t="s">
        <v>2833</v>
      </c>
      <c r="C260" s="45" t="s">
        <v>189</v>
      </c>
      <c r="D260" s="62" t="s">
        <v>2834</v>
      </c>
      <c r="E260" s="11" t="s">
        <v>13</v>
      </c>
    </row>
    <row r="261">
      <c r="B261" s="62" t="s">
        <v>1455</v>
      </c>
      <c r="C261" s="45" t="s">
        <v>291</v>
      </c>
      <c r="D261" s="62" t="s">
        <v>592</v>
      </c>
      <c r="E261" s="11" t="s">
        <v>9</v>
      </c>
    </row>
    <row r="262">
      <c r="B262" s="62" t="s">
        <v>2833</v>
      </c>
      <c r="C262" s="45" t="s">
        <v>898</v>
      </c>
      <c r="D262" s="62" t="s">
        <v>1304</v>
      </c>
      <c r="E262" s="11" t="s">
        <v>13</v>
      </c>
    </row>
    <row r="263">
      <c r="B263" s="62" t="s">
        <v>2834</v>
      </c>
      <c r="C263" s="45" t="s">
        <v>184</v>
      </c>
      <c r="D263" s="62" t="s">
        <v>592</v>
      </c>
      <c r="E263" s="11" t="s">
        <v>9</v>
      </c>
    </row>
    <row r="264">
      <c r="B264" s="62" t="s">
        <v>1455</v>
      </c>
      <c r="C264" s="45" t="s">
        <v>2837</v>
      </c>
      <c r="D264" s="62" t="s">
        <v>1304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2573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2401</v>
      </c>
      <c r="C3" s="57" t="s">
        <v>208</v>
      </c>
      <c r="D3" s="62" t="s">
        <v>2838</v>
      </c>
      <c r="E3" s="11" t="s">
        <v>9</v>
      </c>
    </row>
    <row r="4">
      <c r="A4" s="90"/>
      <c r="B4" s="62" t="s">
        <v>138</v>
      </c>
      <c r="C4" s="57" t="s">
        <v>203</v>
      </c>
      <c r="D4" s="61" t="s">
        <v>1824</v>
      </c>
      <c r="E4" s="11" t="s">
        <v>13</v>
      </c>
    </row>
    <row r="5">
      <c r="A5" s="90"/>
      <c r="B5" s="62" t="s">
        <v>1843</v>
      </c>
      <c r="C5" s="57" t="s">
        <v>271</v>
      </c>
      <c r="D5" s="62" t="s">
        <v>2401</v>
      </c>
      <c r="E5" s="11" t="s">
        <v>9</v>
      </c>
    </row>
    <row r="6">
      <c r="A6" s="90"/>
      <c r="B6" s="62" t="s">
        <v>138</v>
      </c>
      <c r="C6" s="57" t="s">
        <v>219</v>
      </c>
      <c r="D6" s="62" t="s">
        <v>2838</v>
      </c>
      <c r="E6" s="11" t="s">
        <v>13</v>
      </c>
    </row>
    <row r="7">
      <c r="A7" s="90"/>
      <c r="B7" s="62" t="s">
        <v>1843</v>
      </c>
      <c r="C7" s="57" t="s">
        <v>229</v>
      </c>
      <c r="D7" s="61" t="s">
        <v>1824</v>
      </c>
      <c r="E7" s="11" t="s">
        <v>9</v>
      </c>
    </row>
    <row r="8">
      <c r="A8" s="90"/>
      <c r="B8" s="62" t="s">
        <v>138</v>
      </c>
      <c r="C8" s="57" t="s">
        <v>18</v>
      </c>
      <c r="D8" s="62" t="s">
        <v>2401</v>
      </c>
      <c r="E8" s="11" t="s">
        <v>13</v>
      </c>
    </row>
    <row r="9">
      <c r="A9" s="90"/>
      <c r="B9" s="62" t="s">
        <v>1843</v>
      </c>
      <c r="C9" s="57" t="s">
        <v>158</v>
      </c>
      <c r="D9" s="62" t="s">
        <v>2838</v>
      </c>
      <c r="E9" s="11" t="s">
        <v>9</v>
      </c>
    </row>
    <row r="10">
      <c r="A10" s="90"/>
      <c r="B10" s="61" t="s">
        <v>1824</v>
      </c>
      <c r="C10" s="57" t="s">
        <v>2281</v>
      </c>
      <c r="D10" s="62" t="s">
        <v>2401</v>
      </c>
      <c r="E10" s="11" t="s">
        <v>13</v>
      </c>
    </row>
    <row r="11">
      <c r="A11" s="90"/>
      <c r="B11" s="62" t="s">
        <v>1843</v>
      </c>
      <c r="C11" s="57" t="s">
        <v>193</v>
      </c>
      <c r="D11" s="62" t="s">
        <v>138</v>
      </c>
      <c r="E11" s="11" t="s">
        <v>9</v>
      </c>
    </row>
    <row r="12">
      <c r="A12" s="90"/>
      <c r="B12" s="61" t="s">
        <v>1824</v>
      </c>
      <c r="C12" s="57" t="s">
        <v>177</v>
      </c>
      <c r="D12" s="62" t="s">
        <v>2838</v>
      </c>
      <c r="E12" s="11" t="s">
        <v>13</v>
      </c>
    </row>
    <row r="13">
      <c r="A13" s="90"/>
      <c r="B13" s="62" t="s">
        <v>2838</v>
      </c>
      <c r="C13" s="57" t="s">
        <v>554</v>
      </c>
      <c r="D13" s="62" t="s">
        <v>2401</v>
      </c>
      <c r="E13" s="11" t="s">
        <v>9</v>
      </c>
    </row>
    <row r="14">
      <c r="A14" s="90"/>
      <c r="B14" s="61" t="s">
        <v>1824</v>
      </c>
      <c r="C14" s="57" t="s">
        <v>7</v>
      </c>
      <c r="D14" s="62" t="s">
        <v>138</v>
      </c>
      <c r="E14" s="11" t="s">
        <v>13</v>
      </c>
    </row>
    <row r="15">
      <c r="A15" s="90"/>
      <c r="B15" s="62" t="s">
        <v>2401</v>
      </c>
      <c r="C15" s="45" t="s">
        <v>43</v>
      </c>
      <c r="D15" s="62" t="s">
        <v>1843</v>
      </c>
      <c r="E15" s="11" t="s">
        <v>9</v>
      </c>
    </row>
    <row r="16">
      <c r="A16" s="90"/>
      <c r="B16" s="62" t="s">
        <v>2838</v>
      </c>
      <c r="C16" s="45" t="s">
        <v>181</v>
      </c>
      <c r="D16" s="62" t="s">
        <v>138</v>
      </c>
      <c r="E16" s="11" t="s">
        <v>13</v>
      </c>
    </row>
    <row r="17">
      <c r="A17" s="90"/>
      <c r="B17" s="61" t="s">
        <v>1824</v>
      </c>
      <c r="C17" s="45" t="s">
        <v>336</v>
      </c>
      <c r="D17" s="62" t="s">
        <v>1843</v>
      </c>
      <c r="E17" s="11" t="s">
        <v>9</v>
      </c>
    </row>
    <row r="18">
      <c r="A18" s="90"/>
      <c r="B18" s="62" t="s">
        <v>2401</v>
      </c>
      <c r="C18" s="45" t="s">
        <v>219</v>
      </c>
      <c r="D18" s="62" t="s">
        <v>138</v>
      </c>
      <c r="E18" s="11" t="s">
        <v>13</v>
      </c>
    </row>
    <row r="19">
      <c r="A19" s="90"/>
      <c r="B19" s="62" t="s">
        <v>2838</v>
      </c>
      <c r="C19" s="45" t="s">
        <v>209</v>
      </c>
      <c r="D19" s="62" t="s">
        <v>1843</v>
      </c>
      <c r="E19" s="11" t="s">
        <v>9</v>
      </c>
    </row>
    <row r="20">
      <c r="A20" s="90"/>
      <c r="B20" s="62" t="s">
        <v>2401</v>
      </c>
      <c r="C20" s="45" t="s">
        <v>177</v>
      </c>
      <c r="D20" s="61" t="s">
        <v>1824</v>
      </c>
      <c r="E20" s="11" t="s">
        <v>13</v>
      </c>
    </row>
    <row r="21">
      <c r="A21" s="90"/>
      <c r="B21" s="62" t="s">
        <v>138</v>
      </c>
      <c r="C21" s="45" t="s">
        <v>289</v>
      </c>
      <c r="D21" s="62" t="s">
        <v>1843</v>
      </c>
      <c r="E21" s="11" t="s">
        <v>9</v>
      </c>
    </row>
    <row r="22">
      <c r="A22" s="90"/>
      <c r="B22" s="62" t="s">
        <v>2838</v>
      </c>
      <c r="C22" s="45" t="s">
        <v>264</v>
      </c>
      <c r="D22" s="61" t="s">
        <v>1824</v>
      </c>
      <c r="E22" s="11" t="s">
        <v>13</v>
      </c>
    </row>
    <row r="23">
      <c r="A23" s="90"/>
      <c r="B23" s="1" t="s">
        <v>2631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2839</v>
      </c>
      <c r="C25" s="57" t="s">
        <v>14</v>
      </c>
      <c r="D25" s="62" t="s">
        <v>2840</v>
      </c>
      <c r="E25" s="11" t="s">
        <v>9</v>
      </c>
    </row>
    <row r="26">
      <c r="A26" s="90"/>
      <c r="B26" s="62" t="s">
        <v>2841</v>
      </c>
      <c r="C26" s="57" t="s">
        <v>23</v>
      </c>
      <c r="D26" s="61" t="s">
        <v>2448</v>
      </c>
      <c r="E26" s="11" t="s">
        <v>13</v>
      </c>
    </row>
    <row r="27">
      <c r="A27" s="90"/>
      <c r="B27" s="62" t="s">
        <v>2467</v>
      </c>
      <c r="C27" s="57" t="s">
        <v>290</v>
      </c>
      <c r="D27" s="62" t="s">
        <v>2839</v>
      </c>
      <c r="E27" s="11" t="s">
        <v>9</v>
      </c>
    </row>
    <row r="28">
      <c r="A28" s="90"/>
      <c r="B28" s="62" t="s">
        <v>2841</v>
      </c>
      <c r="C28" s="57" t="s">
        <v>38</v>
      </c>
      <c r="D28" s="62" t="s">
        <v>2840</v>
      </c>
      <c r="E28" s="11" t="s">
        <v>13</v>
      </c>
    </row>
    <row r="29">
      <c r="A29" s="90"/>
      <c r="B29" s="62" t="s">
        <v>2467</v>
      </c>
      <c r="C29" s="57" t="s">
        <v>193</v>
      </c>
      <c r="D29" s="61" t="s">
        <v>2448</v>
      </c>
      <c r="E29" s="11" t="s">
        <v>9</v>
      </c>
    </row>
    <row r="30">
      <c r="A30" s="90"/>
      <c r="B30" s="62" t="s">
        <v>2841</v>
      </c>
      <c r="C30" s="57" t="s">
        <v>162</v>
      </c>
      <c r="D30" s="62" t="s">
        <v>2839</v>
      </c>
      <c r="E30" s="11" t="s">
        <v>13</v>
      </c>
    </row>
    <row r="31">
      <c r="A31" s="90"/>
      <c r="B31" s="62" t="s">
        <v>2467</v>
      </c>
      <c r="C31" s="57" t="s">
        <v>394</v>
      </c>
      <c r="D31" s="62" t="s">
        <v>2840</v>
      </c>
      <c r="E31" s="11" t="s">
        <v>9</v>
      </c>
    </row>
    <row r="32">
      <c r="A32" s="90"/>
      <c r="B32" s="61" t="s">
        <v>2448</v>
      </c>
      <c r="C32" s="57" t="s">
        <v>193</v>
      </c>
      <c r="D32" s="62" t="s">
        <v>2839</v>
      </c>
      <c r="E32" s="11" t="s">
        <v>13</v>
      </c>
    </row>
    <row r="33">
      <c r="A33" s="90"/>
      <c r="B33" s="62" t="s">
        <v>2467</v>
      </c>
      <c r="C33" s="57" t="s">
        <v>158</v>
      </c>
      <c r="D33" s="62" t="s">
        <v>2841</v>
      </c>
      <c r="E33" s="11" t="s">
        <v>9</v>
      </c>
    </row>
    <row r="34">
      <c r="A34" s="90"/>
      <c r="B34" s="61" t="s">
        <v>2448</v>
      </c>
      <c r="C34" s="57" t="s">
        <v>640</v>
      </c>
      <c r="D34" s="62" t="s">
        <v>2840</v>
      </c>
      <c r="E34" s="11" t="s">
        <v>13</v>
      </c>
    </row>
    <row r="35">
      <c r="A35" s="90"/>
      <c r="B35" s="62" t="s">
        <v>2840</v>
      </c>
      <c r="C35" s="57" t="s">
        <v>40</v>
      </c>
      <c r="D35" s="62" t="s">
        <v>2839</v>
      </c>
      <c r="E35" s="11" t="s">
        <v>9</v>
      </c>
    </row>
    <row r="36">
      <c r="A36" s="90"/>
      <c r="B36" s="61" t="s">
        <v>2448</v>
      </c>
      <c r="C36" s="57" t="s">
        <v>218</v>
      </c>
      <c r="D36" s="62" t="s">
        <v>2841</v>
      </c>
      <c r="E36" s="11" t="s">
        <v>13</v>
      </c>
    </row>
    <row r="37">
      <c r="A37" s="90"/>
      <c r="B37" s="62" t="s">
        <v>2839</v>
      </c>
      <c r="C37" s="45" t="s">
        <v>229</v>
      </c>
      <c r="D37" s="62" t="s">
        <v>2467</v>
      </c>
      <c r="E37" s="11" t="s">
        <v>9</v>
      </c>
    </row>
    <row r="38">
      <c r="A38" s="90"/>
      <c r="B38" s="62" t="s">
        <v>2840</v>
      </c>
      <c r="C38" s="45" t="s">
        <v>193</v>
      </c>
      <c r="D38" s="62" t="s">
        <v>2841</v>
      </c>
      <c r="E38" s="11" t="s">
        <v>13</v>
      </c>
    </row>
    <row r="39">
      <c r="A39" s="90"/>
      <c r="B39" s="61" t="s">
        <v>2448</v>
      </c>
      <c r="C39" s="45" t="s">
        <v>264</v>
      </c>
      <c r="D39" s="62" t="s">
        <v>2467</v>
      </c>
      <c r="E39" s="11" t="s">
        <v>9</v>
      </c>
    </row>
    <row r="40">
      <c r="A40" s="90"/>
      <c r="B40" s="62" t="s">
        <v>2839</v>
      </c>
      <c r="C40" s="45" t="s">
        <v>292</v>
      </c>
      <c r="D40" s="62" t="s">
        <v>2841</v>
      </c>
      <c r="E40" s="11" t="s">
        <v>13</v>
      </c>
    </row>
    <row r="41">
      <c r="A41" s="90"/>
      <c r="B41" s="62" t="s">
        <v>2840</v>
      </c>
      <c r="C41" s="45" t="s">
        <v>324</v>
      </c>
      <c r="D41" s="62" t="s">
        <v>2467</v>
      </c>
      <c r="E41" s="11" t="s">
        <v>9</v>
      </c>
    </row>
    <row r="42">
      <c r="A42" s="90"/>
      <c r="B42" s="62" t="s">
        <v>2839</v>
      </c>
      <c r="C42" s="45" t="s">
        <v>17</v>
      </c>
      <c r="D42" s="61" t="s">
        <v>2448</v>
      </c>
      <c r="E42" s="11" t="s">
        <v>13</v>
      </c>
    </row>
    <row r="43">
      <c r="A43" s="90"/>
      <c r="B43" s="62" t="s">
        <v>2841</v>
      </c>
      <c r="C43" s="45" t="s">
        <v>16</v>
      </c>
      <c r="D43" s="62" t="s">
        <v>2467</v>
      </c>
      <c r="E43" s="11" t="s">
        <v>9</v>
      </c>
    </row>
    <row r="44">
      <c r="A44" s="91"/>
      <c r="B44" s="62" t="s">
        <v>2840</v>
      </c>
      <c r="C44" s="45" t="s">
        <v>44</v>
      </c>
      <c r="D44" s="61" t="s">
        <v>2448</v>
      </c>
      <c r="E44" s="11" t="s">
        <v>13</v>
      </c>
    </row>
    <row r="45">
      <c r="B45" s="1" t="s">
        <v>2260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2842</v>
      </c>
      <c r="C47" s="45" t="s">
        <v>158</v>
      </c>
      <c r="D47" s="61" t="s">
        <v>2338</v>
      </c>
      <c r="E47" s="11" t="s">
        <v>9</v>
      </c>
    </row>
    <row r="48">
      <c r="B48" s="61" t="s">
        <v>235</v>
      </c>
      <c r="C48" s="45" t="s">
        <v>301</v>
      </c>
      <c r="D48" s="61" t="s">
        <v>2406</v>
      </c>
      <c r="E48" s="11" t="s">
        <v>13</v>
      </c>
    </row>
    <row r="49">
      <c r="B49" s="61" t="s">
        <v>2843</v>
      </c>
      <c r="C49" s="45" t="s">
        <v>426</v>
      </c>
      <c r="D49" s="61" t="s">
        <v>2842</v>
      </c>
      <c r="E49" s="11" t="s">
        <v>9</v>
      </c>
    </row>
    <row r="50">
      <c r="B50" s="61" t="s">
        <v>235</v>
      </c>
      <c r="C50" s="45" t="s">
        <v>16</v>
      </c>
      <c r="D50" s="61" t="s">
        <v>2338</v>
      </c>
      <c r="E50" s="11" t="s">
        <v>13</v>
      </c>
    </row>
    <row r="51">
      <c r="B51" s="61" t="s">
        <v>2843</v>
      </c>
      <c r="C51" s="45" t="s">
        <v>173</v>
      </c>
      <c r="D51" s="61" t="s">
        <v>2406</v>
      </c>
      <c r="E51" s="11" t="s">
        <v>9</v>
      </c>
    </row>
    <row r="52">
      <c r="B52" s="61" t="s">
        <v>235</v>
      </c>
      <c r="C52" s="45" t="s">
        <v>219</v>
      </c>
      <c r="D52" s="61" t="s">
        <v>2842</v>
      </c>
      <c r="E52" s="11" t="s">
        <v>13</v>
      </c>
    </row>
    <row r="53">
      <c r="B53" s="61" t="s">
        <v>2843</v>
      </c>
      <c r="C53" s="45" t="s">
        <v>155</v>
      </c>
      <c r="D53" s="61" t="s">
        <v>2338</v>
      </c>
      <c r="E53" s="11" t="s">
        <v>9</v>
      </c>
    </row>
    <row r="54">
      <c r="B54" s="61" t="s">
        <v>2406</v>
      </c>
      <c r="C54" s="45" t="s">
        <v>181</v>
      </c>
      <c r="D54" s="61" t="s">
        <v>2842</v>
      </c>
      <c r="E54" s="11" t="s">
        <v>13</v>
      </c>
    </row>
    <row r="55">
      <c r="B55" s="61" t="s">
        <v>2843</v>
      </c>
      <c r="C55" s="45" t="s">
        <v>1836</v>
      </c>
      <c r="D55" s="61" t="s">
        <v>235</v>
      </c>
      <c r="E55" s="11" t="s">
        <v>9</v>
      </c>
    </row>
    <row r="56">
      <c r="B56" s="61" t="s">
        <v>2406</v>
      </c>
      <c r="C56" s="45" t="s">
        <v>158</v>
      </c>
      <c r="D56" s="61" t="s">
        <v>2338</v>
      </c>
      <c r="E56" s="11" t="s">
        <v>13</v>
      </c>
    </row>
    <row r="57">
      <c r="B57" s="61" t="s">
        <v>2338</v>
      </c>
      <c r="C57" s="45" t="s">
        <v>43</v>
      </c>
      <c r="D57" s="61" t="s">
        <v>2842</v>
      </c>
      <c r="E57" s="11" t="s">
        <v>9</v>
      </c>
    </row>
    <row r="58">
      <c r="B58" s="61" t="s">
        <v>2406</v>
      </c>
      <c r="C58" s="45" t="s">
        <v>157</v>
      </c>
      <c r="D58" s="61" t="s">
        <v>235</v>
      </c>
      <c r="E58" s="11" t="s">
        <v>13</v>
      </c>
    </row>
    <row r="59">
      <c r="B59" s="61" t="s">
        <v>2842</v>
      </c>
      <c r="C59" s="45" t="s">
        <v>18</v>
      </c>
      <c r="D59" s="61" t="s">
        <v>2843</v>
      </c>
      <c r="E59" s="11" t="s">
        <v>9</v>
      </c>
    </row>
    <row r="60">
      <c r="B60" s="61" t="s">
        <v>2338</v>
      </c>
      <c r="C60" s="45" t="s">
        <v>177</v>
      </c>
      <c r="D60" s="61" t="s">
        <v>235</v>
      </c>
      <c r="E60" s="11" t="s">
        <v>13</v>
      </c>
    </row>
    <row r="61">
      <c r="B61" s="61" t="s">
        <v>2406</v>
      </c>
      <c r="C61" s="45" t="s">
        <v>185</v>
      </c>
      <c r="D61" s="61" t="s">
        <v>2843</v>
      </c>
      <c r="E61" s="11" t="s">
        <v>9</v>
      </c>
    </row>
    <row r="62">
      <c r="B62" s="61" t="s">
        <v>2842</v>
      </c>
      <c r="C62" s="45" t="s">
        <v>610</v>
      </c>
      <c r="D62" s="61" t="s">
        <v>235</v>
      </c>
      <c r="E62" s="11" t="s">
        <v>13</v>
      </c>
    </row>
    <row r="63">
      <c r="B63" s="61" t="s">
        <v>2338</v>
      </c>
      <c r="C63" s="45" t="s">
        <v>394</v>
      </c>
      <c r="D63" s="61" t="s">
        <v>2843</v>
      </c>
      <c r="E63" s="11" t="s">
        <v>9</v>
      </c>
    </row>
    <row r="64">
      <c r="B64" s="61" t="s">
        <v>2842</v>
      </c>
      <c r="C64" s="45" t="s">
        <v>301</v>
      </c>
      <c r="D64" s="61" t="s">
        <v>2406</v>
      </c>
      <c r="E64" s="11" t="s">
        <v>13</v>
      </c>
    </row>
    <row r="65">
      <c r="B65" s="61" t="s">
        <v>235</v>
      </c>
      <c r="C65" s="45" t="s">
        <v>302</v>
      </c>
      <c r="D65" s="61" t="s">
        <v>2843</v>
      </c>
      <c r="E65" s="11" t="s">
        <v>9</v>
      </c>
    </row>
    <row r="66">
      <c r="B66" s="61" t="s">
        <v>2338</v>
      </c>
      <c r="C66" s="45" t="s">
        <v>177</v>
      </c>
      <c r="D66" s="61" t="s">
        <v>2406</v>
      </c>
      <c r="E66" s="11" t="s">
        <v>13</v>
      </c>
    </row>
    <row r="67">
      <c r="B67" s="1" t="s">
        <v>2207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2690</v>
      </c>
      <c r="C69" s="45" t="s">
        <v>16</v>
      </c>
      <c r="D69" s="61" t="s">
        <v>1974</v>
      </c>
      <c r="E69" s="11" t="s">
        <v>9</v>
      </c>
    </row>
    <row r="70">
      <c r="B70" s="61" t="s">
        <v>1861</v>
      </c>
      <c r="C70" s="45" t="s">
        <v>23</v>
      </c>
      <c r="D70" s="61" t="s">
        <v>2532</v>
      </c>
      <c r="E70" s="11" t="s">
        <v>13</v>
      </c>
    </row>
    <row r="71">
      <c r="B71" s="61" t="s">
        <v>777</v>
      </c>
      <c r="C71" s="45" t="s">
        <v>38</v>
      </c>
      <c r="D71" s="61" t="s">
        <v>2690</v>
      </c>
      <c r="E71" s="11" t="s">
        <v>9</v>
      </c>
    </row>
    <row r="72">
      <c r="B72" s="61" t="s">
        <v>1861</v>
      </c>
      <c r="C72" s="45" t="s">
        <v>17</v>
      </c>
      <c r="D72" s="61" t="s">
        <v>1974</v>
      </c>
      <c r="E72" s="11" t="s">
        <v>13</v>
      </c>
    </row>
    <row r="73">
      <c r="B73" s="61" t="s">
        <v>777</v>
      </c>
      <c r="C73" s="45" t="s">
        <v>14</v>
      </c>
      <c r="D73" s="61" t="s">
        <v>2532</v>
      </c>
      <c r="E73" s="11" t="s">
        <v>9</v>
      </c>
    </row>
    <row r="74">
      <c r="B74" s="61" t="s">
        <v>1861</v>
      </c>
      <c r="C74" s="45" t="s">
        <v>184</v>
      </c>
      <c r="D74" s="61" t="s">
        <v>2690</v>
      </c>
      <c r="E74" s="11" t="s">
        <v>13</v>
      </c>
    </row>
    <row r="75">
      <c r="B75" s="61" t="s">
        <v>777</v>
      </c>
      <c r="C75" s="45" t="s">
        <v>158</v>
      </c>
      <c r="D75" s="61" t="s">
        <v>1974</v>
      </c>
      <c r="E75" s="11" t="s">
        <v>9</v>
      </c>
    </row>
    <row r="76">
      <c r="B76" s="61" t="s">
        <v>2532</v>
      </c>
      <c r="C76" s="45" t="s">
        <v>425</v>
      </c>
      <c r="D76" s="61" t="s">
        <v>2690</v>
      </c>
      <c r="E76" s="11" t="s">
        <v>13</v>
      </c>
    </row>
    <row r="77">
      <c r="B77" s="61" t="s">
        <v>777</v>
      </c>
      <c r="C77" s="45" t="s">
        <v>44</v>
      </c>
      <c r="D77" s="61" t="s">
        <v>1861</v>
      </c>
      <c r="E77" s="11" t="s">
        <v>9</v>
      </c>
    </row>
    <row r="78">
      <c r="B78" s="61" t="s">
        <v>2532</v>
      </c>
      <c r="C78" s="45" t="s">
        <v>250</v>
      </c>
      <c r="D78" s="61" t="s">
        <v>1974</v>
      </c>
      <c r="E78" s="11" t="s">
        <v>13</v>
      </c>
    </row>
    <row r="79">
      <c r="B79" s="61" t="s">
        <v>1974</v>
      </c>
      <c r="C79" s="45" t="s">
        <v>18</v>
      </c>
      <c r="D79" s="61" t="s">
        <v>2690</v>
      </c>
      <c r="E79" s="11" t="s">
        <v>9</v>
      </c>
    </row>
    <row r="80">
      <c r="B80" s="61" t="s">
        <v>2532</v>
      </c>
      <c r="C80" s="45" t="s">
        <v>18</v>
      </c>
      <c r="D80" s="61" t="s">
        <v>1861</v>
      </c>
      <c r="E80" s="11" t="s">
        <v>13</v>
      </c>
    </row>
    <row r="81">
      <c r="B81" s="61" t="s">
        <v>2690</v>
      </c>
      <c r="C81" s="45" t="s">
        <v>193</v>
      </c>
      <c r="D81" s="61" t="s">
        <v>777</v>
      </c>
      <c r="E81" s="11" t="s">
        <v>9</v>
      </c>
    </row>
    <row r="82">
      <c r="B82" s="61" t="s">
        <v>1974</v>
      </c>
      <c r="C82" s="45" t="s">
        <v>433</v>
      </c>
      <c r="D82" s="61" t="s">
        <v>1861</v>
      </c>
      <c r="E82" s="11" t="s">
        <v>13</v>
      </c>
    </row>
    <row r="83">
      <c r="B83" s="61" t="s">
        <v>2532</v>
      </c>
      <c r="C83" s="45" t="s">
        <v>2844</v>
      </c>
      <c r="D83" s="61" t="s">
        <v>777</v>
      </c>
      <c r="E83" s="11" t="s">
        <v>9</v>
      </c>
    </row>
    <row r="84">
      <c r="B84" s="61" t="s">
        <v>2690</v>
      </c>
      <c r="C84" s="45" t="s">
        <v>280</v>
      </c>
      <c r="D84" s="61" t="s">
        <v>1861</v>
      </c>
      <c r="E84" s="11" t="s">
        <v>13</v>
      </c>
    </row>
    <row r="85">
      <c r="B85" s="61" t="s">
        <v>1974</v>
      </c>
      <c r="C85" s="45" t="s">
        <v>279</v>
      </c>
      <c r="D85" s="61" t="s">
        <v>777</v>
      </c>
      <c r="E85" s="11" t="s">
        <v>9</v>
      </c>
    </row>
    <row r="86">
      <c r="B86" s="61" t="s">
        <v>2690</v>
      </c>
      <c r="C86" s="45" t="s">
        <v>218</v>
      </c>
      <c r="D86" s="61" t="s">
        <v>2532</v>
      </c>
      <c r="E86" s="11" t="s">
        <v>13</v>
      </c>
    </row>
    <row r="87">
      <c r="B87" s="61" t="s">
        <v>1861</v>
      </c>
      <c r="C87" s="45" t="s">
        <v>163</v>
      </c>
      <c r="D87" s="61" t="s">
        <v>777</v>
      </c>
      <c r="E87" s="11" t="s">
        <v>9</v>
      </c>
    </row>
    <row r="88">
      <c r="B88" s="61" t="s">
        <v>1974</v>
      </c>
      <c r="C88" s="45" t="s">
        <v>220</v>
      </c>
      <c r="D88" s="61" t="s">
        <v>2532</v>
      </c>
      <c r="E88" s="11" t="s">
        <v>13</v>
      </c>
    </row>
    <row r="89">
      <c r="B89" s="1" t="s">
        <v>2806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2845</v>
      </c>
      <c r="C91" s="45" t="s">
        <v>231</v>
      </c>
      <c r="D91" s="61" t="s">
        <v>952</v>
      </c>
      <c r="E91" s="33" t="s">
        <v>29</v>
      </c>
    </row>
    <row r="92">
      <c r="B92" s="61" t="s">
        <v>1365</v>
      </c>
      <c r="C92" s="45" t="s">
        <v>18</v>
      </c>
      <c r="D92" s="61" t="s">
        <v>2846</v>
      </c>
      <c r="E92" s="33" t="s">
        <v>33</v>
      </c>
    </row>
    <row r="93">
      <c r="B93" s="61" t="s">
        <v>2847</v>
      </c>
      <c r="C93" s="45" t="s">
        <v>43</v>
      </c>
      <c r="D93" s="61" t="s">
        <v>2845</v>
      </c>
      <c r="E93" s="33" t="s">
        <v>29</v>
      </c>
    </row>
    <row r="94">
      <c r="B94" s="61" t="s">
        <v>1365</v>
      </c>
      <c r="C94" s="45" t="s">
        <v>1121</v>
      </c>
      <c r="D94" s="61" t="s">
        <v>952</v>
      </c>
      <c r="E94" s="33" t="s">
        <v>33</v>
      </c>
    </row>
    <row r="95">
      <c r="B95" s="61" t="s">
        <v>2847</v>
      </c>
      <c r="C95" s="45" t="s">
        <v>301</v>
      </c>
      <c r="D95" s="61" t="s">
        <v>2846</v>
      </c>
      <c r="E95" s="33" t="s">
        <v>29</v>
      </c>
    </row>
    <row r="96">
      <c r="B96" s="61" t="s">
        <v>1365</v>
      </c>
      <c r="C96" s="45" t="s">
        <v>2848</v>
      </c>
      <c r="D96" s="61" t="s">
        <v>2845</v>
      </c>
      <c r="E96" s="33" t="s">
        <v>33</v>
      </c>
    </row>
    <row r="97">
      <c r="B97" s="61" t="s">
        <v>2847</v>
      </c>
      <c r="C97" s="45" t="s">
        <v>357</v>
      </c>
      <c r="D97" s="61" t="s">
        <v>952</v>
      </c>
      <c r="E97" s="33" t="s">
        <v>29</v>
      </c>
    </row>
    <row r="98">
      <c r="B98" s="61" t="s">
        <v>2846</v>
      </c>
      <c r="C98" s="45" t="s">
        <v>14</v>
      </c>
      <c r="D98" s="61" t="s">
        <v>2845</v>
      </c>
      <c r="E98" s="33" t="s">
        <v>33</v>
      </c>
    </row>
    <row r="99">
      <c r="B99" s="61" t="s">
        <v>2847</v>
      </c>
      <c r="C99" s="45" t="s">
        <v>1591</v>
      </c>
      <c r="D99" s="61" t="s">
        <v>1365</v>
      </c>
      <c r="E99" s="33" t="s">
        <v>29</v>
      </c>
    </row>
    <row r="100">
      <c r="B100" s="61" t="s">
        <v>2846</v>
      </c>
      <c r="C100" s="45" t="s">
        <v>524</v>
      </c>
      <c r="D100" s="61" t="s">
        <v>952</v>
      </c>
      <c r="E100" s="33" t="s">
        <v>33</v>
      </c>
    </row>
    <row r="101">
      <c r="B101" s="61" t="s">
        <v>952</v>
      </c>
      <c r="C101" s="45" t="s">
        <v>640</v>
      </c>
      <c r="D101" s="61" t="s">
        <v>2845</v>
      </c>
      <c r="E101" s="33" t="s">
        <v>29</v>
      </c>
    </row>
    <row r="102">
      <c r="B102" s="61" t="s">
        <v>2846</v>
      </c>
      <c r="C102" s="45" t="s">
        <v>210</v>
      </c>
      <c r="D102" s="61" t="s">
        <v>1365</v>
      </c>
      <c r="E102" s="33" t="s">
        <v>33</v>
      </c>
    </row>
    <row r="103">
      <c r="B103" s="61" t="s">
        <v>2845</v>
      </c>
      <c r="C103" s="45" t="s">
        <v>171</v>
      </c>
      <c r="D103" s="61" t="s">
        <v>2847</v>
      </c>
      <c r="E103" s="33" t="s">
        <v>29</v>
      </c>
    </row>
    <row r="104">
      <c r="B104" s="61" t="s">
        <v>952</v>
      </c>
      <c r="C104" s="45" t="s">
        <v>2849</v>
      </c>
      <c r="D104" s="61" t="s">
        <v>1365</v>
      </c>
      <c r="E104" s="33" t="s">
        <v>33</v>
      </c>
    </row>
    <row r="105">
      <c r="B105" s="61" t="s">
        <v>2846</v>
      </c>
      <c r="C105" s="45" t="s">
        <v>394</v>
      </c>
      <c r="D105" s="61" t="s">
        <v>2847</v>
      </c>
      <c r="E105" s="33" t="s">
        <v>29</v>
      </c>
    </row>
    <row r="106">
      <c r="B106" s="61" t="s">
        <v>2845</v>
      </c>
      <c r="C106" s="45" t="s">
        <v>16</v>
      </c>
      <c r="D106" s="61" t="s">
        <v>1365</v>
      </c>
      <c r="E106" s="33" t="s">
        <v>33</v>
      </c>
    </row>
    <row r="107">
      <c r="B107" s="61" t="s">
        <v>952</v>
      </c>
      <c r="C107" s="45" t="s">
        <v>517</v>
      </c>
      <c r="D107" s="61" t="s">
        <v>2847</v>
      </c>
      <c r="E107" s="33" t="s">
        <v>29</v>
      </c>
    </row>
    <row r="108">
      <c r="B108" s="61" t="s">
        <v>2845</v>
      </c>
      <c r="C108" s="45" t="s">
        <v>18</v>
      </c>
      <c r="D108" s="61" t="s">
        <v>2846</v>
      </c>
      <c r="E108" s="33" t="s">
        <v>33</v>
      </c>
    </row>
    <row r="109">
      <c r="B109" s="61" t="s">
        <v>1365</v>
      </c>
      <c r="C109" s="45" t="s">
        <v>193</v>
      </c>
      <c r="D109" s="61" t="s">
        <v>2847</v>
      </c>
      <c r="E109" s="33" t="s">
        <v>29</v>
      </c>
    </row>
    <row r="110">
      <c r="B110" s="61" t="s">
        <v>952</v>
      </c>
      <c r="C110" s="45" t="s">
        <v>210</v>
      </c>
      <c r="D110" s="61" t="s">
        <v>2846</v>
      </c>
      <c r="E110" s="33" t="s">
        <v>33</v>
      </c>
    </row>
    <row r="111">
      <c r="B111" s="1" t="s">
        <v>2741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2060</v>
      </c>
      <c r="C113" s="57" t="s">
        <v>193</v>
      </c>
      <c r="D113" s="61" t="s">
        <v>2850</v>
      </c>
      <c r="E113" s="33" t="s">
        <v>29</v>
      </c>
    </row>
    <row r="114">
      <c r="B114" s="61" t="s">
        <v>2851</v>
      </c>
      <c r="C114" s="57" t="s">
        <v>227</v>
      </c>
      <c r="D114" s="61" t="s">
        <v>2852</v>
      </c>
      <c r="E114" s="33" t="s">
        <v>33</v>
      </c>
    </row>
    <row r="115">
      <c r="B115" s="61" t="s">
        <v>2853</v>
      </c>
      <c r="C115" s="57" t="s">
        <v>198</v>
      </c>
      <c r="D115" s="61" t="s">
        <v>2060</v>
      </c>
      <c r="E115" s="33" t="s">
        <v>29</v>
      </c>
    </row>
    <row r="116">
      <c r="B116" s="61" t="s">
        <v>2851</v>
      </c>
      <c r="C116" s="57" t="s">
        <v>463</v>
      </c>
      <c r="D116" s="61" t="s">
        <v>2850</v>
      </c>
      <c r="E116" s="33" t="s">
        <v>33</v>
      </c>
    </row>
    <row r="117">
      <c r="B117" s="61" t="s">
        <v>2853</v>
      </c>
      <c r="C117" s="57" t="s">
        <v>257</v>
      </c>
      <c r="D117" s="61" t="s">
        <v>2852</v>
      </c>
      <c r="E117" s="33" t="s">
        <v>29</v>
      </c>
    </row>
    <row r="118">
      <c r="B118" s="61" t="s">
        <v>2851</v>
      </c>
      <c r="C118" s="57" t="s">
        <v>177</v>
      </c>
      <c r="D118" s="61" t="s">
        <v>2060</v>
      </c>
      <c r="E118" s="33" t="s">
        <v>33</v>
      </c>
    </row>
    <row r="119">
      <c r="B119" s="61" t="s">
        <v>2853</v>
      </c>
      <c r="C119" s="57" t="s">
        <v>383</v>
      </c>
      <c r="D119" s="61" t="s">
        <v>2850</v>
      </c>
      <c r="E119" s="33" t="s">
        <v>29</v>
      </c>
    </row>
    <row r="120">
      <c r="B120" s="61" t="s">
        <v>2852</v>
      </c>
      <c r="C120" s="57" t="s">
        <v>207</v>
      </c>
      <c r="D120" s="61" t="s">
        <v>2060</v>
      </c>
      <c r="E120" s="33" t="s">
        <v>33</v>
      </c>
    </row>
    <row r="121">
      <c r="B121" s="61" t="s">
        <v>2853</v>
      </c>
      <c r="C121" s="57" t="s">
        <v>302</v>
      </c>
      <c r="D121" s="61" t="s">
        <v>2851</v>
      </c>
      <c r="E121" s="33" t="s">
        <v>29</v>
      </c>
    </row>
    <row r="122">
      <c r="B122" s="61" t="s">
        <v>2852</v>
      </c>
      <c r="C122" s="57" t="s">
        <v>2854</v>
      </c>
      <c r="D122" s="61" t="s">
        <v>2850</v>
      </c>
      <c r="E122" s="33" t="s">
        <v>33</v>
      </c>
    </row>
    <row r="123">
      <c r="B123" s="61" t="s">
        <v>2850</v>
      </c>
      <c r="C123" s="57" t="s">
        <v>165</v>
      </c>
      <c r="D123" s="61" t="s">
        <v>2060</v>
      </c>
      <c r="E123" s="33" t="s">
        <v>29</v>
      </c>
    </row>
    <row r="124">
      <c r="B124" s="61" t="s">
        <v>2852</v>
      </c>
      <c r="C124" s="57" t="s">
        <v>20</v>
      </c>
      <c r="D124" s="61" t="s">
        <v>2851</v>
      </c>
      <c r="E124" s="33" t="s">
        <v>33</v>
      </c>
    </row>
    <row r="125">
      <c r="B125" s="61" t="s">
        <v>2060</v>
      </c>
      <c r="C125" s="45" t="s">
        <v>182</v>
      </c>
      <c r="D125" s="61" t="s">
        <v>2853</v>
      </c>
      <c r="E125" s="33" t="s">
        <v>29</v>
      </c>
    </row>
    <row r="126">
      <c r="B126" s="61" t="s">
        <v>2850</v>
      </c>
      <c r="C126" s="45" t="s">
        <v>433</v>
      </c>
      <c r="D126" s="61" t="s">
        <v>2851</v>
      </c>
      <c r="E126" s="33" t="s">
        <v>33</v>
      </c>
    </row>
    <row r="127">
      <c r="B127" s="61" t="s">
        <v>2852</v>
      </c>
      <c r="C127" s="45" t="s">
        <v>193</v>
      </c>
      <c r="D127" s="61" t="s">
        <v>2853</v>
      </c>
      <c r="E127" s="33" t="s">
        <v>29</v>
      </c>
    </row>
    <row r="128">
      <c r="B128" s="61" t="s">
        <v>2060</v>
      </c>
      <c r="C128" s="45" t="s">
        <v>280</v>
      </c>
      <c r="D128" s="61" t="s">
        <v>2851</v>
      </c>
      <c r="E128" s="33" t="s">
        <v>33</v>
      </c>
    </row>
    <row r="129">
      <c r="B129" s="61" t="s">
        <v>2850</v>
      </c>
      <c r="C129" s="45" t="s">
        <v>220</v>
      </c>
      <c r="D129" s="61" t="s">
        <v>2853</v>
      </c>
      <c r="E129" s="33" t="s">
        <v>29</v>
      </c>
    </row>
    <row r="130">
      <c r="B130" s="61" t="s">
        <v>2060</v>
      </c>
      <c r="C130" s="45" t="s">
        <v>225</v>
      </c>
      <c r="D130" s="61" t="s">
        <v>2852</v>
      </c>
      <c r="E130" s="33" t="s">
        <v>33</v>
      </c>
    </row>
    <row r="131">
      <c r="B131" s="61" t="s">
        <v>2851</v>
      </c>
      <c r="C131" s="45" t="s">
        <v>19</v>
      </c>
      <c r="D131" s="61" t="s">
        <v>2853</v>
      </c>
      <c r="E131" s="33" t="s">
        <v>29</v>
      </c>
    </row>
    <row r="132">
      <c r="B132" s="61" t="s">
        <v>2850</v>
      </c>
      <c r="C132" s="45" t="s">
        <v>198</v>
      </c>
      <c r="D132" s="61" t="s">
        <v>2852</v>
      </c>
      <c r="E132" s="33" t="s">
        <v>33</v>
      </c>
    </row>
    <row r="133">
      <c r="B133" s="1" t="s">
        <v>2152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726</v>
      </c>
      <c r="C135" s="45" t="s">
        <v>239</v>
      </c>
      <c r="D135" s="61" t="s">
        <v>2703</v>
      </c>
      <c r="E135" s="11" t="s">
        <v>9</v>
      </c>
    </row>
    <row r="136">
      <c r="B136" s="61" t="s">
        <v>358</v>
      </c>
      <c r="C136" s="45" t="s">
        <v>218</v>
      </c>
      <c r="D136" s="61" t="s">
        <v>2855</v>
      </c>
      <c r="E136" s="11" t="s">
        <v>13</v>
      </c>
    </row>
    <row r="137">
      <c r="B137" s="61" t="s">
        <v>2856</v>
      </c>
      <c r="C137" s="45" t="s">
        <v>203</v>
      </c>
      <c r="D137" s="61" t="s">
        <v>726</v>
      </c>
      <c r="E137" s="11" t="s">
        <v>9</v>
      </c>
    </row>
    <row r="138">
      <c r="B138" s="61" t="s">
        <v>358</v>
      </c>
      <c r="C138" s="45" t="s">
        <v>573</v>
      </c>
      <c r="D138" s="61" t="s">
        <v>2703</v>
      </c>
      <c r="E138" s="11" t="s">
        <v>13</v>
      </c>
    </row>
    <row r="139">
      <c r="B139" s="61" t="s">
        <v>2856</v>
      </c>
      <c r="C139" s="45" t="s">
        <v>257</v>
      </c>
      <c r="D139" s="61" t="s">
        <v>2855</v>
      </c>
      <c r="E139" s="11" t="s">
        <v>9</v>
      </c>
    </row>
    <row r="140">
      <c r="B140" s="61" t="s">
        <v>358</v>
      </c>
      <c r="C140" s="45" t="s">
        <v>185</v>
      </c>
      <c r="D140" s="61" t="s">
        <v>726</v>
      </c>
      <c r="E140" s="11" t="s">
        <v>13</v>
      </c>
    </row>
    <row r="141">
      <c r="B141" s="61" t="s">
        <v>2856</v>
      </c>
      <c r="C141" s="45" t="s">
        <v>351</v>
      </c>
      <c r="D141" s="61" t="s">
        <v>2703</v>
      </c>
      <c r="E141" s="11" t="s">
        <v>9</v>
      </c>
    </row>
    <row r="142">
      <c r="B142" s="61" t="s">
        <v>2855</v>
      </c>
      <c r="C142" s="45" t="s">
        <v>20</v>
      </c>
      <c r="D142" s="61" t="s">
        <v>726</v>
      </c>
      <c r="E142" s="11" t="s">
        <v>13</v>
      </c>
    </row>
    <row r="143">
      <c r="B143" s="61" t="s">
        <v>2856</v>
      </c>
      <c r="C143" s="45" t="s">
        <v>162</v>
      </c>
      <c r="D143" s="61" t="s">
        <v>358</v>
      </c>
      <c r="E143" s="11" t="s">
        <v>9</v>
      </c>
    </row>
    <row r="144">
      <c r="B144" s="61" t="s">
        <v>2855</v>
      </c>
      <c r="C144" s="45" t="s">
        <v>155</v>
      </c>
      <c r="D144" s="61" t="s">
        <v>2703</v>
      </c>
      <c r="E144" s="11" t="s">
        <v>13</v>
      </c>
    </row>
    <row r="145">
      <c r="B145" s="61" t="s">
        <v>2703</v>
      </c>
      <c r="C145" s="45" t="s">
        <v>315</v>
      </c>
      <c r="D145" s="61" t="s">
        <v>726</v>
      </c>
      <c r="E145" s="11" t="s">
        <v>9</v>
      </c>
    </row>
    <row r="146">
      <c r="B146" s="61" t="s">
        <v>2855</v>
      </c>
      <c r="C146" s="45" t="s">
        <v>194</v>
      </c>
      <c r="D146" s="61" t="s">
        <v>358</v>
      </c>
      <c r="E146" s="11" t="s">
        <v>13</v>
      </c>
    </row>
    <row r="147">
      <c r="B147" s="61" t="s">
        <v>726</v>
      </c>
      <c r="C147" s="45" t="s">
        <v>218</v>
      </c>
      <c r="D147" s="61" t="s">
        <v>2856</v>
      </c>
      <c r="E147" s="11" t="s">
        <v>9</v>
      </c>
    </row>
    <row r="148">
      <c r="B148" s="61" t="s">
        <v>2703</v>
      </c>
      <c r="C148" s="45" t="s">
        <v>7</v>
      </c>
      <c r="D148" s="61" t="s">
        <v>358</v>
      </c>
      <c r="E148" s="11" t="s">
        <v>13</v>
      </c>
    </row>
    <row r="149">
      <c r="B149" s="61" t="s">
        <v>2855</v>
      </c>
      <c r="C149" s="45" t="s">
        <v>20</v>
      </c>
      <c r="D149" s="61" t="s">
        <v>2856</v>
      </c>
      <c r="E149" s="11" t="s">
        <v>9</v>
      </c>
    </row>
    <row r="150">
      <c r="B150" s="61" t="s">
        <v>726</v>
      </c>
      <c r="C150" s="45" t="s">
        <v>1445</v>
      </c>
      <c r="D150" s="61" t="s">
        <v>358</v>
      </c>
      <c r="E150" s="11" t="s">
        <v>13</v>
      </c>
    </row>
    <row r="151">
      <c r="B151" s="61" t="s">
        <v>2703</v>
      </c>
      <c r="C151" s="45" t="s">
        <v>158</v>
      </c>
      <c r="D151" s="61" t="s">
        <v>2856</v>
      </c>
      <c r="E151" s="11" t="s">
        <v>9</v>
      </c>
    </row>
    <row r="152">
      <c r="B152" s="61" t="s">
        <v>726</v>
      </c>
      <c r="C152" s="45" t="s">
        <v>545</v>
      </c>
      <c r="D152" s="61" t="s">
        <v>2855</v>
      </c>
      <c r="E152" s="11" t="s">
        <v>13</v>
      </c>
    </row>
    <row r="153">
      <c r="B153" s="61" t="s">
        <v>358</v>
      </c>
      <c r="C153" s="45" t="s">
        <v>442</v>
      </c>
      <c r="D153" s="61" t="s">
        <v>2856</v>
      </c>
      <c r="E153" s="11" t="s">
        <v>9</v>
      </c>
    </row>
    <row r="154">
      <c r="B154" s="61" t="s">
        <v>2703</v>
      </c>
      <c r="C154" s="45" t="s">
        <v>16</v>
      </c>
      <c r="D154" s="61" t="s">
        <v>2855</v>
      </c>
      <c r="E154" s="11" t="s">
        <v>13</v>
      </c>
    </row>
    <row r="155">
      <c r="B155" s="1" t="s">
        <v>2857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2043</v>
      </c>
      <c r="C157" s="45" t="s">
        <v>219</v>
      </c>
      <c r="D157" s="61" t="s">
        <v>2122</v>
      </c>
      <c r="E157" s="11" t="s">
        <v>9</v>
      </c>
    </row>
    <row r="158">
      <c r="B158" s="61" t="s">
        <v>2858</v>
      </c>
      <c r="C158" s="45" t="s">
        <v>225</v>
      </c>
      <c r="D158" s="61" t="s">
        <v>2859</v>
      </c>
      <c r="E158" s="11" t="s">
        <v>13</v>
      </c>
    </row>
    <row r="159">
      <c r="B159" s="61" t="s">
        <v>2860</v>
      </c>
      <c r="C159" s="45" t="s">
        <v>17</v>
      </c>
      <c r="D159" s="61" t="s">
        <v>2043</v>
      </c>
      <c r="E159" s="11" t="s">
        <v>9</v>
      </c>
    </row>
    <row r="160">
      <c r="B160" s="61" t="s">
        <v>2858</v>
      </c>
      <c r="C160" s="45" t="s">
        <v>289</v>
      </c>
      <c r="D160" s="61" t="s">
        <v>2122</v>
      </c>
      <c r="E160" s="11" t="s">
        <v>13</v>
      </c>
    </row>
    <row r="161">
      <c r="B161" s="61" t="s">
        <v>2860</v>
      </c>
      <c r="C161" s="45" t="s">
        <v>155</v>
      </c>
      <c r="D161" s="61" t="s">
        <v>2859</v>
      </c>
      <c r="E161" s="11" t="s">
        <v>9</v>
      </c>
    </row>
    <row r="162">
      <c r="B162" s="61" t="s">
        <v>2858</v>
      </c>
      <c r="C162" s="45" t="s">
        <v>290</v>
      </c>
      <c r="D162" s="61" t="s">
        <v>2043</v>
      </c>
      <c r="E162" s="11" t="s">
        <v>13</v>
      </c>
    </row>
    <row r="163">
      <c r="B163" s="61" t="s">
        <v>2860</v>
      </c>
      <c r="C163" s="45" t="s">
        <v>394</v>
      </c>
      <c r="D163" s="61" t="s">
        <v>2122</v>
      </c>
      <c r="E163" s="11" t="s">
        <v>9</v>
      </c>
    </row>
    <row r="164">
      <c r="B164" s="61" t="s">
        <v>2859</v>
      </c>
      <c r="C164" s="45" t="s">
        <v>14</v>
      </c>
      <c r="D164" s="61" t="s">
        <v>2043</v>
      </c>
      <c r="E164" s="11" t="s">
        <v>13</v>
      </c>
    </row>
    <row r="165">
      <c r="B165" s="61" t="s">
        <v>2860</v>
      </c>
      <c r="C165" s="45" t="s">
        <v>256</v>
      </c>
      <c r="D165" s="61" t="s">
        <v>2858</v>
      </c>
      <c r="E165" s="11" t="s">
        <v>9</v>
      </c>
    </row>
    <row r="166">
      <c r="B166" s="61" t="s">
        <v>2859</v>
      </c>
      <c r="C166" s="45" t="s">
        <v>14</v>
      </c>
      <c r="D166" s="61" t="s">
        <v>2122</v>
      </c>
      <c r="E166" s="11" t="s">
        <v>13</v>
      </c>
    </row>
    <row r="167">
      <c r="B167" s="61" t="s">
        <v>2122</v>
      </c>
      <c r="C167" s="45" t="s">
        <v>181</v>
      </c>
      <c r="D167" s="61" t="s">
        <v>2043</v>
      </c>
      <c r="E167" s="11" t="s">
        <v>9</v>
      </c>
    </row>
    <row r="168">
      <c r="B168" s="61" t="s">
        <v>2859</v>
      </c>
      <c r="C168" s="45" t="s">
        <v>181</v>
      </c>
      <c r="D168" s="61" t="s">
        <v>2858</v>
      </c>
      <c r="E168" s="11" t="s">
        <v>13</v>
      </c>
    </row>
    <row r="169">
      <c r="B169" s="61" t="s">
        <v>2043</v>
      </c>
      <c r="C169" s="45" t="s">
        <v>525</v>
      </c>
      <c r="D169" s="61" t="s">
        <v>2860</v>
      </c>
      <c r="E169" s="11" t="s">
        <v>9</v>
      </c>
    </row>
    <row r="170">
      <c r="B170" s="61" t="s">
        <v>2122</v>
      </c>
      <c r="C170" s="45" t="s">
        <v>313</v>
      </c>
      <c r="D170" s="61" t="s">
        <v>2858</v>
      </c>
      <c r="E170" s="11" t="s">
        <v>13</v>
      </c>
    </row>
    <row r="171">
      <c r="B171" s="61" t="s">
        <v>2859</v>
      </c>
      <c r="C171" s="45" t="s">
        <v>158</v>
      </c>
      <c r="D171" s="61" t="s">
        <v>2860</v>
      </c>
      <c r="E171" s="11" t="s">
        <v>9</v>
      </c>
    </row>
    <row r="172">
      <c r="B172" s="61" t="s">
        <v>2043</v>
      </c>
      <c r="C172" s="45" t="s">
        <v>696</v>
      </c>
      <c r="D172" s="61" t="s">
        <v>2858</v>
      </c>
      <c r="E172" s="11" t="s">
        <v>13</v>
      </c>
    </row>
    <row r="173">
      <c r="B173" s="61" t="s">
        <v>2122</v>
      </c>
      <c r="C173" s="45" t="s">
        <v>23</v>
      </c>
      <c r="D173" s="61" t="s">
        <v>2860</v>
      </c>
      <c r="E173" s="11" t="s">
        <v>9</v>
      </c>
    </row>
    <row r="174">
      <c r="B174" s="61" t="s">
        <v>2043</v>
      </c>
      <c r="C174" s="45" t="s">
        <v>466</v>
      </c>
      <c r="D174" s="61" t="s">
        <v>2859</v>
      </c>
      <c r="E174" s="11" t="s">
        <v>13</v>
      </c>
    </row>
    <row r="175">
      <c r="B175" s="61" t="s">
        <v>2858</v>
      </c>
      <c r="C175" s="45" t="s">
        <v>209</v>
      </c>
      <c r="D175" s="61" t="s">
        <v>2860</v>
      </c>
      <c r="E175" s="11" t="s">
        <v>9</v>
      </c>
    </row>
    <row r="176">
      <c r="B176" s="61" t="s">
        <v>2122</v>
      </c>
      <c r="C176" s="45" t="s">
        <v>953</v>
      </c>
      <c r="D176" s="61" t="s">
        <v>2859</v>
      </c>
      <c r="E176" s="11" t="s">
        <v>13</v>
      </c>
    </row>
    <row r="177">
      <c r="B177" s="1" t="s">
        <v>2861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2795</v>
      </c>
      <c r="C179" s="57" t="s">
        <v>233</v>
      </c>
      <c r="D179" s="61" t="s">
        <v>2431</v>
      </c>
      <c r="E179" s="33" t="s">
        <v>29</v>
      </c>
    </row>
    <row r="180">
      <c r="B180" s="61" t="s">
        <v>2021</v>
      </c>
      <c r="C180" s="57" t="s">
        <v>7</v>
      </c>
      <c r="D180" s="61" t="s">
        <v>2277</v>
      </c>
      <c r="E180" s="33" t="s">
        <v>33</v>
      </c>
    </row>
    <row r="181">
      <c r="B181" s="61" t="s">
        <v>2827</v>
      </c>
      <c r="C181" s="57" t="s">
        <v>23</v>
      </c>
      <c r="D181" s="61" t="s">
        <v>2795</v>
      </c>
      <c r="E181" s="33" t="s">
        <v>29</v>
      </c>
    </row>
    <row r="182">
      <c r="B182" s="61" t="s">
        <v>2021</v>
      </c>
      <c r="C182" s="57" t="s">
        <v>314</v>
      </c>
      <c r="D182" s="61" t="s">
        <v>2431</v>
      </c>
      <c r="E182" s="33" t="s">
        <v>33</v>
      </c>
    </row>
    <row r="183">
      <c r="B183" s="61" t="s">
        <v>2827</v>
      </c>
      <c r="C183" s="57" t="s">
        <v>257</v>
      </c>
      <c r="D183" s="61" t="s">
        <v>2277</v>
      </c>
      <c r="E183" s="33" t="s">
        <v>29</v>
      </c>
    </row>
    <row r="184">
      <c r="B184" s="61" t="s">
        <v>2021</v>
      </c>
      <c r="C184" s="57" t="s">
        <v>18</v>
      </c>
      <c r="D184" s="61" t="s">
        <v>2795</v>
      </c>
      <c r="E184" s="33" t="s">
        <v>33</v>
      </c>
    </row>
    <row r="185">
      <c r="B185" s="61" t="s">
        <v>2827</v>
      </c>
      <c r="C185" s="57" t="s">
        <v>1186</v>
      </c>
      <c r="D185" s="61" t="s">
        <v>2431</v>
      </c>
      <c r="E185" s="33" t="s">
        <v>29</v>
      </c>
    </row>
    <row r="186">
      <c r="B186" s="61" t="s">
        <v>2277</v>
      </c>
      <c r="C186" s="57" t="s">
        <v>38</v>
      </c>
      <c r="D186" s="61" t="s">
        <v>2795</v>
      </c>
      <c r="E186" s="33" t="s">
        <v>33</v>
      </c>
    </row>
    <row r="187">
      <c r="B187" s="61" t="s">
        <v>2827</v>
      </c>
      <c r="C187" s="57" t="s">
        <v>7</v>
      </c>
      <c r="D187" s="61" t="s">
        <v>2021</v>
      </c>
      <c r="E187" s="33" t="s">
        <v>29</v>
      </c>
    </row>
    <row r="188">
      <c r="B188" s="61" t="s">
        <v>2277</v>
      </c>
      <c r="C188" s="57" t="s">
        <v>22</v>
      </c>
      <c r="D188" s="61" t="s">
        <v>2431</v>
      </c>
      <c r="E188" s="33" t="s">
        <v>33</v>
      </c>
    </row>
    <row r="189">
      <c r="B189" s="61" t="s">
        <v>2431</v>
      </c>
      <c r="C189" s="57" t="s">
        <v>16</v>
      </c>
      <c r="D189" s="61" t="s">
        <v>2795</v>
      </c>
      <c r="E189" s="33" t="s">
        <v>29</v>
      </c>
    </row>
    <row r="190">
      <c r="B190" s="61" t="s">
        <v>2277</v>
      </c>
      <c r="C190" s="57" t="s">
        <v>185</v>
      </c>
      <c r="D190" s="61" t="s">
        <v>2021</v>
      </c>
      <c r="E190" s="33" t="s">
        <v>33</v>
      </c>
    </row>
    <row r="191">
      <c r="B191" s="61" t="s">
        <v>2795</v>
      </c>
      <c r="C191" s="45" t="s">
        <v>256</v>
      </c>
      <c r="D191" s="61" t="s">
        <v>2827</v>
      </c>
      <c r="E191" s="33" t="s">
        <v>29</v>
      </c>
    </row>
    <row r="192">
      <c r="B192" s="61" t="s">
        <v>2431</v>
      </c>
      <c r="C192" s="45" t="s">
        <v>24</v>
      </c>
      <c r="D192" s="61" t="s">
        <v>2021</v>
      </c>
      <c r="E192" s="33" t="s">
        <v>33</v>
      </c>
    </row>
    <row r="193">
      <c r="B193" s="61" t="s">
        <v>2277</v>
      </c>
      <c r="C193" s="45" t="s">
        <v>216</v>
      </c>
      <c r="D193" s="61" t="s">
        <v>2827</v>
      </c>
      <c r="E193" s="33" t="s">
        <v>29</v>
      </c>
    </row>
    <row r="194">
      <c r="B194" s="61" t="s">
        <v>2795</v>
      </c>
      <c r="C194" s="45" t="s">
        <v>181</v>
      </c>
      <c r="D194" s="61" t="s">
        <v>2021</v>
      </c>
      <c r="E194" s="33" t="s">
        <v>33</v>
      </c>
    </row>
    <row r="195">
      <c r="B195" s="61" t="s">
        <v>2431</v>
      </c>
      <c r="C195" s="45" t="s">
        <v>11</v>
      </c>
      <c r="D195" s="61" t="s">
        <v>2827</v>
      </c>
      <c r="E195" s="33" t="s">
        <v>29</v>
      </c>
    </row>
    <row r="196">
      <c r="B196" s="61" t="s">
        <v>2795</v>
      </c>
      <c r="C196" s="45" t="s">
        <v>459</v>
      </c>
      <c r="D196" s="61" t="s">
        <v>2277</v>
      </c>
      <c r="E196" s="33" t="s">
        <v>33</v>
      </c>
    </row>
    <row r="197">
      <c r="B197" s="61" t="s">
        <v>2021</v>
      </c>
      <c r="C197" s="45" t="s">
        <v>301</v>
      </c>
      <c r="D197" s="61" t="s">
        <v>2827</v>
      </c>
      <c r="E197" s="33" t="s">
        <v>29</v>
      </c>
    </row>
    <row r="198">
      <c r="B198" s="61" t="s">
        <v>2431</v>
      </c>
      <c r="C198" s="45" t="s">
        <v>248</v>
      </c>
      <c r="D198" s="61" t="s">
        <v>2277</v>
      </c>
      <c r="E198" s="33" t="s">
        <v>33</v>
      </c>
    </row>
    <row r="199">
      <c r="B199" s="1" t="s">
        <v>2862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2863</v>
      </c>
      <c r="C201" s="57" t="s">
        <v>251</v>
      </c>
      <c r="D201" s="61" t="s">
        <v>1022</v>
      </c>
      <c r="E201" s="33" t="s">
        <v>29</v>
      </c>
    </row>
    <row r="202">
      <c r="B202" s="61" t="s">
        <v>2864</v>
      </c>
      <c r="C202" s="57" t="s">
        <v>181</v>
      </c>
      <c r="D202" s="61" t="s">
        <v>2865</v>
      </c>
      <c r="E202" s="33" t="s">
        <v>33</v>
      </c>
    </row>
    <row r="203">
      <c r="B203" s="61" t="s">
        <v>2866</v>
      </c>
      <c r="C203" s="57" t="s">
        <v>165</v>
      </c>
      <c r="D203" s="61" t="s">
        <v>2863</v>
      </c>
      <c r="E203" s="33" t="s">
        <v>29</v>
      </c>
    </row>
    <row r="204">
      <c r="B204" s="61" t="s">
        <v>2864</v>
      </c>
      <c r="C204" s="57" t="s">
        <v>487</v>
      </c>
      <c r="D204" s="61" t="s">
        <v>1022</v>
      </c>
      <c r="E204" s="33" t="s">
        <v>33</v>
      </c>
    </row>
    <row r="205">
      <c r="B205" s="61" t="s">
        <v>2866</v>
      </c>
      <c r="C205" s="57" t="s">
        <v>196</v>
      </c>
      <c r="D205" s="61" t="s">
        <v>2865</v>
      </c>
      <c r="E205" s="33" t="s">
        <v>29</v>
      </c>
    </row>
    <row r="206">
      <c r="B206" s="61" t="s">
        <v>2864</v>
      </c>
      <c r="C206" s="57" t="s">
        <v>158</v>
      </c>
      <c r="D206" s="61" t="s">
        <v>2863</v>
      </c>
      <c r="E206" s="33" t="s">
        <v>33</v>
      </c>
    </row>
    <row r="207">
      <c r="B207" s="61" t="s">
        <v>2866</v>
      </c>
      <c r="C207" s="57" t="s">
        <v>278</v>
      </c>
      <c r="D207" s="61" t="s">
        <v>1022</v>
      </c>
      <c r="E207" s="33" t="s">
        <v>29</v>
      </c>
    </row>
    <row r="208">
      <c r="B208" s="61" t="s">
        <v>2865</v>
      </c>
      <c r="C208" s="57" t="s">
        <v>291</v>
      </c>
      <c r="D208" s="61" t="s">
        <v>2863</v>
      </c>
      <c r="E208" s="33" t="s">
        <v>33</v>
      </c>
    </row>
    <row r="209">
      <c r="B209" s="61" t="s">
        <v>2866</v>
      </c>
      <c r="C209" s="57" t="s">
        <v>271</v>
      </c>
      <c r="D209" s="61" t="s">
        <v>2864</v>
      </c>
      <c r="E209" s="33" t="s">
        <v>29</v>
      </c>
    </row>
    <row r="210">
      <c r="B210" s="61" t="s">
        <v>2865</v>
      </c>
      <c r="C210" s="57" t="s">
        <v>219</v>
      </c>
      <c r="D210" s="61" t="s">
        <v>1022</v>
      </c>
      <c r="E210" s="33" t="s">
        <v>33</v>
      </c>
    </row>
    <row r="211">
      <c r="B211" s="61" t="s">
        <v>1022</v>
      </c>
      <c r="C211" s="57" t="s">
        <v>184</v>
      </c>
      <c r="D211" s="61" t="s">
        <v>2863</v>
      </c>
      <c r="E211" s="33" t="s">
        <v>29</v>
      </c>
    </row>
    <row r="212">
      <c r="B212" s="61" t="s">
        <v>2865</v>
      </c>
      <c r="C212" s="57" t="s">
        <v>17</v>
      </c>
      <c r="D212" s="61" t="s">
        <v>2864</v>
      </c>
      <c r="E212" s="33" t="s">
        <v>33</v>
      </c>
    </row>
    <row r="213">
      <c r="B213" s="61" t="s">
        <v>2863</v>
      </c>
      <c r="C213" s="45" t="s">
        <v>311</v>
      </c>
      <c r="D213" s="61" t="s">
        <v>2866</v>
      </c>
      <c r="E213" s="33" t="s">
        <v>29</v>
      </c>
    </row>
    <row r="214">
      <c r="B214" s="61" t="s">
        <v>1022</v>
      </c>
      <c r="C214" s="45" t="s">
        <v>155</v>
      </c>
      <c r="D214" s="61" t="s">
        <v>2864</v>
      </c>
      <c r="E214" s="33" t="s">
        <v>33</v>
      </c>
    </row>
    <row r="215">
      <c r="B215" s="61" t="s">
        <v>2865</v>
      </c>
      <c r="C215" s="45" t="s">
        <v>14</v>
      </c>
      <c r="D215" s="61" t="s">
        <v>2866</v>
      </c>
      <c r="E215" s="33" t="s">
        <v>29</v>
      </c>
    </row>
    <row r="216">
      <c r="B216" s="61" t="s">
        <v>2863</v>
      </c>
      <c r="C216" s="45" t="s">
        <v>258</v>
      </c>
      <c r="D216" s="61" t="s">
        <v>2864</v>
      </c>
      <c r="E216" s="33" t="s">
        <v>33</v>
      </c>
    </row>
    <row r="217">
      <c r="B217" s="61" t="s">
        <v>1022</v>
      </c>
      <c r="C217" s="45" t="s">
        <v>2867</v>
      </c>
      <c r="D217" s="61" t="s">
        <v>2866</v>
      </c>
      <c r="E217" s="33" t="s">
        <v>29</v>
      </c>
    </row>
    <row r="218">
      <c r="B218" s="61" t="s">
        <v>2863</v>
      </c>
      <c r="C218" s="45" t="s">
        <v>23</v>
      </c>
      <c r="D218" s="61" t="s">
        <v>2865</v>
      </c>
      <c r="E218" s="33" t="s">
        <v>33</v>
      </c>
    </row>
    <row r="219">
      <c r="B219" s="61" t="s">
        <v>2864</v>
      </c>
      <c r="C219" s="45" t="s">
        <v>2868</v>
      </c>
      <c r="D219" s="61" t="s">
        <v>2866</v>
      </c>
      <c r="E219" s="33" t="s">
        <v>29</v>
      </c>
    </row>
    <row r="220">
      <c r="B220" s="61" t="s">
        <v>1022</v>
      </c>
      <c r="C220" s="45" t="s">
        <v>16</v>
      </c>
      <c r="D220" s="61" t="s">
        <v>2865</v>
      </c>
      <c r="E220" s="33" t="s">
        <v>33</v>
      </c>
    </row>
    <row r="221">
      <c r="B221" s="52" t="s">
        <v>2756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2869</v>
      </c>
      <c r="C223" s="45" t="s">
        <v>301</v>
      </c>
      <c r="D223" s="62" t="s">
        <v>2870</v>
      </c>
      <c r="E223" s="11" t="s">
        <v>9</v>
      </c>
    </row>
    <row r="224">
      <c r="B224" s="62" t="s">
        <v>2871</v>
      </c>
      <c r="C224" s="45" t="s">
        <v>294</v>
      </c>
      <c r="D224" s="62" t="s">
        <v>2720</v>
      </c>
      <c r="E224" s="11" t="s">
        <v>13</v>
      </c>
    </row>
    <row r="225">
      <c r="B225" s="62" t="s">
        <v>2757</v>
      </c>
      <c r="C225" s="45" t="s">
        <v>162</v>
      </c>
      <c r="D225" s="62" t="s">
        <v>2869</v>
      </c>
      <c r="E225" s="11" t="s">
        <v>9</v>
      </c>
    </row>
    <row r="226">
      <c r="B226" s="62" t="s">
        <v>2871</v>
      </c>
      <c r="C226" s="45" t="s">
        <v>2050</v>
      </c>
      <c r="D226" s="62" t="s">
        <v>2870</v>
      </c>
      <c r="E226" s="11" t="s">
        <v>13</v>
      </c>
    </row>
    <row r="227">
      <c r="B227" s="62" t="s">
        <v>2757</v>
      </c>
      <c r="C227" s="45" t="s">
        <v>394</v>
      </c>
      <c r="D227" s="62" t="s">
        <v>2720</v>
      </c>
      <c r="E227" s="11" t="s">
        <v>9</v>
      </c>
    </row>
    <row r="228">
      <c r="B228" s="62" t="s">
        <v>2871</v>
      </c>
      <c r="C228" s="45" t="s">
        <v>177</v>
      </c>
      <c r="D228" s="62" t="s">
        <v>2869</v>
      </c>
      <c r="E228" s="11" t="s">
        <v>13</v>
      </c>
    </row>
    <row r="229">
      <c r="B229" s="62" t="s">
        <v>2757</v>
      </c>
      <c r="C229" s="45" t="s">
        <v>23</v>
      </c>
      <c r="D229" s="62" t="s">
        <v>2870</v>
      </c>
      <c r="E229" s="11" t="s">
        <v>9</v>
      </c>
    </row>
    <row r="230">
      <c r="B230" s="62" t="s">
        <v>2720</v>
      </c>
      <c r="C230" s="45" t="s">
        <v>177</v>
      </c>
      <c r="D230" s="62" t="s">
        <v>2869</v>
      </c>
      <c r="E230" s="11" t="s">
        <v>13</v>
      </c>
    </row>
    <row r="231">
      <c r="B231" s="62" t="s">
        <v>2757</v>
      </c>
      <c r="C231" s="45" t="s">
        <v>11</v>
      </c>
      <c r="D231" s="62" t="s">
        <v>2871</v>
      </c>
      <c r="E231" s="11" t="s">
        <v>9</v>
      </c>
    </row>
    <row r="232">
      <c r="B232" s="62" t="s">
        <v>2720</v>
      </c>
      <c r="C232" s="45" t="s">
        <v>157</v>
      </c>
      <c r="D232" s="62" t="s">
        <v>2870</v>
      </c>
      <c r="E232" s="11" t="s">
        <v>13</v>
      </c>
    </row>
    <row r="233">
      <c r="B233" s="62" t="s">
        <v>2870</v>
      </c>
      <c r="C233" s="45" t="s">
        <v>43</v>
      </c>
      <c r="D233" s="62" t="s">
        <v>2869</v>
      </c>
      <c r="E233" s="11" t="s">
        <v>9</v>
      </c>
    </row>
    <row r="234">
      <c r="B234" s="62" t="s">
        <v>2720</v>
      </c>
      <c r="C234" s="45" t="s">
        <v>166</v>
      </c>
      <c r="D234" s="62" t="s">
        <v>2871</v>
      </c>
      <c r="E234" s="11" t="s">
        <v>13</v>
      </c>
    </row>
    <row r="235">
      <c r="B235" s="62" t="s">
        <v>2869</v>
      </c>
      <c r="C235" s="45" t="s">
        <v>21</v>
      </c>
      <c r="D235" s="62" t="s">
        <v>2757</v>
      </c>
      <c r="E235" s="11" t="s">
        <v>9</v>
      </c>
    </row>
    <row r="236">
      <c r="B236" s="62" t="s">
        <v>2870</v>
      </c>
      <c r="C236" s="45" t="s">
        <v>164</v>
      </c>
      <c r="D236" s="62" t="s">
        <v>2871</v>
      </c>
      <c r="E236" s="11" t="s">
        <v>13</v>
      </c>
    </row>
    <row r="237">
      <c r="B237" s="62" t="s">
        <v>2720</v>
      </c>
      <c r="C237" s="45" t="s">
        <v>940</v>
      </c>
      <c r="D237" s="62" t="s">
        <v>2757</v>
      </c>
      <c r="E237" s="11" t="s">
        <v>9</v>
      </c>
    </row>
    <row r="238">
      <c r="B238" s="62" t="s">
        <v>2869</v>
      </c>
      <c r="C238" s="45" t="s">
        <v>14</v>
      </c>
      <c r="D238" s="62" t="s">
        <v>2871</v>
      </c>
      <c r="E238" s="11" t="s">
        <v>13</v>
      </c>
    </row>
    <row r="239">
      <c r="B239" s="62" t="s">
        <v>2870</v>
      </c>
      <c r="C239" s="45" t="s">
        <v>36</v>
      </c>
      <c r="D239" s="62" t="s">
        <v>2757</v>
      </c>
      <c r="E239" s="11" t="s">
        <v>9</v>
      </c>
    </row>
    <row r="240">
      <c r="B240" s="62" t="s">
        <v>2869</v>
      </c>
      <c r="C240" s="45" t="s">
        <v>43</v>
      </c>
      <c r="D240" s="62" t="s">
        <v>2720</v>
      </c>
      <c r="E240" s="11" t="s">
        <v>13</v>
      </c>
    </row>
    <row r="241">
      <c r="B241" s="62" t="s">
        <v>2871</v>
      </c>
      <c r="C241" s="45" t="s">
        <v>23</v>
      </c>
      <c r="D241" s="62" t="s">
        <v>2757</v>
      </c>
      <c r="E241" s="11" t="s">
        <v>9</v>
      </c>
    </row>
    <row r="242">
      <c r="B242" s="62" t="s">
        <v>2870</v>
      </c>
      <c r="C242" s="45" t="s">
        <v>620</v>
      </c>
      <c r="D242" s="62" t="s">
        <v>2720</v>
      </c>
      <c r="E242" s="11" t="s">
        <v>13</v>
      </c>
    </row>
    <row r="243">
      <c r="B243" s="52" t="s">
        <v>2304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2872</v>
      </c>
      <c r="C245" s="45" t="s">
        <v>16</v>
      </c>
      <c r="D245" s="62" t="s">
        <v>2873</v>
      </c>
      <c r="E245" s="11" t="s">
        <v>9</v>
      </c>
    </row>
    <row r="246">
      <c r="B246" s="62" t="s">
        <v>2874</v>
      </c>
      <c r="C246" s="45" t="s">
        <v>2875</v>
      </c>
      <c r="D246" s="62" t="s">
        <v>782</v>
      </c>
      <c r="E246" s="11" t="s">
        <v>13</v>
      </c>
    </row>
    <row r="247">
      <c r="B247" s="62" t="s">
        <v>2142</v>
      </c>
      <c r="C247" s="45" t="s">
        <v>17</v>
      </c>
      <c r="D247" s="62" t="s">
        <v>2872</v>
      </c>
      <c r="E247" s="11" t="s">
        <v>9</v>
      </c>
    </row>
    <row r="248">
      <c r="B248" s="62" t="s">
        <v>2874</v>
      </c>
      <c r="C248" s="45" t="s">
        <v>7</v>
      </c>
      <c r="D248" s="62" t="s">
        <v>2873</v>
      </c>
      <c r="E248" s="11" t="s">
        <v>13</v>
      </c>
    </row>
    <row r="249">
      <c r="B249" s="62" t="s">
        <v>2142</v>
      </c>
      <c r="C249" s="45" t="s">
        <v>1389</v>
      </c>
      <c r="D249" s="62" t="s">
        <v>782</v>
      </c>
      <c r="E249" s="11" t="s">
        <v>9</v>
      </c>
    </row>
    <row r="250">
      <c r="B250" s="62" t="s">
        <v>2874</v>
      </c>
      <c r="C250" s="45" t="s">
        <v>19</v>
      </c>
      <c r="D250" s="62" t="s">
        <v>2872</v>
      </c>
      <c r="E250" s="11" t="s">
        <v>13</v>
      </c>
    </row>
    <row r="251">
      <c r="B251" s="62" t="s">
        <v>2142</v>
      </c>
      <c r="C251" s="45" t="s">
        <v>166</v>
      </c>
      <c r="D251" s="62" t="s">
        <v>2873</v>
      </c>
      <c r="E251" s="11" t="s">
        <v>9</v>
      </c>
    </row>
    <row r="252">
      <c r="B252" s="62" t="s">
        <v>782</v>
      </c>
      <c r="C252" s="45" t="s">
        <v>7</v>
      </c>
      <c r="D252" s="62" t="s">
        <v>2872</v>
      </c>
      <c r="E252" s="11" t="s">
        <v>13</v>
      </c>
    </row>
    <row r="253">
      <c r="B253" s="62" t="s">
        <v>2142</v>
      </c>
      <c r="C253" s="45" t="s">
        <v>157</v>
      </c>
      <c r="D253" s="62" t="s">
        <v>2874</v>
      </c>
      <c r="E253" s="11" t="s">
        <v>9</v>
      </c>
    </row>
    <row r="254">
      <c r="B254" s="62" t="s">
        <v>782</v>
      </c>
      <c r="C254" s="45" t="s">
        <v>849</v>
      </c>
      <c r="D254" s="62" t="s">
        <v>2873</v>
      </c>
      <c r="E254" s="11" t="s">
        <v>13</v>
      </c>
    </row>
    <row r="255">
      <c r="B255" s="62" t="s">
        <v>2873</v>
      </c>
      <c r="C255" s="45" t="s">
        <v>256</v>
      </c>
      <c r="D255" s="62" t="s">
        <v>2872</v>
      </c>
      <c r="E255" s="11" t="s">
        <v>9</v>
      </c>
    </row>
    <row r="256">
      <c r="B256" s="62" t="s">
        <v>782</v>
      </c>
      <c r="C256" s="45" t="s">
        <v>205</v>
      </c>
      <c r="D256" s="62" t="s">
        <v>2874</v>
      </c>
      <c r="E256" s="11" t="s">
        <v>13</v>
      </c>
    </row>
    <row r="257">
      <c r="B257" s="62" t="s">
        <v>2872</v>
      </c>
      <c r="C257" s="45" t="s">
        <v>163</v>
      </c>
      <c r="D257" s="62" t="s">
        <v>2142</v>
      </c>
      <c r="E257" s="11" t="s">
        <v>9</v>
      </c>
    </row>
    <row r="258">
      <c r="B258" s="62" t="s">
        <v>2873</v>
      </c>
      <c r="C258" s="45" t="s">
        <v>36</v>
      </c>
      <c r="D258" s="62" t="s">
        <v>2874</v>
      </c>
      <c r="E258" s="11" t="s">
        <v>13</v>
      </c>
    </row>
    <row r="259">
      <c r="B259" s="62" t="s">
        <v>782</v>
      </c>
      <c r="C259" s="45" t="s">
        <v>566</v>
      </c>
      <c r="D259" s="62" t="s">
        <v>2142</v>
      </c>
      <c r="E259" s="11" t="s">
        <v>9</v>
      </c>
    </row>
    <row r="260">
      <c r="B260" s="62" t="s">
        <v>2872</v>
      </c>
      <c r="C260" s="45" t="s">
        <v>2876</v>
      </c>
      <c r="D260" s="62" t="s">
        <v>2874</v>
      </c>
      <c r="E260" s="11" t="s">
        <v>13</v>
      </c>
    </row>
    <row r="261">
      <c r="B261" s="62" t="s">
        <v>2873</v>
      </c>
      <c r="C261" s="45" t="s">
        <v>419</v>
      </c>
      <c r="D261" s="62" t="s">
        <v>2142</v>
      </c>
      <c r="E261" s="11" t="s">
        <v>9</v>
      </c>
    </row>
    <row r="262">
      <c r="B262" s="62" t="s">
        <v>2872</v>
      </c>
      <c r="C262" s="45" t="s">
        <v>303</v>
      </c>
      <c r="D262" s="62" t="s">
        <v>782</v>
      </c>
      <c r="E262" s="11" t="s">
        <v>13</v>
      </c>
    </row>
    <row r="263">
      <c r="B263" s="62" t="s">
        <v>2874</v>
      </c>
      <c r="C263" s="45" t="s">
        <v>196</v>
      </c>
      <c r="D263" s="62" t="s">
        <v>2142</v>
      </c>
      <c r="E263" s="11" t="s">
        <v>9</v>
      </c>
    </row>
    <row r="264">
      <c r="B264" s="62" t="s">
        <v>2873</v>
      </c>
      <c r="C264" s="45" t="s">
        <v>195</v>
      </c>
      <c r="D264" s="62" t="s">
        <v>782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2626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2757</v>
      </c>
      <c r="C3" s="57" t="s">
        <v>158</v>
      </c>
      <c r="D3" s="62" t="s">
        <v>1202</v>
      </c>
      <c r="E3" s="11" t="s">
        <v>9</v>
      </c>
    </row>
    <row r="4">
      <c r="A4" s="90"/>
      <c r="B4" s="62" t="s">
        <v>991</v>
      </c>
      <c r="C4" s="57" t="s">
        <v>158</v>
      </c>
      <c r="D4" s="61" t="s">
        <v>2392</v>
      </c>
      <c r="E4" s="11" t="s">
        <v>13</v>
      </c>
    </row>
    <row r="5">
      <c r="A5" s="90"/>
      <c r="B5" s="62" t="s">
        <v>2877</v>
      </c>
      <c r="C5" s="57" t="s">
        <v>594</v>
      </c>
      <c r="D5" s="62" t="s">
        <v>2757</v>
      </c>
      <c r="E5" s="11" t="s">
        <v>9</v>
      </c>
    </row>
    <row r="6">
      <c r="A6" s="90"/>
      <c r="B6" s="62" t="s">
        <v>991</v>
      </c>
      <c r="C6" s="57" t="s">
        <v>16</v>
      </c>
      <c r="D6" s="62" t="s">
        <v>1202</v>
      </c>
      <c r="E6" s="11" t="s">
        <v>13</v>
      </c>
    </row>
    <row r="7">
      <c r="A7" s="90"/>
      <c r="B7" s="62" t="s">
        <v>2877</v>
      </c>
      <c r="C7" s="57" t="s">
        <v>193</v>
      </c>
      <c r="D7" s="61" t="s">
        <v>2392</v>
      </c>
      <c r="E7" s="11" t="s">
        <v>9</v>
      </c>
    </row>
    <row r="8">
      <c r="A8" s="90"/>
      <c r="B8" s="62" t="s">
        <v>991</v>
      </c>
      <c r="C8" s="57" t="s">
        <v>573</v>
      </c>
      <c r="D8" s="62" t="s">
        <v>2757</v>
      </c>
      <c r="E8" s="11" t="s">
        <v>13</v>
      </c>
    </row>
    <row r="9">
      <c r="A9" s="90"/>
      <c r="B9" s="62" t="s">
        <v>2877</v>
      </c>
      <c r="C9" s="57" t="s">
        <v>301</v>
      </c>
      <c r="D9" s="62" t="s">
        <v>1202</v>
      </c>
      <c r="E9" s="11" t="s">
        <v>9</v>
      </c>
    </row>
    <row r="10">
      <c r="A10" s="90"/>
      <c r="B10" s="61" t="s">
        <v>2392</v>
      </c>
      <c r="C10" s="57" t="s">
        <v>24</v>
      </c>
      <c r="D10" s="62" t="s">
        <v>2757</v>
      </c>
      <c r="E10" s="11" t="s">
        <v>13</v>
      </c>
    </row>
    <row r="11">
      <c r="A11" s="90"/>
      <c r="B11" s="62" t="s">
        <v>2877</v>
      </c>
      <c r="C11" s="57" t="s">
        <v>158</v>
      </c>
      <c r="D11" s="62" t="s">
        <v>991</v>
      </c>
      <c r="E11" s="11" t="s">
        <v>9</v>
      </c>
    </row>
    <row r="12">
      <c r="A12" s="90"/>
      <c r="B12" s="61" t="s">
        <v>2392</v>
      </c>
      <c r="C12" s="57" t="s">
        <v>209</v>
      </c>
      <c r="D12" s="62" t="s">
        <v>1202</v>
      </c>
      <c r="E12" s="11" t="s">
        <v>13</v>
      </c>
    </row>
    <row r="13">
      <c r="A13" s="90"/>
      <c r="B13" s="62" t="s">
        <v>1202</v>
      </c>
      <c r="C13" s="57" t="s">
        <v>164</v>
      </c>
      <c r="D13" s="62" t="s">
        <v>2757</v>
      </c>
      <c r="E13" s="11" t="s">
        <v>9</v>
      </c>
    </row>
    <row r="14">
      <c r="A14" s="90"/>
      <c r="B14" s="61" t="s">
        <v>2392</v>
      </c>
      <c r="C14" s="57" t="s">
        <v>157</v>
      </c>
      <c r="D14" s="62" t="s">
        <v>991</v>
      </c>
      <c r="E14" s="11" t="s">
        <v>13</v>
      </c>
    </row>
    <row r="15">
      <c r="A15" s="90"/>
      <c r="B15" s="62" t="s">
        <v>2757</v>
      </c>
      <c r="C15" s="45" t="s">
        <v>18</v>
      </c>
      <c r="D15" s="62" t="s">
        <v>2877</v>
      </c>
      <c r="E15" s="11" t="s">
        <v>9</v>
      </c>
    </row>
    <row r="16">
      <c r="A16" s="90"/>
      <c r="B16" s="62" t="s">
        <v>1202</v>
      </c>
      <c r="C16" s="45" t="s">
        <v>158</v>
      </c>
      <c r="D16" s="62" t="s">
        <v>991</v>
      </c>
      <c r="E16" s="11" t="s">
        <v>13</v>
      </c>
    </row>
    <row r="17">
      <c r="A17" s="90"/>
      <c r="B17" s="61" t="s">
        <v>2392</v>
      </c>
      <c r="C17" s="45" t="s">
        <v>225</v>
      </c>
      <c r="D17" s="62" t="s">
        <v>2877</v>
      </c>
      <c r="E17" s="11" t="s">
        <v>9</v>
      </c>
    </row>
    <row r="18">
      <c r="A18" s="90"/>
      <c r="B18" s="62" t="s">
        <v>2757</v>
      </c>
      <c r="C18" s="45" t="s">
        <v>271</v>
      </c>
      <c r="D18" s="62" t="s">
        <v>991</v>
      </c>
      <c r="E18" s="11" t="s">
        <v>13</v>
      </c>
    </row>
    <row r="19">
      <c r="A19" s="90"/>
      <c r="B19" s="62" t="s">
        <v>1202</v>
      </c>
      <c r="C19" s="45" t="s">
        <v>315</v>
      </c>
      <c r="D19" s="62" t="s">
        <v>2877</v>
      </c>
      <c r="E19" s="11" t="s">
        <v>9</v>
      </c>
    </row>
    <row r="20">
      <c r="A20" s="90"/>
      <c r="B20" s="62" t="s">
        <v>2757</v>
      </c>
      <c r="C20" s="45" t="s">
        <v>20</v>
      </c>
      <c r="D20" s="61" t="s">
        <v>2392</v>
      </c>
      <c r="E20" s="11" t="s">
        <v>13</v>
      </c>
    </row>
    <row r="21">
      <c r="A21" s="90"/>
      <c r="B21" s="62" t="s">
        <v>991</v>
      </c>
      <c r="C21" s="45" t="s">
        <v>311</v>
      </c>
      <c r="D21" s="62" t="s">
        <v>2877</v>
      </c>
      <c r="E21" s="11" t="s">
        <v>9</v>
      </c>
    </row>
    <row r="22">
      <c r="A22" s="90"/>
      <c r="B22" s="62" t="s">
        <v>1202</v>
      </c>
      <c r="C22" s="45" t="s">
        <v>7</v>
      </c>
      <c r="D22" s="61" t="s">
        <v>2392</v>
      </c>
      <c r="E22" s="11" t="s">
        <v>13</v>
      </c>
    </row>
    <row r="23">
      <c r="A23" s="90"/>
      <c r="B23" s="1" t="s">
        <v>2524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2878</v>
      </c>
      <c r="C25" s="57" t="s">
        <v>302</v>
      </c>
      <c r="D25" s="62" t="s">
        <v>1386</v>
      </c>
      <c r="E25" s="11" t="s">
        <v>9</v>
      </c>
    </row>
    <row r="26">
      <c r="A26" s="90"/>
      <c r="B26" s="62" t="s">
        <v>2879</v>
      </c>
      <c r="C26" s="57" t="s">
        <v>2880</v>
      </c>
      <c r="D26" s="61" t="s">
        <v>2725</v>
      </c>
      <c r="E26" s="11" t="s">
        <v>13</v>
      </c>
    </row>
    <row r="27">
      <c r="A27" s="90"/>
      <c r="B27" s="62" t="s">
        <v>2833</v>
      </c>
      <c r="C27" s="57" t="s">
        <v>362</v>
      </c>
      <c r="D27" s="62" t="s">
        <v>2878</v>
      </c>
      <c r="E27" s="11" t="s">
        <v>9</v>
      </c>
    </row>
    <row r="28">
      <c r="A28" s="90"/>
      <c r="B28" s="62" t="s">
        <v>2879</v>
      </c>
      <c r="C28" s="57" t="s">
        <v>1846</v>
      </c>
      <c r="D28" s="62" t="s">
        <v>1386</v>
      </c>
      <c r="E28" s="11" t="s">
        <v>13</v>
      </c>
    </row>
    <row r="29">
      <c r="A29" s="90"/>
      <c r="B29" s="62" t="s">
        <v>2833</v>
      </c>
      <c r="C29" s="57" t="s">
        <v>1836</v>
      </c>
      <c r="D29" s="61" t="s">
        <v>2725</v>
      </c>
      <c r="E29" s="11" t="s">
        <v>9</v>
      </c>
    </row>
    <row r="30">
      <c r="A30" s="90"/>
      <c r="B30" s="62" t="s">
        <v>2879</v>
      </c>
      <c r="C30" s="57" t="s">
        <v>36</v>
      </c>
      <c r="D30" s="62" t="s">
        <v>2878</v>
      </c>
      <c r="E30" s="11" t="s">
        <v>13</v>
      </c>
    </row>
    <row r="31">
      <c r="A31" s="90"/>
      <c r="B31" s="62" t="s">
        <v>2833</v>
      </c>
      <c r="C31" s="57" t="s">
        <v>279</v>
      </c>
      <c r="D31" s="62" t="s">
        <v>1386</v>
      </c>
      <c r="E31" s="11" t="s">
        <v>9</v>
      </c>
    </row>
    <row r="32">
      <c r="A32" s="90"/>
      <c r="B32" s="61" t="s">
        <v>2725</v>
      </c>
      <c r="C32" s="57" t="s">
        <v>162</v>
      </c>
      <c r="D32" s="62" t="s">
        <v>2878</v>
      </c>
      <c r="E32" s="11" t="s">
        <v>13</v>
      </c>
    </row>
    <row r="33">
      <c r="A33" s="90"/>
      <c r="B33" s="62" t="s">
        <v>2833</v>
      </c>
      <c r="C33" s="57" t="s">
        <v>570</v>
      </c>
      <c r="D33" s="62" t="s">
        <v>2879</v>
      </c>
      <c r="E33" s="11" t="s">
        <v>9</v>
      </c>
    </row>
    <row r="34">
      <c r="A34" s="90"/>
      <c r="B34" s="61" t="s">
        <v>2725</v>
      </c>
      <c r="C34" s="57" t="s">
        <v>292</v>
      </c>
      <c r="D34" s="62" t="s">
        <v>1386</v>
      </c>
      <c r="E34" s="11" t="s">
        <v>13</v>
      </c>
    </row>
    <row r="35">
      <c r="A35" s="90"/>
      <c r="B35" s="62" t="s">
        <v>1386</v>
      </c>
      <c r="C35" s="57" t="s">
        <v>18</v>
      </c>
      <c r="D35" s="62" t="s">
        <v>2878</v>
      </c>
      <c r="E35" s="11" t="s">
        <v>9</v>
      </c>
    </row>
    <row r="36">
      <c r="A36" s="90"/>
      <c r="B36" s="61" t="s">
        <v>2725</v>
      </c>
      <c r="C36" s="57" t="s">
        <v>16</v>
      </c>
      <c r="D36" s="62" t="s">
        <v>2879</v>
      </c>
      <c r="E36" s="11" t="s">
        <v>13</v>
      </c>
    </row>
    <row r="37">
      <c r="A37" s="90"/>
      <c r="B37" s="62" t="s">
        <v>2878</v>
      </c>
      <c r="C37" s="45" t="s">
        <v>2881</v>
      </c>
      <c r="D37" s="62" t="s">
        <v>2833</v>
      </c>
      <c r="E37" s="11" t="s">
        <v>9</v>
      </c>
    </row>
    <row r="38">
      <c r="A38" s="90"/>
      <c r="B38" s="62" t="s">
        <v>1386</v>
      </c>
      <c r="C38" s="45" t="s">
        <v>158</v>
      </c>
      <c r="D38" s="62" t="s">
        <v>2879</v>
      </c>
      <c r="E38" s="11" t="s">
        <v>13</v>
      </c>
    </row>
    <row r="39">
      <c r="A39" s="90"/>
      <c r="B39" s="61" t="s">
        <v>2725</v>
      </c>
      <c r="C39" s="45" t="s">
        <v>230</v>
      </c>
      <c r="D39" s="62" t="s">
        <v>2833</v>
      </c>
      <c r="E39" s="11" t="s">
        <v>9</v>
      </c>
    </row>
    <row r="40">
      <c r="A40" s="90"/>
      <c r="B40" s="62" t="s">
        <v>2878</v>
      </c>
      <c r="C40" s="45" t="s">
        <v>271</v>
      </c>
      <c r="D40" s="62" t="s">
        <v>2879</v>
      </c>
      <c r="E40" s="11" t="s">
        <v>13</v>
      </c>
    </row>
    <row r="41">
      <c r="A41" s="90"/>
      <c r="B41" s="62" t="s">
        <v>1386</v>
      </c>
      <c r="C41" s="45" t="s">
        <v>324</v>
      </c>
      <c r="D41" s="62" t="s">
        <v>2833</v>
      </c>
      <c r="E41" s="11" t="s">
        <v>9</v>
      </c>
    </row>
    <row r="42">
      <c r="A42" s="90"/>
      <c r="B42" s="62" t="s">
        <v>2878</v>
      </c>
      <c r="C42" s="45" t="s">
        <v>315</v>
      </c>
      <c r="D42" s="61" t="s">
        <v>2725</v>
      </c>
      <c r="E42" s="11" t="s">
        <v>13</v>
      </c>
    </row>
    <row r="43">
      <c r="A43" s="90"/>
      <c r="B43" s="62" t="s">
        <v>2879</v>
      </c>
      <c r="C43" s="45" t="s">
        <v>1619</v>
      </c>
      <c r="D43" s="62" t="s">
        <v>2833</v>
      </c>
      <c r="E43" s="11" t="s">
        <v>9</v>
      </c>
    </row>
    <row r="44">
      <c r="A44" s="91"/>
      <c r="B44" s="62" t="s">
        <v>1386</v>
      </c>
      <c r="C44" s="45" t="s">
        <v>20</v>
      </c>
      <c r="D44" s="61" t="s">
        <v>2725</v>
      </c>
      <c r="E44" s="11" t="s">
        <v>13</v>
      </c>
    </row>
    <row r="45">
      <c r="B45" s="1" t="s">
        <v>2882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2883</v>
      </c>
      <c r="C47" s="45" t="s">
        <v>181</v>
      </c>
      <c r="D47" s="61" t="s">
        <v>1093</v>
      </c>
      <c r="E47" s="11" t="s">
        <v>9</v>
      </c>
    </row>
    <row r="48">
      <c r="B48" s="61" t="s">
        <v>2884</v>
      </c>
      <c r="C48" s="45" t="s">
        <v>302</v>
      </c>
      <c r="D48" s="61" t="s">
        <v>2885</v>
      </c>
      <c r="E48" s="11" t="s">
        <v>13</v>
      </c>
    </row>
    <row r="49">
      <c r="B49" s="61" t="s">
        <v>2886</v>
      </c>
      <c r="C49" s="45" t="s">
        <v>24</v>
      </c>
      <c r="D49" s="61" t="s">
        <v>2883</v>
      </c>
      <c r="E49" s="11" t="s">
        <v>9</v>
      </c>
    </row>
    <row r="50">
      <c r="B50" s="61" t="s">
        <v>2884</v>
      </c>
      <c r="C50" s="45" t="s">
        <v>181</v>
      </c>
      <c r="D50" s="61" t="s">
        <v>1093</v>
      </c>
      <c r="E50" s="11" t="s">
        <v>13</v>
      </c>
    </row>
    <row r="51">
      <c r="B51" s="61" t="s">
        <v>2886</v>
      </c>
      <c r="C51" s="45" t="s">
        <v>182</v>
      </c>
      <c r="D51" s="61" t="s">
        <v>2885</v>
      </c>
      <c r="E51" s="11" t="s">
        <v>9</v>
      </c>
    </row>
    <row r="52">
      <c r="B52" s="61" t="s">
        <v>2884</v>
      </c>
      <c r="C52" s="45" t="s">
        <v>42</v>
      </c>
      <c r="D52" s="61" t="s">
        <v>2883</v>
      </c>
      <c r="E52" s="11" t="s">
        <v>13</v>
      </c>
    </row>
    <row r="53">
      <c r="B53" s="61" t="s">
        <v>2886</v>
      </c>
      <c r="C53" s="45" t="s">
        <v>219</v>
      </c>
      <c r="D53" s="61" t="s">
        <v>1093</v>
      </c>
      <c r="E53" s="11" t="s">
        <v>9</v>
      </c>
    </row>
    <row r="54">
      <c r="B54" s="61" t="s">
        <v>2885</v>
      </c>
      <c r="C54" s="45" t="s">
        <v>197</v>
      </c>
      <c r="D54" s="61" t="s">
        <v>2883</v>
      </c>
      <c r="E54" s="11" t="s">
        <v>13</v>
      </c>
    </row>
    <row r="55">
      <c r="B55" s="61" t="s">
        <v>2886</v>
      </c>
      <c r="C55" s="45" t="s">
        <v>2887</v>
      </c>
      <c r="D55" s="61" t="s">
        <v>2884</v>
      </c>
      <c r="E55" s="11" t="s">
        <v>9</v>
      </c>
    </row>
    <row r="56">
      <c r="B56" s="61" t="s">
        <v>2885</v>
      </c>
      <c r="C56" s="45" t="s">
        <v>7</v>
      </c>
      <c r="D56" s="61" t="s">
        <v>1093</v>
      </c>
      <c r="E56" s="11" t="s">
        <v>13</v>
      </c>
    </row>
    <row r="57">
      <c r="B57" s="61" t="s">
        <v>1093</v>
      </c>
      <c r="C57" s="45" t="s">
        <v>19</v>
      </c>
      <c r="D57" s="61" t="s">
        <v>2883</v>
      </c>
      <c r="E57" s="11" t="s">
        <v>9</v>
      </c>
    </row>
    <row r="58">
      <c r="B58" s="61" t="s">
        <v>2885</v>
      </c>
      <c r="C58" s="45" t="s">
        <v>744</v>
      </c>
      <c r="D58" s="61" t="s">
        <v>2884</v>
      </c>
      <c r="E58" s="11" t="s">
        <v>13</v>
      </c>
    </row>
    <row r="59">
      <c r="B59" s="61" t="s">
        <v>2883</v>
      </c>
      <c r="C59" s="45" t="s">
        <v>41</v>
      </c>
      <c r="D59" s="61" t="s">
        <v>2886</v>
      </c>
      <c r="E59" s="11" t="s">
        <v>9</v>
      </c>
    </row>
    <row r="60">
      <c r="B60" s="61" t="s">
        <v>1093</v>
      </c>
      <c r="C60" s="45" t="s">
        <v>2888</v>
      </c>
      <c r="D60" s="61" t="s">
        <v>2884</v>
      </c>
      <c r="E60" s="11" t="s">
        <v>13</v>
      </c>
    </row>
    <row r="61">
      <c r="B61" s="61" t="s">
        <v>2885</v>
      </c>
      <c r="C61" s="45" t="s">
        <v>38</v>
      </c>
      <c r="D61" s="61" t="s">
        <v>2886</v>
      </c>
      <c r="E61" s="11" t="s">
        <v>9</v>
      </c>
    </row>
    <row r="62">
      <c r="B62" s="61" t="s">
        <v>2883</v>
      </c>
      <c r="C62" s="45" t="s">
        <v>20</v>
      </c>
      <c r="D62" s="61" t="s">
        <v>2884</v>
      </c>
      <c r="E62" s="11" t="s">
        <v>13</v>
      </c>
    </row>
    <row r="63">
      <c r="B63" s="61" t="s">
        <v>1093</v>
      </c>
      <c r="C63" s="45" t="s">
        <v>23</v>
      </c>
      <c r="D63" s="61" t="s">
        <v>2886</v>
      </c>
      <c r="E63" s="11" t="s">
        <v>9</v>
      </c>
    </row>
    <row r="64">
      <c r="B64" s="61" t="s">
        <v>2883</v>
      </c>
      <c r="C64" s="45" t="s">
        <v>173</v>
      </c>
      <c r="D64" s="61" t="s">
        <v>2885</v>
      </c>
      <c r="E64" s="11" t="s">
        <v>13</v>
      </c>
    </row>
    <row r="65">
      <c r="B65" s="61" t="s">
        <v>2884</v>
      </c>
      <c r="C65" s="45" t="s">
        <v>198</v>
      </c>
      <c r="D65" s="61" t="s">
        <v>2886</v>
      </c>
      <c r="E65" s="11" t="s">
        <v>9</v>
      </c>
    </row>
    <row r="66">
      <c r="B66" s="61" t="s">
        <v>1093</v>
      </c>
      <c r="C66" s="45" t="s">
        <v>712</v>
      </c>
      <c r="D66" s="61" t="s">
        <v>2885</v>
      </c>
      <c r="E66" s="11" t="s">
        <v>13</v>
      </c>
    </row>
    <row r="67">
      <c r="B67" s="1" t="s">
        <v>2207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2889</v>
      </c>
      <c r="C69" s="45" t="s">
        <v>209</v>
      </c>
      <c r="D69" s="61" t="s">
        <v>883</v>
      </c>
      <c r="E69" s="11" t="s">
        <v>9</v>
      </c>
    </row>
    <row r="70">
      <c r="B70" s="61" t="s">
        <v>550</v>
      </c>
      <c r="C70" s="45" t="s">
        <v>183</v>
      </c>
      <c r="D70" s="61" t="s">
        <v>295</v>
      </c>
      <c r="E70" s="11" t="s">
        <v>13</v>
      </c>
    </row>
    <row r="71">
      <c r="B71" s="61" t="s">
        <v>2890</v>
      </c>
      <c r="C71" s="45" t="s">
        <v>158</v>
      </c>
      <c r="D71" s="61" t="s">
        <v>2889</v>
      </c>
      <c r="E71" s="11" t="s">
        <v>9</v>
      </c>
    </row>
    <row r="72">
      <c r="B72" s="61" t="s">
        <v>550</v>
      </c>
      <c r="C72" s="45" t="s">
        <v>185</v>
      </c>
      <c r="D72" s="61" t="s">
        <v>883</v>
      </c>
      <c r="E72" s="11" t="s">
        <v>13</v>
      </c>
    </row>
    <row r="73">
      <c r="B73" s="61" t="s">
        <v>2890</v>
      </c>
      <c r="C73" s="45" t="s">
        <v>301</v>
      </c>
      <c r="D73" s="61" t="s">
        <v>295</v>
      </c>
      <c r="E73" s="11" t="s">
        <v>9</v>
      </c>
    </row>
    <row r="74">
      <c r="B74" s="61" t="s">
        <v>550</v>
      </c>
      <c r="C74" s="45" t="s">
        <v>16</v>
      </c>
      <c r="D74" s="61" t="s">
        <v>2889</v>
      </c>
      <c r="E74" s="11" t="s">
        <v>13</v>
      </c>
    </row>
    <row r="75">
      <c r="B75" s="61" t="s">
        <v>2890</v>
      </c>
      <c r="C75" s="45" t="s">
        <v>534</v>
      </c>
      <c r="D75" s="61" t="s">
        <v>883</v>
      </c>
      <c r="E75" s="11" t="s">
        <v>9</v>
      </c>
    </row>
    <row r="76">
      <c r="B76" s="61" t="s">
        <v>295</v>
      </c>
      <c r="C76" s="45" t="s">
        <v>251</v>
      </c>
      <c r="D76" s="61" t="s">
        <v>2889</v>
      </c>
      <c r="E76" s="11" t="s">
        <v>13</v>
      </c>
    </row>
    <row r="77">
      <c r="B77" s="61" t="s">
        <v>2890</v>
      </c>
      <c r="C77" s="45" t="s">
        <v>19</v>
      </c>
      <c r="D77" s="61" t="s">
        <v>550</v>
      </c>
      <c r="E77" s="11" t="s">
        <v>9</v>
      </c>
    </row>
    <row r="78">
      <c r="B78" s="61" t="s">
        <v>295</v>
      </c>
      <c r="C78" s="45" t="s">
        <v>155</v>
      </c>
      <c r="D78" s="61" t="s">
        <v>883</v>
      </c>
      <c r="E78" s="11" t="s">
        <v>13</v>
      </c>
    </row>
    <row r="79">
      <c r="B79" s="61" t="s">
        <v>883</v>
      </c>
      <c r="C79" s="45" t="s">
        <v>18</v>
      </c>
      <c r="D79" s="61" t="s">
        <v>2889</v>
      </c>
      <c r="E79" s="11" t="s">
        <v>9</v>
      </c>
    </row>
    <row r="80">
      <c r="B80" s="61" t="s">
        <v>295</v>
      </c>
      <c r="C80" s="45" t="s">
        <v>177</v>
      </c>
      <c r="D80" s="61" t="s">
        <v>550</v>
      </c>
      <c r="E80" s="11" t="s">
        <v>13</v>
      </c>
    </row>
    <row r="81">
      <c r="B81" s="61" t="s">
        <v>2889</v>
      </c>
      <c r="C81" s="45" t="s">
        <v>219</v>
      </c>
      <c r="D81" s="61" t="s">
        <v>2890</v>
      </c>
      <c r="E81" s="11" t="s">
        <v>9</v>
      </c>
    </row>
    <row r="82">
      <c r="B82" s="61" t="s">
        <v>883</v>
      </c>
      <c r="C82" s="45" t="s">
        <v>185</v>
      </c>
      <c r="D82" s="61" t="s">
        <v>550</v>
      </c>
      <c r="E82" s="11" t="s">
        <v>13</v>
      </c>
    </row>
    <row r="83">
      <c r="B83" s="61" t="s">
        <v>295</v>
      </c>
      <c r="C83" s="45" t="s">
        <v>19</v>
      </c>
      <c r="D83" s="61" t="s">
        <v>2890</v>
      </c>
      <c r="E83" s="11" t="s">
        <v>9</v>
      </c>
    </row>
    <row r="84">
      <c r="B84" s="61" t="s">
        <v>2889</v>
      </c>
      <c r="C84" s="45" t="s">
        <v>2891</v>
      </c>
      <c r="D84" s="61" t="s">
        <v>550</v>
      </c>
      <c r="E84" s="11" t="s">
        <v>13</v>
      </c>
    </row>
    <row r="85">
      <c r="B85" s="61" t="s">
        <v>883</v>
      </c>
      <c r="C85" s="45" t="s">
        <v>23</v>
      </c>
      <c r="D85" s="61" t="s">
        <v>2890</v>
      </c>
      <c r="E85" s="11" t="s">
        <v>9</v>
      </c>
    </row>
    <row r="86">
      <c r="B86" s="61" t="s">
        <v>2889</v>
      </c>
      <c r="C86" s="45" t="s">
        <v>17</v>
      </c>
      <c r="D86" s="61" t="s">
        <v>295</v>
      </c>
      <c r="E86" s="11" t="s">
        <v>13</v>
      </c>
    </row>
    <row r="87">
      <c r="B87" s="61" t="s">
        <v>550</v>
      </c>
      <c r="C87" s="45" t="s">
        <v>183</v>
      </c>
      <c r="D87" s="61" t="s">
        <v>2890</v>
      </c>
      <c r="E87" s="11" t="s">
        <v>9</v>
      </c>
    </row>
    <row r="88">
      <c r="B88" s="61" t="s">
        <v>883</v>
      </c>
      <c r="C88" s="45" t="s">
        <v>195</v>
      </c>
      <c r="D88" s="61" t="s">
        <v>295</v>
      </c>
      <c r="E88" s="11" t="s">
        <v>13</v>
      </c>
    </row>
    <row r="89">
      <c r="B89" s="1" t="s">
        <v>2806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2845</v>
      </c>
      <c r="C91" s="45" t="s">
        <v>181</v>
      </c>
      <c r="D91" s="61" t="s">
        <v>952</v>
      </c>
      <c r="E91" s="33" t="s">
        <v>29</v>
      </c>
    </row>
    <row r="92">
      <c r="B92" s="61" t="s">
        <v>1365</v>
      </c>
      <c r="C92" s="45" t="s">
        <v>292</v>
      </c>
      <c r="D92" s="61" t="s">
        <v>2846</v>
      </c>
      <c r="E92" s="33" t="s">
        <v>33</v>
      </c>
    </row>
    <row r="93">
      <c r="B93" s="61" t="s">
        <v>2847</v>
      </c>
      <c r="C93" s="45" t="s">
        <v>210</v>
      </c>
      <c r="D93" s="61" t="s">
        <v>2845</v>
      </c>
      <c r="E93" s="33" t="s">
        <v>29</v>
      </c>
    </row>
    <row r="94">
      <c r="B94" s="61" t="s">
        <v>1365</v>
      </c>
      <c r="C94" s="45" t="s">
        <v>166</v>
      </c>
      <c r="D94" s="61" t="s">
        <v>952</v>
      </c>
      <c r="E94" s="33" t="s">
        <v>33</v>
      </c>
    </row>
    <row r="95">
      <c r="B95" s="61" t="s">
        <v>2847</v>
      </c>
      <c r="C95" s="45" t="s">
        <v>1208</v>
      </c>
      <c r="D95" s="61" t="s">
        <v>2846</v>
      </c>
      <c r="E95" s="33" t="s">
        <v>29</v>
      </c>
    </row>
    <row r="96">
      <c r="B96" s="61" t="s">
        <v>1365</v>
      </c>
      <c r="C96" s="45" t="s">
        <v>198</v>
      </c>
      <c r="D96" s="61" t="s">
        <v>2845</v>
      </c>
      <c r="E96" s="33" t="s">
        <v>33</v>
      </c>
    </row>
    <row r="97">
      <c r="B97" s="61" t="s">
        <v>2847</v>
      </c>
      <c r="C97" s="45" t="s">
        <v>208</v>
      </c>
      <c r="D97" s="61" t="s">
        <v>952</v>
      </c>
      <c r="E97" s="33" t="s">
        <v>29</v>
      </c>
    </row>
    <row r="98">
      <c r="B98" s="61" t="s">
        <v>2846</v>
      </c>
      <c r="C98" s="45" t="s">
        <v>163</v>
      </c>
      <c r="D98" s="61" t="s">
        <v>2845</v>
      </c>
      <c r="E98" s="33" t="s">
        <v>33</v>
      </c>
    </row>
    <row r="99">
      <c r="B99" s="61" t="s">
        <v>2847</v>
      </c>
      <c r="C99" s="45" t="s">
        <v>196</v>
      </c>
      <c r="D99" s="61" t="s">
        <v>1365</v>
      </c>
      <c r="E99" s="33" t="s">
        <v>29</v>
      </c>
    </row>
    <row r="100">
      <c r="B100" s="61" t="s">
        <v>2846</v>
      </c>
      <c r="C100" s="45" t="s">
        <v>14</v>
      </c>
      <c r="D100" s="61" t="s">
        <v>952</v>
      </c>
      <c r="E100" s="33" t="s">
        <v>33</v>
      </c>
    </row>
    <row r="101">
      <c r="B101" s="61" t="s">
        <v>952</v>
      </c>
      <c r="C101" s="45" t="s">
        <v>155</v>
      </c>
      <c r="D101" s="61" t="s">
        <v>2845</v>
      </c>
      <c r="E101" s="33" t="s">
        <v>29</v>
      </c>
    </row>
    <row r="102">
      <c r="B102" s="61" t="s">
        <v>2846</v>
      </c>
      <c r="C102" s="45" t="s">
        <v>27</v>
      </c>
      <c r="D102" s="61" t="s">
        <v>1365</v>
      </c>
      <c r="E102" s="33" t="s">
        <v>33</v>
      </c>
    </row>
    <row r="103">
      <c r="B103" s="61" t="s">
        <v>2845</v>
      </c>
      <c r="C103" s="45" t="s">
        <v>198</v>
      </c>
      <c r="D103" s="61" t="s">
        <v>2847</v>
      </c>
      <c r="E103" s="33" t="s">
        <v>29</v>
      </c>
    </row>
    <row r="104">
      <c r="B104" s="61" t="s">
        <v>952</v>
      </c>
      <c r="C104" s="45" t="s">
        <v>395</v>
      </c>
      <c r="D104" s="61" t="s">
        <v>1365</v>
      </c>
      <c r="E104" s="33" t="s">
        <v>33</v>
      </c>
    </row>
    <row r="105">
      <c r="B105" s="61" t="s">
        <v>2846</v>
      </c>
      <c r="C105" s="45" t="s">
        <v>195</v>
      </c>
      <c r="D105" s="61" t="s">
        <v>2847</v>
      </c>
      <c r="E105" s="33" t="s">
        <v>29</v>
      </c>
    </row>
    <row r="106">
      <c r="B106" s="61" t="s">
        <v>2845</v>
      </c>
      <c r="C106" s="45" t="s">
        <v>219</v>
      </c>
      <c r="D106" s="61" t="s">
        <v>1365</v>
      </c>
      <c r="E106" s="33" t="s">
        <v>33</v>
      </c>
    </row>
    <row r="107">
      <c r="B107" s="61" t="s">
        <v>952</v>
      </c>
      <c r="C107" s="45" t="s">
        <v>20</v>
      </c>
      <c r="D107" s="61" t="s">
        <v>2847</v>
      </c>
      <c r="E107" s="33" t="s">
        <v>29</v>
      </c>
    </row>
    <row r="108">
      <c r="B108" s="61" t="s">
        <v>2845</v>
      </c>
      <c r="C108" s="45" t="s">
        <v>316</v>
      </c>
      <c r="D108" s="61" t="s">
        <v>2846</v>
      </c>
      <c r="E108" s="33" t="s">
        <v>33</v>
      </c>
    </row>
    <row r="109">
      <c r="B109" s="61" t="s">
        <v>1365</v>
      </c>
      <c r="C109" s="45" t="s">
        <v>220</v>
      </c>
      <c r="D109" s="61" t="s">
        <v>2847</v>
      </c>
      <c r="E109" s="33" t="s">
        <v>29</v>
      </c>
    </row>
    <row r="110">
      <c r="B110" s="61" t="s">
        <v>952</v>
      </c>
      <c r="C110" s="45" t="s">
        <v>344</v>
      </c>
      <c r="D110" s="61" t="s">
        <v>2846</v>
      </c>
      <c r="E110" s="33" t="s">
        <v>33</v>
      </c>
    </row>
    <row r="111">
      <c r="B111" s="1" t="s">
        <v>2741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2101</v>
      </c>
      <c r="C113" s="57" t="s">
        <v>181</v>
      </c>
      <c r="D113" s="61" t="s">
        <v>2892</v>
      </c>
      <c r="E113" s="33" t="s">
        <v>29</v>
      </c>
    </row>
    <row r="114">
      <c r="B114" s="61" t="s">
        <v>2893</v>
      </c>
      <c r="C114" s="57" t="s">
        <v>193</v>
      </c>
      <c r="D114" s="61" t="s">
        <v>2894</v>
      </c>
      <c r="E114" s="33" t="s">
        <v>33</v>
      </c>
    </row>
    <row r="115">
      <c r="B115" s="61" t="s">
        <v>2895</v>
      </c>
      <c r="C115" s="57" t="s">
        <v>177</v>
      </c>
      <c r="D115" s="61" t="s">
        <v>2101</v>
      </c>
      <c r="E115" s="33" t="s">
        <v>29</v>
      </c>
    </row>
    <row r="116">
      <c r="B116" s="61" t="s">
        <v>2893</v>
      </c>
      <c r="C116" s="57" t="s">
        <v>2896</v>
      </c>
      <c r="D116" s="61" t="s">
        <v>2892</v>
      </c>
      <c r="E116" s="33" t="s">
        <v>33</v>
      </c>
    </row>
    <row r="117">
      <c r="B117" s="61" t="s">
        <v>2895</v>
      </c>
      <c r="C117" s="57" t="s">
        <v>291</v>
      </c>
      <c r="D117" s="61" t="s">
        <v>2894</v>
      </c>
      <c r="E117" s="33" t="s">
        <v>29</v>
      </c>
    </row>
    <row r="118">
      <c r="B118" s="61" t="s">
        <v>2893</v>
      </c>
      <c r="C118" s="57" t="s">
        <v>744</v>
      </c>
      <c r="D118" s="61" t="s">
        <v>2101</v>
      </c>
      <c r="E118" s="33" t="s">
        <v>33</v>
      </c>
    </row>
    <row r="119">
      <c r="B119" s="61" t="s">
        <v>2895</v>
      </c>
      <c r="C119" s="57" t="s">
        <v>251</v>
      </c>
      <c r="D119" s="61" t="s">
        <v>2892</v>
      </c>
      <c r="E119" s="33" t="s">
        <v>29</v>
      </c>
    </row>
    <row r="120">
      <c r="B120" s="61" t="s">
        <v>2894</v>
      </c>
      <c r="C120" s="57" t="s">
        <v>2897</v>
      </c>
      <c r="D120" s="61" t="s">
        <v>2101</v>
      </c>
      <c r="E120" s="33" t="s">
        <v>33</v>
      </c>
    </row>
    <row r="121">
      <c r="B121" s="61" t="s">
        <v>2895</v>
      </c>
      <c r="C121" s="57" t="s">
        <v>620</v>
      </c>
      <c r="D121" s="61" t="s">
        <v>2893</v>
      </c>
      <c r="E121" s="33" t="s">
        <v>29</v>
      </c>
    </row>
    <row r="122">
      <c r="B122" s="61" t="s">
        <v>2894</v>
      </c>
      <c r="C122" s="57" t="s">
        <v>251</v>
      </c>
      <c r="D122" s="61" t="s">
        <v>2892</v>
      </c>
      <c r="E122" s="33" t="s">
        <v>33</v>
      </c>
    </row>
    <row r="123">
      <c r="B123" s="61" t="s">
        <v>2892</v>
      </c>
      <c r="C123" s="57" t="s">
        <v>185</v>
      </c>
      <c r="D123" s="61" t="s">
        <v>2101</v>
      </c>
      <c r="E123" s="33" t="s">
        <v>29</v>
      </c>
    </row>
    <row r="124">
      <c r="B124" s="61" t="s">
        <v>2894</v>
      </c>
      <c r="C124" s="57" t="s">
        <v>657</v>
      </c>
      <c r="D124" s="61" t="s">
        <v>2893</v>
      </c>
      <c r="E124" s="33" t="s">
        <v>33</v>
      </c>
    </row>
    <row r="125">
      <c r="B125" s="61" t="s">
        <v>2101</v>
      </c>
      <c r="C125" s="45" t="s">
        <v>163</v>
      </c>
      <c r="D125" s="61" t="s">
        <v>2895</v>
      </c>
      <c r="E125" s="33" t="s">
        <v>29</v>
      </c>
    </row>
    <row r="126">
      <c r="B126" s="61" t="s">
        <v>2892</v>
      </c>
      <c r="C126" s="45" t="s">
        <v>315</v>
      </c>
      <c r="D126" s="61" t="s">
        <v>2893</v>
      </c>
      <c r="E126" s="33" t="s">
        <v>33</v>
      </c>
    </row>
    <row r="127">
      <c r="B127" s="61" t="s">
        <v>2894</v>
      </c>
      <c r="C127" s="45" t="s">
        <v>184</v>
      </c>
      <c r="D127" s="61" t="s">
        <v>2895</v>
      </c>
      <c r="E127" s="33" t="s">
        <v>29</v>
      </c>
    </row>
    <row r="128">
      <c r="B128" s="61" t="s">
        <v>2101</v>
      </c>
      <c r="C128" s="45" t="s">
        <v>271</v>
      </c>
      <c r="D128" s="61" t="s">
        <v>2893</v>
      </c>
      <c r="E128" s="33" t="s">
        <v>33</v>
      </c>
    </row>
    <row r="129">
      <c r="B129" s="61" t="s">
        <v>2892</v>
      </c>
      <c r="C129" s="45" t="s">
        <v>157</v>
      </c>
      <c r="D129" s="61" t="s">
        <v>2895</v>
      </c>
      <c r="E129" s="33" t="s">
        <v>29</v>
      </c>
    </row>
    <row r="130">
      <c r="B130" s="61" t="s">
        <v>2101</v>
      </c>
      <c r="C130" s="45" t="s">
        <v>291</v>
      </c>
      <c r="D130" s="61" t="s">
        <v>2894</v>
      </c>
      <c r="E130" s="33" t="s">
        <v>33</v>
      </c>
    </row>
    <row r="131">
      <c r="B131" s="61" t="s">
        <v>2893</v>
      </c>
      <c r="C131" s="45" t="s">
        <v>43</v>
      </c>
      <c r="D131" s="61" t="s">
        <v>2895</v>
      </c>
      <c r="E131" s="33" t="s">
        <v>29</v>
      </c>
    </row>
    <row r="132">
      <c r="B132" s="61" t="s">
        <v>2892</v>
      </c>
      <c r="C132" s="45" t="s">
        <v>248</v>
      </c>
      <c r="D132" s="61" t="s">
        <v>2894</v>
      </c>
      <c r="E132" s="33" t="s">
        <v>33</v>
      </c>
    </row>
    <row r="133">
      <c r="B133" s="1" t="s">
        <v>2483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738</v>
      </c>
      <c r="C135" s="45" t="s">
        <v>218</v>
      </c>
      <c r="D135" s="61" t="s">
        <v>2898</v>
      </c>
      <c r="E135" s="11" t="s">
        <v>9</v>
      </c>
    </row>
    <row r="136">
      <c r="B136" s="61" t="s">
        <v>768</v>
      </c>
      <c r="C136" s="45" t="s">
        <v>194</v>
      </c>
      <c r="D136" s="61" t="s">
        <v>792</v>
      </c>
      <c r="E136" s="11" t="s">
        <v>13</v>
      </c>
    </row>
    <row r="137">
      <c r="B137" s="61" t="s">
        <v>2899</v>
      </c>
      <c r="C137" s="45" t="s">
        <v>351</v>
      </c>
      <c r="D137" s="61" t="s">
        <v>738</v>
      </c>
      <c r="E137" s="11" t="s">
        <v>9</v>
      </c>
    </row>
    <row r="138">
      <c r="B138" s="61" t="s">
        <v>768</v>
      </c>
      <c r="C138" s="45" t="s">
        <v>158</v>
      </c>
      <c r="D138" s="61" t="s">
        <v>2898</v>
      </c>
      <c r="E138" s="11" t="s">
        <v>13</v>
      </c>
    </row>
    <row r="139">
      <c r="B139" s="61" t="s">
        <v>2899</v>
      </c>
      <c r="C139" s="45" t="s">
        <v>248</v>
      </c>
      <c r="D139" s="61" t="s">
        <v>792</v>
      </c>
      <c r="E139" s="11" t="s">
        <v>9</v>
      </c>
    </row>
    <row r="140">
      <c r="B140" s="61" t="s">
        <v>768</v>
      </c>
      <c r="C140" s="45" t="s">
        <v>20</v>
      </c>
      <c r="D140" s="61" t="s">
        <v>738</v>
      </c>
      <c r="E140" s="11" t="s">
        <v>13</v>
      </c>
    </row>
    <row r="141">
      <c r="B141" s="61" t="s">
        <v>2899</v>
      </c>
      <c r="C141" s="45" t="s">
        <v>302</v>
      </c>
      <c r="D141" s="61" t="s">
        <v>2898</v>
      </c>
      <c r="E141" s="11" t="s">
        <v>9</v>
      </c>
    </row>
    <row r="142">
      <c r="B142" s="61" t="s">
        <v>792</v>
      </c>
      <c r="C142" s="45" t="s">
        <v>220</v>
      </c>
      <c r="D142" s="61" t="s">
        <v>738</v>
      </c>
      <c r="E142" s="11" t="s">
        <v>13</v>
      </c>
    </row>
    <row r="143">
      <c r="B143" s="61" t="s">
        <v>2899</v>
      </c>
      <c r="C143" s="45" t="s">
        <v>248</v>
      </c>
      <c r="D143" s="61" t="s">
        <v>768</v>
      </c>
      <c r="E143" s="11" t="s">
        <v>9</v>
      </c>
    </row>
    <row r="144">
      <c r="B144" s="61" t="s">
        <v>792</v>
      </c>
      <c r="C144" s="45" t="s">
        <v>198</v>
      </c>
      <c r="D144" s="61" t="s">
        <v>2898</v>
      </c>
      <c r="E144" s="11" t="s">
        <v>13</v>
      </c>
    </row>
    <row r="145">
      <c r="B145" s="61" t="s">
        <v>2898</v>
      </c>
      <c r="C145" s="45" t="s">
        <v>957</v>
      </c>
      <c r="D145" s="61" t="s">
        <v>738</v>
      </c>
      <c r="E145" s="11" t="s">
        <v>9</v>
      </c>
    </row>
    <row r="146">
      <c r="B146" s="61" t="s">
        <v>792</v>
      </c>
      <c r="C146" s="45" t="s">
        <v>325</v>
      </c>
      <c r="D146" s="61" t="s">
        <v>768</v>
      </c>
      <c r="E146" s="11" t="s">
        <v>13</v>
      </c>
    </row>
    <row r="147">
      <c r="B147" s="61" t="s">
        <v>738</v>
      </c>
      <c r="C147" s="45" t="s">
        <v>222</v>
      </c>
      <c r="D147" s="61" t="s">
        <v>2899</v>
      </c>
      <c r="E147" s="11" t="s">
        <v>9</v>
      </c>
    </row>
    <row r="148">
      <c r="B148" s="61" t="s">
        <v>2898</v>
      </c>
      <c r="C148" s="45" t="s">
        <v>209</v>
      </c>
      <c r="D148" s="61" t="s">
        <v>768</v>
      </c>
      <c r="E148" s="11" t="s">
        <v>13</v>
      </c>
    </row>
    <row r="149">
      <c r="B149" s="61" t="s">
        <v>792</v>
      </c>
      <c r="C149" s="45" t="s">
        <v>209</v>
      </c>
      <c r="D149" s="61" t="s">
        <v>2899</v>
      </c>
      <c r="E149" s="11" t="s">
        <v>9</v>
      </c>
    </row>
    <row r="150">
      <c r="B150" s="61" t="s">
        <v>738</v>
      </c>
      <c r="C150" s="45" t="s">
        <v>41</v>
      </c>
      <c r="D150" s="61" t="s">
        <v>768</v>
      </c>
      <c r="E150" s="11" t="s">
        <v>13</v>
      </c>
    </row>
    <row r="151">
      <c r="B151" s="61" t="s">
        <v>2898</v>
      </c>
      <c r="C151" s="45" t="s">
        <v>573</v>
      </c>
      <c r="D151" s="61" t="s">
        <v>2899</v>
      </c>
      <c r="E151" s="11" t="s">
        <v>9</v>
      </c>
    </row>
    <row r="152">
      <c r="B152" s="61" t="s">
        <v>738</v>
      </c>
      <c r="C152" s="45" t="s">
        <v>158</v>
      </c>
      <c r="D152" s="61" t="s">
        <v>792</v>
      </c>
      <c r="E152" s="11" t="s">
        <v>13</v>
      </c>
    </row>
    <row r="153">
      <c r="B153" s="61" t="s">
        <v>768</v>
      </c>
      <c r="C153" s="45" t="s">
        <v>219</v>
      </c>
      <c r="D153" s="61" t="s">
        <v>2899</v>
      </c>
      <c r="E153" s="11" t="s">
        <v>9</v>
      </c>
    </row>
    <row r="154">
      <c r="B154" s="61" t="s">
        <v>2898</v>
      </c>
      <c r="C154" s="45" t="s">
        <v>218</v>
      </c>
      <c r="D154" s="61" t="s">
        <v>792</v>
      </c>
      <c r="E154" s="11" t="s">
        <v>13</v>
      </c>
    </row>
    <row r="155">
      <c r="B155" s="1" t="s">
        <v>2857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2900</v>
      </c>
      <c r="C157" s="45" t="s">
        <v>24</v>
      </c>
      <c r="D157" s="61" t="s">
        <v>1503</v>
      </c>
      <c r="E157" s="11" t="s">
        <v>9</v>
      </c>
    </row>
    <row r="158">
      <c r="B158" s="61" t="s">
        <v>2901</v>
      </c>
      <c r="C158" s="45" t="s">
        <v>166</v>
      </c>
      <c r="D158" s="61" t="s">
        <v>2902</v>
      </c>
      <c r="E158" s="11" t="s">
        <v>13</v>
      </c>
    </row>
    <row r="159">
      <c r="B159" s="61" t="s">
        <v>2903</v>
      </c>
      <c r="C159" s="45" t="s">
        <v>177</v>
      </c>
      <c r="D159" s="61" t="s">
        <v>2900</v>
      </c>
      <c r="E159" s="11" t="s">
        <v>9</v>
      </c>
    </row>
    <row r="160">
      <c r="B160" s="61" t="s">
        <v>2901</v>
      </c>
      <c r="C160" s="45" t="s">
        <v>14</v>
      </c>
      <c r="D160" s="61" t="s">
        <v>1503</v>
      </c>
      <c r="E160" s="11" t="s">
        <v>13</v>
      </c>
    </row>
    <row r="161">
      <c r="B161" s="61" t="s">
        <v>2903</v>
      </c>
      <c r="C161" s="45" t="s">
        <v>17</v>
      </c>
      <c r="D161" s="61" t="s">
        <v>2902</v>
      </c>
      <c r="E161" s="11" t="s">
        <v>9</v>
      </c>
    </row>
    <row r="162">
      <c r="B162" s="61" t="s">
        <v>2901</v>
      </c>
      <c r="C162" s="45" t="s">
        <v>43</v>
      </c>
      <c r="D162" s="61" t="s">
        <v>2900</v>
      </c>
      <c r="E162" s="11" t="s">
        <v>13</v>
      </c>
    </row>
    <row r="163">
      <c r="B163" s="61" t="s">
        <v>2903</v>
      </c>
      <c r="C163" s="45" t="s">
        <v>18</v>
      </c>
      <c r="D163" s="61" t="s">
        <v>1503</v>
      </c>
      <c r="E163" s="11" t="s">
        <v>9</v>
      </c>
    </row>
    <row r="164">
      <c r="B164" s="61" t="s">
        <v>2902</v>
      </c>
      <c r="C164" s="45" t="s">
        <v>289</v>
      </c>
      <c r="D164" s="61" t="s">
        <v>2900</v>
      </c>
      <c r="E164" s="11" t="s">
        <v>13</v>
      </c>
    </row>
    <row r="165">
      <c r="B165" s="61" t="s">
        <v>2903</v>
      </c>
      <c r="C165" s="45" t="s">
        <v>181</v>
      </c>
      <c r="D165" s="61" t="s">
        <v>2901</v>
      </c>
      <c r="E165" s="11" t="s">
        <v>9</v>
      </c>
    </row>
    <row r="166">
      <c r="B166" s="61" t="s">
        <v>2902</v>
      </c>
      <c r="C166" s="45" t="s">
        <v>302</v>
      </c>
      <c r="D166" s="61" t="s">
        <v>1503</v>
      </c>
      <c r="E166" s="11" t="s">
        <v>13</v>
      </c>
    </row>
    <row r="167">
      <c r="B167" s="61" t="s">
        <v>1503</v>
      </c>
      <c r="C167" s="45" t="s">
        <v>248</v>
      </c>
      <c r="D167" s="61" t="s">
        <v>2900</v>
      </c>
      <c r="E167" s="11" t="s">
        <v>9</v>
      </c>
    </row>
    <row r="168">
      <c r="B168" s="61" t="s">
        <v>2902</v>
      </c>
      <c r="C168" s="45" t="s">
        <v>163</v>
      </c>
      <c r="D168" s="61" t="s">
        <v>2901</v>
      </c>
      <c r="E168" s="11" t="s">
        <v>13</v>
      </c>
    </row>
    <row r="169">
      <c r="B169" s="61" t="s">
        <v>2900</v>
      </c>
      <c r="C169" s="45" t="s">
        <v>166</v>
      </c>
      <c r="D169" s="61" t="s">
        <v>2903</v>
      </c>
      <c r="E169" s="11" t="s">
        <v>9</v>
      </c>
    </row>
    <row r="170">
      <c r="B170" s="61" t="s">
        <v>1503</v>
      </c>
      <c r="C170" s="45" t="s">
        <v>158</v>
      </c>
      <c r="D170" s="61" t="s">
        <v>2901</v>
      </c>
      <c r="E170" s="11" t="s">
        <v>13</v>
      </c>
    </row>
    <row r="171">
      <c r="B171" s="61" t="s">
        <v>2902</v>
      </c>
      <c r="C171" s="45" t="s">
        <v>286</v>
      </c>
      <c r="D171" s="61" t="s">
        <v>2903</v>
      </c>
      <c r="E171" s="11" t="s">
        <v>9</v>
      </c>
    </row>
    <row r="172">
      <c r="B172" s="61" t="s">
        <v>2900</v>
      </c>
      <c r="C172" s="45" t="s">
        <v>576</v>
      </c>
      <c r="D172" s="61" t="s">
        <v>2901</v>
      </c>
      <c r="E172" s="11" t="s">
        <v>13</v>
      </c>
    </row>
    <row r="173">
      <c r="B173" s="61" t="s">
        <v>1503</v>
      </c>
      <c r="C173" s="45" t="s">
        <v>219</v>
      </c>
      <c r="D173" s="61" t="s">
        <v>2903</v>
      </c>
      <c r="E173" s="11" t="s">
        <v>9</v>
      </c>
    </row>
    <row r="174">
      <c r="B174" s="61" t="s">
        <v>2900</v>
      </c>
      <c r="C174" s="45" t="s">
        <v>20</v>
      </c>
      <c r="D174" s="61" t="s">
        <v>2902</v>
      </c>
      <c r="E174" s="11" t="s">
        <v>13</v>
      </c>
    </row>
    <row r="175">
      <c r="B175" s="61" t="s">
        <v>2901</v>
      </c>
      <c r="C175" s="45" t="s">
        <v>1015</v>
      </c>
      <c r="D175" s="61" t="s">
        <v>2903</v>
      </c>
      <c r="E175" s="11" t="s">
        <v>9</v>
      </c>
    </row>
    <row r="176">
      <c r="B176" s="61" t="s">
        <v>1503</v>
      </c>
      <c r="C176" s="45" t="s">
        <v>158</v>
      </c>
      <c r="D176" s="61" t="s">
        <v>2902</v>
      </c>
      <c r="E176" s="11" t="s">
        <v>13</v>
      </c>
    </row>
    <row r="177">
      <c r="B177" s="1" t="s">
        <v>2861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2126</v>
      </c>
      <c r="C179" s="57" t="s">
        <v>233</v>
      </c>
      <c r="D179" s="61" t="s">
        <v>2904</v>
      </c>
      <c r="E179" s="33" t="s">
        <v>29</v>
      </c>
    </row>
    <row r="180">
      <c r="B180" s="61" t="s">
        <v>2905</v>
      </c>
      <c r="C180" s="57" t="s">
        <v>576</v>
      </c>
      <c r="D180" s="61" t="s">
        <v>2906</v>
      </c>
      <c r="E180" s="33" t="s">
        <v>33</v>
      </c>
    </row>
    <row r="181">
      <c r="B181" s="61" t="s">
        <v>2907</v>
      </c>
      <c r="C181" s="57" t="s">
        <v>23</v>
      </c>
      <c r="D181" s="61" t="s">
        <v>2126</v>
      </c>
      <c r="E181" s="33" t="s">
        <v>29</v>
      </c>
    </row>
    <row r="182">
      <c r="B182" s="61" t="s">
        <v>2905</v>
      </c>
      <c r="C182" s="57" t="s">
        <v>219</v>
      </c>
      <c r="D182" s="61" t="s">
        <v>2904</v>
      </c>
      <c r="E182" s="33" t="s">
        <v>33</v>
      </c>
    </row>
    <row r="183">
      <c r="B183" s="61" t="s">
        <v>2907</v>
      </c>
      <c r="C183" s="57" t="s">
        <v>440</v>
      </c>
      <c r="D183" s="61" t="s">
        <v>2906</v>
      </c>
      <c r="E183" s="33" t="s">
        <v>29</v>
      </c>
    </row>
    <row r="184">
      <c r="B184" s="61" t="s">
        <v>2905</v>
      </c>
      <c r="C184" s="57" t="s">
        <v>7</v>
      </c>
      <c r="D184" s="61" t="s">
        <v>2126</v>
      </c>
      <c r="E184" s="33" t="s">
        <v>33</v>
      </c>
    </row>
    <row r="185">
      <c r="B185" s="61" t="s">
        <v>2907</v>
      </c>
      <c r="C185" s="57" t="s">
        <v>198</v>
      </c>
      <c r="D185" s="61" t="s">
        <v>2904</v>
      </c>
      <c r="E185" s="33" t="s">
        <v>29</v>
      </c>
    </row>
    <row r="186">
      <c r="B186" s="61" t="s">
        <v>2906</v>
      </c>
      <c r="C186" s="57" t="s">
        <v>336</v>
      </c>
      <c r="D186" s="61" t="s">
        <v>2126</v>
      </c>
      <c r="E186" s="33" t="s">
        <v>33</v>
      </c>
      <c r="G186" s="50"/>
    </row>
    <row r="187">
      <c r="B187" s="61" t="s">
        <v>2907</v>
      </c>
      <c r="C187" s="57" t="s">
        <v>194</v>
      </c>
      <c r="D187" s="61" t="s">
        <v>2905</v>
      </c>
      <c r="E187" s="33" t="s">
        <v>29</v>
      </c>
    </row>
    <row r="188">
      <c r="B188" s="61" t="s">
        <v>2906</v>
      </c>
      <c r="C188" s="57" t="s">
        <v>41</v>
      </c>
      <c r="D188" s="61" t="s">
        <v>2904</v>
      </c>
      <c r="E188" s="33" t="s">
        <v>33</v>
      </c>
    </row>
    <row r="189">
      <c r="B189" s="61" t="s">
        <v>2904</v>
      </c>
      <c r="C189" s="57" t="s">
        <v>18</v>
      </c>
      <c r="D189" s="61" t="s">
        <v>2126</v>
      </c>
      <c r="E189" s="33" t="s">
        <v>29</v>
      </c>
    </row>
    <row r="190">
      <c r="B190" s="61" t="s">
        <v>2906</v>
      </c>
      <c r="C190" s="57" t="s">
        <v>17</v>
      </c>
      <c r="D190" s="61" t="s">
        <v>2905</v>
      </c>
      <c r="E190" s="33" t="s">
        <v>33</v>
      </c>
    </row>
    <row r="191">
      <c r="B191" s="61" t="s">
        <v>2126</v>
      </c>
      <c r="C191" s="45" t="s">
        <v>173</v>
      </c>
      <c r="D191" s="61" t="s">
        <v>2907</v>
      </c>
      <c r="E191" s="33" t="s">
        <v>29</v>
      </c>
    </row>
    <row r="192">
      <c r="B192" s="61" t="s">
        <v>2904</v>
      </c>
      <c r="C192" s="45" t="s">
        <v>554</v>
      </c>
      <c r="D192" s="61" t="s">
        <v>2905</v>
      </c>
      <c r="E192" s="33" t="s">
        <v>33</v>
      </c>
    </row>
    <row r="193">
      <c r="B193" s="61" t="s">
        <v>2906</v>
      </c>
      <c r="C193" s="45" t="s">
        <v>515</v>
      </c>
      <c r="D193" s="61" t="s">
        <v>2907</v>
      </c>
      <c r="E193" s="33" t="s">
        <v>29</v>
      </c>
      <c r="G193" s="50"/>
    </row>
    <row r="194">
      <c r="B194" s="61" t="s">
        <v>2126</v>
      </c>
      <c r="C194" s="45" t="s">
        <v>20</v>
      </c>
      <c r="D194" s="61" t="s">
        <v>2905</v>
      </c>
      <c r="E194" s="33" t="s">
        <v>33</v>
      </c>
    </row>
    <row r="195">
      <c r="B195" s="61" t="s">
        <v>2904</v>
      </c>
      <c r="C195" s="45" t="s">
        <v>534</v>
      </c>
      <c r="D195" s="61" t="s">
        <v>2907</v>
      </c>
      <c r="E195" s="33" t="s">
        <v>29</v>
      </c>
    </row>
    <row r="196">
      <c r="B196" s="61" t="s">
        <v>2126</v>
      </c>
      <c r="C196" s="45" t="s">
        <v>182</v>
      </c>
      <c r="D196" s="61" t="s">
        <v>2906</v>
      </c>
      <c r="E196" s="33" t="s">
        <v>33</v>
      </c>
    </row>
    <row r="197">
      <c r="B197" s="61" t="s">
        <v>2905</v>
      </c>
      <c r="C197" s="45" t="s">
        <v>229</v>
      </c>
      <c r="D197" s="61" t="s">
        <v>2907</v>
      </c>
      <c r="E197" s="33" t="s">
        <v>29</v>
      </c>
      <c r="F197" s="50" t="s">
        <v>514</v>
      </c>
    </row>
    <row r="198">
      <c r="B198" s="61" t="s">
        <v>2904</v>
      </c>
      <c r="C198" s="45" t="s">
        <v>41</v>
      </c>
      <c r="D198" s="61" t="s">
        <v>2906</v>
      </c>
      <c r="E198" s="33" t="s">
        <v>33</v>
      </c>
    </row>
    <row r="199">
      <c r="B199" s="1" t="s">
        <v>2862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1156</v>
      </c>
      <c r="C201" s="57" t="s">
        <v>24</v>
      </c>
      <c r="D201" s="61" t="s">
        <v>1798</v>
      </c>
      <c r="E201" s="33" t="s">
        <v>29</v>
      </c>
    </row>
    <row r="202">
      <c r="B202" s="61" t="s">
        <v>2905</v>
      </c>
      <c r="C202" s="57" t="s">
        <v>271</v>
      </c>
      <c r="D202" s="61" t="s">
        <v>2031</v>
      </c>
      <c r="E202" s="33" t="s">
        <v>33</v>
      </c>
    </row>
    <row r="203">
      <c r="B203" s="61" t="s">
        <v>2866</v>
      </c>
      <c r="C203" s="57" t="s">
        <v>193</v>
      </c>
      <c r="D203" s="61" t="s">
        <v>1156</v>
      </c>
      <c r="E203" s="33" t="s">
        <v>29</v>
      </c>
    </row>
    <row r="204">
      <c r="B204" s="61" t="s">
        <v>2905</v>
      </c>
      <c r="C204" s="57" t="s">
        <v>280</v>
      </c>
      <c r="D204" s="61" t="s">
        <v>1798</v>
      </c>
      <c r="E204" s="33" t="s">
        <v>33</v>
      </c>
    </row>
    <row r="205">
      <c r="B205" s="61" t="s">
        <v>2866</v>
      </c>
      <c r="C205" s="57" t="s">
        <v>790</v>
      </c>
      <c r="D205" s="61" t="s">
        <v>2031</v>
      </c>
      <c r="E205" s="33" t="s">
        <v>29</v>
      </c>
    </row>
    <row r="206">
      <c r="B206" s="61" t="s">
        <v>2905</v>
      </c>
      <c r="C206" s="57" t="s">
        <v>418</v>
      </c>
      <c r="D206" s="61" t="s">
        <v>1156</v>
      </c>
      <c r="E206" s="33" t="s">
        <v>33</v>
      </c>
    </row>
    <row r="207">
      <c r="B207" s="61" t="s">
        <v>2866</v>
      </c>
      <c r="C207" s="57" t="s">
        <v>173</v>
      </c>
      <c r="D207" s="61" t="s">
        <v>1798</v>
      </c>
      <c r="E207" s="33" t="s">
        <v>29</v>
      </c>
    </row>
    <row r="208">
      <c r="B208" s="61" t="s">
        <v>2031</v>
      </c>
      <c r="C208" s="57" t="s">
        <v>882</v>
      </c>
      <c r="D208" s="61" t="s">
        <v>1156</v>
      </c>
      <c r="E208" s="33" t="s">
        <v>33</v>
      </c>
    </row>
    <row r="209">
      <c r="B209" s="61" t="s">
        <v>2866</v>
      </c>
      <c r="C209" s="57" t="s">
        <v>173</v>
      </c>
      <c r="D209" s="61" t="s">
        <v>2905</v>
      </c>
      <c r="E209" s="33" t="s">
        <v>29</v>
      </c>
    </row>
    <row r="210">
      <c r="B210" s="61" t="s">
        <v>2031</v>
      </c>
      <c r="C210" s="57" t="s">
        <v>24</v>
      </c>
      <c r="D210" s="61" t="s">
        <v>1798</v>
      </c>
      <c r="E210" s="33" t="s">
        <v>33</v>
      </c>
    </row>
    <row r="211">
      <c r="B211" s="61" t="s">
        <v>1798</v>
      </c>
      <c r="C211" s="57" t="s">
        <v>27</v>
      </c>
      <c r="D211" s="61" t="s">
        <v>1156</v>
      </c>
      <c r="E211" s="33" t="s">
        <v>29</v>
      </c>
    </row>
    <row r="212">
      <c r="B212" s="61" t="s">
        <v>2031</v>
      </c>
      <c r="C212" s="57" t="s">
        <v>198</v>
      </c>
      <c r="D212" s="61" t="s">
        <v>2905</v>
      </c>
      <c r="E212" s="33" t="s">
        <v>33</v>
      </c>
    </row>
    <row r="213">
      <c r="B213" s="61" t="s">
        <v>1156</v>
      </c>
      <c r="C213" s="45" t="s">
        <v>525</v>
      </c>
      <c r="D213" s="61" t="s">
        <v>2866</v>
      </c>
      <c r="E213" s="33" t="s">
        <v>29</v>
      </c>
    </row>
    <row r="214">
      <c r="B214" s="61" t="s">
        <v>1798</v>
      </c>
      <c r="C214" s="45" t="s">
        <v>196</v>
      </c>
      <c r="D214" s="61" t="s">
        <v>2905</v>
      </c>
      <c r="E214" s="33" t="s">
        <v>33</v>
      </c>
    </row>
    <row r="215">
      <c r="B215" s="61" t="s">
        <v>2031</v>
      </c>
      <c r="C215" s="45" t="s">
        <v>177</v>
      </c>
      <c r="D215" s="61" t="s">
        <v>2866</v>
      </c>
      <c r="E215" s="33" t="s">
        <v>29</v>
      </c>
    </row>
    <row r="216">
      <c r="B216" s="61" t="s">
        <v>1156</v>
      </c>
      <c r="C216" s="45" t="s">
        <v>155</v>
      </c>
      <c r="D216" s="61" t="s">
        <v>2905</v>
      </c>
      <c r="E216" s="33" t="s">
        <v>33</v>
      </c>
    </row>
    <row r="217">
      <c r="B217" s="61" t="s">
        <v>1798</v>
      </c>
      <c r="C217" s="45" t="s">
        <v>155</v>
      </c>
      <c r="D217" s="61" t="s">
        <v>2866</v>
      </c>
      <c r="E217" s="33" t="s">
        <v>29</v>
      </c>
    </row>
    <row r="218">
      <c r="B218" s="61" t="s">
        <v>1156</v>
      </c>
      <c r="C218" s="45" t="s">
        <v>227</v>
      </c>
      <c r="D218" s="61" t="s">
        <v>2031</v>
      </c>
      <c r="E218" s="33" t="s">
        <v>33</v>
      </c>
    </row>
    <row r="219">
      <c r="B219" s="61" t="s">
        <v>2905</v>
      </c>
      <c r="C219" s="45" t="s">
        <v>194</v>
      </c>
      <c r="D219" s="61" t="s">
        <v>2866</v>
      </c>
      <c r="E219" s="33" t="s">
        <v>29</v>
      </c>
    </row>
    <row r="220">
      <c r="B220" s="61" t="s">
        <v>1798</v>
      </c>
      <c r="C220" s="45" t="s">
        <v>225</v>
      </c>
      <c r="D220" s="61" t="s">
        <v>2031</v>
      </c>
      <c r="E220" s="33" t="s">
        <v>33</v>
      </c>
    </row>
    <row r="221">
      <c r="B221" s="52" t="s">
        <v>2495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897</v>
      </c>
      <c r="C223" s="45" t="s">
        <v>244</v>
      </c>
      <c r="D223" s="62" t="s">
        <v>2908</v>
      </c>
      <c r="E223" s="11" t="s">
        <v>9</v>
      </c>
    </row>
    <row r="224">
      <c r="B224" s="62" t="s">
        <v>2909</v>
      </c>
      <c r="C224" s="45" t="s">
        <v>27</v>
      </c>
      <c r="D224" s="62" t="s">
        <v>1654</v>
      </c>
      <c r="E224" s="11" t="s">
        <v>13</v>
      </c>
    </row>
    <row r="225">
      <c r="B225" s="62" t="s">
        <v>1057</v>
      </c>
      <c r="C225" s="45" t="s">
        <v>162</v>
      </c>
      <c r="D225" s="62" t="s">
        <v>897</v>
      </c>
      <c r="E225" s="11" t="s">
        <v>9</v>
      </c>
    </row>
    <row r="226">
      <c r="B226" s="62" t="s">
        <v>2909</v>
      </c>
      <c r="C226" s="45" t="s">
        <v>185</v>
      </c>
      <c r="D226" s="62" t="s">
        <v>2908</v>
      </c>
      <c r="E226" s="11" t="s">
        <v>13</v>
      </c>
    </row>
    <row r="227">
      <c r="B227" s="62" t="s">
        <v>1057</v>
      </c>
      <c r="C227" s="45" t="s">
        <v>23</v>
      </c>
      <c r="D227" s="62" t="s">
        <v>1654</v>
      </c>
      <c r="E227" s="11" t="s">
        <v>9</v>
      </c>
    </row>
    <row r="228">
      <c r="B228" s="62" t="s">
        <v>2909</v>
      </c>
      <c r="C228" s="45" t="s">
        <v>764</v>
      </c>
      <c r="D228" s="62" t="s">
        <v>897</v>
      </c>
      <c r="E228" s="11" t="s">
        <v>13</v>
      </c>
    </row>
    <row r="229">
      <c r="B229" s="62" t="s">
        <v>1057</v>
      </c>
      <c r="C229" s="45" t="s">
        <v>292</v>
      </c>
      <c r="D229" s="62" t="s">
        <v>2908</v>
      </c>
      <c r="E229" s="11" t="s">
        <v>9</v>
      </c>
    </row>
    <row r="230">
      <c r="B230" s="62" t="s">
        <v>1654</v>
      </c>
      <c r="C230" s="45" t="s">
        <v>185</v>
      </c>
      <c r="D230" s="62" t="s">
        <v>897</v>
      </c>
      <c r="E230" s="11" t="s">
        <v>13</v>
      </c>
    </row>
    <row r="231">
      <c r="B231" s="62" t="s">
        <v>1057</v>
      </c>
      <c r="C231" s="45" t="s">
        <v>20</v>
      </c>
      <c r="D231" s="62" t="s">
        <v>2909</v>
      </c>
      <c r="E231" s="11" t="s">
        <v>9</v>
      </c>
    </row>
    <row r="232">
      <c r="B232" s="62" t="s">
        <v>1654</v>
      </c>
      <c r="C232" s="45" t="s">
        <v>38</v>
      </c>
      <c r="D232" s="62" t="s">
        <v>2908</v>
      </c>
      <c r="E232" s="11" t="s">
        <v>13</v>
      </c>
    </row>
    <row r="233">
      <c r="B233" s="62" t="s">
        <v>2908</v>
      </c>
      <c r="C233" s="45" t="s">
        <v>216</v>
      </c>
      <c r="D233" s="62" t="s">
        <v>897</v>
      </c>
      <c r="E233" s="11" t="s">
        <v>9</v>
      </c>
    </row>
    <row r="234">
      <c r="B234" s="62" t="s">
        <v>1654</v>
      </c>
      <c r="C234" s="45" t="s">
        <v>24</v>
      </c>
      <c r="D234" s="62" t="s">
        <v>2909</v>
      </c>
      <c r="E234" s="11" t="s">
        <v>13</v>
      </c>
    </row>
    <row r="235">
      <c r="B235" s="62" t="s">
        <v>897</v>
      </c>
      <c r="C235" s="45" t="s">
        <v>207</v>
      </c>
      <c r="D235" s="62" t="s">
        <v>1057</v>
      </c>
      <c r="E235" s="11" t="s">
        <v>9</v>
      </c>
    </row>
    <row r="236">
      <c r="B236" s="62" t="s">
        <v>2908</v>
      </c>
      <c r="C236" s="45" t="s">
        <v>524</v>
      </c>
      <c r="D236" s="62" t="s">
        <v>2909</v>
      </c>
      <c r="E236" s="11" t="s">
        <v>13</v>
      </c>
    </row>
    <row r="237">
      <c r="B237" s="62" t="s">
        <v>1654</v>
      </c>
      <c r="C237" s="45" t="s">
        <v>830</v>
      </c>
      <c r="D237" s="62" t="s">
        <v>1057</v>
      </c>
      <c r="E237" s="11" t="s">
        <v>9</v>
      </c>
    </row>
    <row r="238">
      <c r="B238" s="62" t="s">
        <v>897</v>
      </c>
      <c r="C238" s="45" t="s">
        <v>302</v>
      </c>
      <c r="D238" s="62" t="s">
        <v>2909</v>
      </c>
      <c r="E238" s="11" t="s">
        <v>13</v>
      </c>
    </row>
    <row r="239">
      <c r="B239" s="62" t="s">
        <v>2908</v>
      </c>
      <c r="C239" s="45" t="s">
        <v>466</v>
      </c>
      <c r="D239" s="62" t="s">
        <v>1057</v>
      </c>
      <c r="E239" s="11" t="s">
        <v>9</v>
      </c>
    </row>
    <row r="240">
      <c r="B240" s="62" t="s">
        <v>897</v>
      </c>
      <c r="C240" s="45" t="s">
        <v>185</v>
      </c>
      <c r="D240" s="62" t="s">
        <v>1654</v>
      </c>
      <c r="E240" s="11" t="s">
        <v>13</v>
      </c>
    </row>
    <row r="241">
      <c r="B241" s="62" t="s">
        <v>2909</v>
      </c>
      <c r="C241" s="45" t="s">
        <v>162</v>
      </c>
      <c r="D241" s="62" t="s">
        <v>1057</v>
      </c>
      <c r="E241" s="11" t="s">
        <v>9</v>
      </c>
    </row>
    <row r="242">
      <c r="B242" s="62" t="s">
        <v>2908</v>
      </c>
      <c r="C242" s="45" t="s">
        <v>184</v>
      </c>
      <c r="D242" s="62" t="s">
        <v>1654</v>
      </c>
      <c r="E242" s="11" t="s">
        <v>13</v>
      </c>
    </row>
    <row r="243">
      <c r="B243" s="52" t="s">
        <v>2910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1828</v>
      </c>
      <c r="C245" s="45" t="s">
        <v>248</v>
      </c>
      <c r="D245" s="62" t="s">
        <v>2911</v>
      </c>
      <c r="E245" s="11" t="s">
        <v>9</v>
      </c>
    </row>
    <row r="246">
      <c r="B246" s="62" t="s">
        <v>2912</v>
      </c>
      <c r="C246" s="45" t="s">
        <v>220</v>
      </c>
      <c r="D246" s="62" t="s">
        <v>2913</v>
      </c>
      <c r="E246" s="11" t="s">
        <v>13</v>
      </c>
    </row>
    <row r="247">
      <c r="B247" s="62" t="s">
        <v>1647</v>
      </c>
      <c r="C247" s="45" t="s">
        <v>18</v>
      </c>
      <c r="D247" s="62" t="s">
        <v>1828</v>
      </c>
      <c r="E247" s="11" t="s">
        <v>9</v>
      </c>
    </row>
    <row r="248">
      <c r="B248" s="62" t="s">
        <v>2912</v>
      </c>
      <c r="C248" s="45" t="s">
        <v>39</v>
      </c>
      <c r="D248" s="62" t="s">
        <v>2911</v>
      </c>
      <c r="E248" s="11" t="s">
        <v>13</v>
      </c>
    </row>
    <row r="249">
      <c r="B249" s="62" t="s">
        <v>1647</v>
      </c>
      <c r="C249" s="45" t="s">
        <v>41</v>
      </c>
      <c r="D249" s="62" t="s">
        <v>2913</v>
      </c>
      <c r="E249" s="11" t="s">
        <v>9</v>
      </c>
    </row>
    <row r="250">
      <c r="B250" s="62" t="s">
        <v>2912</v>
      </c>
      <c r="C250" s="45" t="s">
        <v>640</v>
      </c>
      <c r="D250" s="62" t="s">
        <v>1828</v>
      </c>
      <c r="E250" s="11" t="s">
        <v>13</v>
      </c>
    </row>
    <row r="251">
      <c r="B251" s="62" t="s">
        <v>1647</v>
      </c>
      <c r="C251" s="45" t="s">
        <v>155</v>
      </c>
      <c r="D251" s="62" t="s">
        <v>2911</v>
      </c>
      <c r="E251" s="11" t="s">
        <v>9</v>
      </c>
    </row>
    <row r="252">
      <c r="B252" s="62" t="s">
        <v>2913</v>
      </c>
      <c r="C252" s="45" t="s">
        <v>166</v>
      </c>
      <c r="D252" s="62" t="s">
        <v>1828</v>
      </c>
      <c r="E252" s="11" t="s">
        <v>13</v>
      </c>
    </row>
    <row r="253">
      <c r="B253" s="62" t="s">
        <v>1647</v>
      </c>
      <c r="C253" s="45" t="s">
        <v>7</v>
      </c>
      <c r="D253" s="62" t="s">
        <v>2912</v>
      </c>
      <c r="E253" s="11" t="s">
        <v>9</v>
      </c>
    </row>
    <row r="254">
      <c r="B254" s="62" t="s">
        <v>2913</v>
      </c>
      <c r="C254" s="45" t="s">
        <v>207</v>
      </c>
      <c r="D254" s="62" t="s">
        <v>2911</v>
      </c>
      <c r="E254" s="11" t="s">
        <v>13</v>
      </c>
    </row>
    <row r="255">
      <c r="B255" s="62" t="s">
        <v>2911</v>
      </c>
      <c r="C255" s="45" t="s">
        <v>417</v>
      </c>
      <c r="D255" s="62" t="s">
        <v>1828</v>
      </c>
      <c r="E255" s="11" t="s">
        <v>9</v>
      </c>
    </row>
    <row r="256">
      <c r="B256" s="62" t="s">
        <v>2913</v>
      </c>
      <c r="C256" s="45" t="s">
        <v>573</v>
      </c>
      <c r="D256" s="62" t="s">
        <v>2912</v>
      </c>
      <c r="E256" s="11" t="s">
        <v>13</v>
      </c>
    </row>
    <row r="257">
      <c r="B257" s="62" t="s">
        <v>1828</v>
      </c>
      <c r="C257" s="45" t="s">
        <v>324</v>
      </c>
      <c r="D257" s="62" t="s">
        <v>1647</v>
      </c>
      <c r="E257" s="11" t="s">
        <v>9</v>
      </c>
    </row>
    <row r="258">
      <c r="B258" s="62" t="s">
        <v>2911</v>
      </c>
      <c r="C258" s="45" t="s">
        <v>291</v>
      </c>
      <c r="D258" s="62" t="s">
        <v>2912</v>
      </c>
      <c r="E258" s="11" t="s">
        <v>13</v>
      </c>
    </row>
    <row r="259">
      <c r="B259" s="62" t="s">
        <v>2913</v>
      </c>
      <c r="C259" s="45" t="s">
        <v>16</v>
      </c>
      <c r="D259" s="62" t="s">
        <v>1647</v>
      </c>
      <c r="E259" s="11" t="s">
        <v>9</v>
      </c>
    </row>
    <row r="260">
      <c r="B260" s="62" t="s">
        <v>1828</v>
      </c>
      <c r="C260" s="45" t="s">
        <v>218</v>
      </c>
      <c r="D260" s="62" t="s">
        <v>2912</v>
      </c>
      <c r="E260" s="11" t="s">
        <v>13</v>
      </c>
    </row>
    <row r="261">
      <c r="B261" s="62" t="s">
        <v>2911</v>
      </c>
      <c r="C261" s="45" t="s">
        <v>181</v>
      </c>
      <c r="D261" s="62" t="s">
        <v>1647</v>
      </c>
      <c r="E261" s="11" t="s">
        <v>9</v>
      </c>
    </row>
    <row r="262">
      <c r="B262" s="62" t="s">
        <v>1828</v>
      </c>
      <c r="C262" s="45" t="s">
        <v>640</v>
      </c>
      <c r="D262" s="62" t="s">
        <v>2913</v>
      </c>
      <c r="E262" s="11" t="s">
        <v>13</v>
      </c>
    </row>
    <row r="263">
      <c r="B263" s="62" t="s">
        <v>2912</v>
      </c>
      <c r="C263" s="45" t="s">
        <v>271</v>
      </c>
      <c r="D263" s="62" t="s">
        <v>1647</v>
      </c>
      <c r="E263" s="11" t="s">
        <v>9</v>
      </c>
    </row>
    <row r="264">
      <c r="B264" s="62" t="s">
        <v>2911</v>
      </c>
      <c r="C264" s="45" t="s">
        <v>487</v>
      </c>
      <c r="D264" s="62" t="s">
        <v>2913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2133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2914</v>
      </c>
      <c r="C3" s="105" t="s">
        <v>17</v>
      </c>
      <c r="D3" s="62" t="s">
        <v>138</v>
      </c>
      <c r="E3" s="11" t="s">
        <v>9</v>
      </c>
    </row>
    <row r="4">
      <c r="A4" s="90"/>
      <c r="B4" s="62" t="s">
        <v>2879</v>
      </c>
      <c r="C4" s="57" t="s">
        <v>27</v>
      </c>
      <c r="D4" s="61" t="s">
        <v>1843</v>
      </c>
      <c r="E4" s="11" t="s">
        <v>13</v>
      </c>
    </row>
    <row r="5">
      <c r="A5" s="90"/>
      <c r="B5" s="62" t="s">
        <v>1824</v>
      </c>
      <c r="C5" s="57" t="s">
        <v>291</v>
      </c>
      <c r="D5" s="62" t="s">
        <v>2914</v>
      </c>
      <c r="E5" s="11" t="s">
        <v>9</v>
      </c>
    </row>
    <row r="6">
      <c r="A6" s="90"/>
      <c r="B6" s="62" t="s">
        <v>2879</v>
      </c>
      <c r="C6" s="57" t="s">
        <v>185</v>
      </c>
      <c r="D6" s="62" t="s">
        <v>138</v>
      </c>
      <c r="E6" s="11" t="s">
        <v>13</v>
      </c>
    </row>
    <row r="7">
      <c r="A7" s="90"/>
      <c r="B7" s="62" t="s">
        <v>1824</v>
      </c>
      <c r="C7" s="57" t="s">
        <v>17</v>
      </c>
      <c r="D7" s="61" t="s">
        <v>1843</v>
      </c>
      <c r="E7" s="11" t="s">
        <v>9</v>
      </c>
    </row>
    <row r="8">
      <c r="A8" s="90"/>
      <c r="B8" s="62" t="s">
        <v>2879</v>
      </c>
      <c r="C8" s="57" t="s">
        <v>280</v>
      </c>
      <c r="D8" s="62" t="s">
        <v>2914</v>
      </c>
      <c r="E8" s="11" t="s">
        <v>13</v>
      </c>
    </row>
    <row r="9">
      <c r="A9" s="90"/>
      <c r="B9" s="62" t="s">
        <v>1824</v>
      </c>
      <c r="C9" s="57" t="s">
        <v>279</v>
      </c>
      <c r="D9" s="62" t="s">
        <v>138</v>
      </c>
      <c r="E9" s="11" t="s">
        <v>9</v>
      </c>
    </row>
    <row r="10">
      <c r="A10" s="90"/>
      <c r="B10" s="61" t="s">
        <v>1843</v>
      </c>
      <c r="C10" s="57" t="s">
        <v>316</v>
      </c>
      <c r="D10" s="62" t="s">
        <v>2914</v>
      </c>
      <c r="E10" s="11" t="s">
        <v>13</v>
      </c>
    </row>
    <row r="11">
      <c r="A11" s="90"/>
      <c r="B11" s="62" t="s">
        <v>1824</v>
      </c>
      <c r="C11" s="57" t="s">
        <v>465</v>
      </c>
      <c r="D11" s="62" t="s">
        <v>2879</v>
      </c>
      <c r="E11" s="11" t="s">
        <v>9</v>
      </c>
    </row>
    <row r="12">
      <c r="A12" s="90"/>
      <c r="B12" s="61" t="s">
        <v>1843</v>
      </c>
      <c r="C12" s="57" t="s">
        <v>225</v>
      </c>
      <c r="D12" s="62" t="s">
        <v>138</v>
      </c>
      <c r="E12" s="11" t="s">
        <v>13</v>
      </c>
    </row>
    <row r="13">
      <c r="A13" s="90"/>
      <c r="B13" s="62" t="s">
        <v>138</v>
      </c>
      <c r="C13" s="57" t="s">
        <v>162</v>
      </c>
      <c r="D13" s="62" t="s">
        <v>2914</v>
      </c>
      <c r="E13" s="11" t="s">
        <v>9</v>
      </c>
    </row>
    <row r="14">
      <c r="A14" s="90"/>
      <c r="B14" s="61" t="s">
        <v>1843</v>
      </c>
      <c r="C14" s="57" t="s">
        <v>43</v>
      </c>
      <c r="D14" s="62" t="s">
        <v>2879</v>
      </c>
      <c r="E14" s="11" t="s">
        <v>13</v>
      </c>
    </row>
    <row r="15">
      <c r="A15" s="90"/>
      <c r="B15" s="62" t="s">
        <v>2914</v>
      </c>
      <c r="C15" s="45" t="s">
        <v>185</v>
      </c>
      <c r="D15" s="62" t="s">
        <v>1824</v>
      </c>
      <c r="E15" s="11" t="s">
        <v>9</v>
      </c>
    </row>
    <row r="16">
      <c r="A16" s="90"/>
      <c r="B16" s="62" t="s">
        <v>138</v>
      </c>
      <c r="C16" s="45" t="s">
        <v>286</v>
      </c>
      <c r="D16" s="62" t="s">
        <v>2879</v>
      </c>
      <c r="E16" s="11" t="s">
        <v>13</v>
      </c>
    </row>
    <row r="17">
      <c r="A17" s="90"/>
      <c r="B17" s="61" t="s">
        <v>1843</v>
      </c>
      <c r="C17" s="45" t="s">
        <v>18</v>
      </c>
      <c r="D17" s="62" t="s">
        <v>1824</v>
      </c>
      <c r="E17" s="11" t="s">
        <v>9</v>
      </c>
    </row>
    <row r="18">
      <c r="A18" s="90"/>
      <c r="B18" s="62" t="s">
        <v>2914</v>
      </c>
      <c r="C18" s="45" t="s">
        <v>279</v>
      </c>
      <c r="D18" s="62" t="s">
        <v>2879</v>
      </c>
      <c r="E18" s="11" t="s">
        <v>13</v>
      </c>
    </row>
    <row r="19">
      <c r="A19" s="90"/>
      <c r="B19" s="62" t="s">
        <v>138</v>
      </c>
      <c r="C19" s="45" t="s">
        <v>162</v>
      </c>
      <c r="D19" s="62" t="s">
        <v>1824</v>
      </c>
      <c r="E19" s="11" t="s">
        <v>9</v>
      </c>
    </row>
    <row r="20">
      <c r="A20" s="90"/>
      <c r="B20" s="62" t="s">
        <v>2914</v>
      </c>
      <c r="C20" s="45" t="s">
        <v>182</v>
      </c>
      <c r="D20" s="61" t="s">
        <v>1843</v>
      </c>
      <c r="E20" s="11" t="s">
        <v>13</v>
      </c>
    </row>
    <row r="21">
      <c r="A21" s="90"/>
      <c r="B21" s="62" t="s">
        <v>2879</v>
      </c>
      <c r="C21" s="45" t="s">
        <v>20</v>
      </c>
      <c r="D21" s="62" t="s">
        <v>1824</v>
      </c>
      <c r="E21" s="11" t="s">
        <v>9</v>
      </c>
    </row>
    <row r="22">
      <c r="A22" s="90"/>
      <c r="B22" s="62" t="s">
        <v>138</v>
      </c>
      <c r="C22" s="45" t="s">
        <v>193</v>
      </c>
      <c r="D22" s="61" t="s">
        <v>1843</v>
      </c>
      <c r="E22" s="11" t="s">
        <v>13</v>
      </c>
    </row>
    <row r="23">
      <c r="A23" s="90"/>
      <c r="B23" s="1" t="s">
        <v>2576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2829</v>
      </c>
      <c r="C25" s="57" t="s">
        <v>38</v>
      </c>
      <c r="D25" s="62" t="s">
        <v>1202</v>
      </c>
      <c r="E25" s="11" t="s">
        <v>9</v>
      </c>
    </row>
    <row r="26">
      <c r="A26" s="90"/>
      <c r="B26" s="62" t="s">
        <v>2830</v>
      </c>
      <c r="C26" s="57" t="s">
        <v>220</v>
      </c>
      <c r="D26" s="61" t="s">
        <v>2915</v>
      </c>
      <c r="E26" s="11" t="s">
        <v>13</v>
      </c>
    </row>
    <row r="27">
      <c r="A27" s="90"/>
      <c r="B27" s="62" t="s">
        <v>2087</v>
      </c>
      <c r="C27" s="57" t="s">
        <v>357</v>
      </c>
      <c r="D27" s="62" t="s">
        <v>2829</v>
      </c>
      <c r="E27" s="11" t="s">
        <v>9</v>
      </c>
    </row>
    <row r="28">
      <c r="A28" s="90"/>
      <c r="B28" s="62" t="s">
        <v>2830</v>
      </c>
      <c r="C28" s="57" t="s">
        <v>23</v>
      </c>
      <c r="D28" s="62" t="s">
        <v>1202</v>
      </c>
      <c r="E28" s="11" t="s">
        <v>13</v>
      </c>
    </row>
    <row r="29">
      <c r="A29" s="90"/>
      <c r="B29" s="62" t="s">
        <v>2087</v>
      </c>
      <c r="C29" s="57" t="s">
        <v>162</v>
      </c>
      <c r="D29" s="61" t="s">
        <v>2915</v>
      </c>
      <c r="E29" s="11" t="s">
        <v>9</v>
      </c>
    </row>
    <row r="30">
      <c r="A30" s="90"/>
      <c r="B30" s="62" t="s">
        <v>2830</v>
      </c>
      <c r="C30" s="57" t="s">
        <v>24</v>
      </c>
      <c r="D30" s="62" t="s">
        <v>2829</v>
      </c>
      <c r="E30" s="11" t="s">
        <v>13</v>
      </c>
    </row>
    <row r="31">
      <c r="A31" s="90"/>
      <c r="B31" s="62" t="s">
        <v>2087</v>
      </c>
      <c r="C31" s="57" t="s">
        <v>210</v>
      </c>
      <c r="D31" s="62" t="s">
        <v>1202</v>
      </c>
      <c r="E31" s="11" t="s">
        <v>9</v>
      </c>
    </row>
    <row r="32">
      <c r="A32" s="90"/>
      <c r="B32" s="61" t="s">
        <v>2915</v>
      </c>
      <c r="C32" s="57" t="s">
        <v>1173</v>
      </c>
      <c r="D32" s="62" t="s">
        <v>2829</v>
      </c>
      <c r="E32" s="11" t="s">
        <v>13</v>
      </c>
    </row>
    <row r="33">
      <c r="A33" s="90"/>
      <c r="B33" s="62" t="s">
        <v>2087</v>
      </c>
      <c r="C33" s="57" t="s">
        <v>20</v>
      </c>
      <c r="D33" s="62" t="s">
        <v>2830</v>
      </c>
      <c r="E33" s="11" t="s">
        <v>9</v>
      </c>
    </row>
    <row r="34">
      <c r="A34" s="90"/>
      <c r="B34" s="61" t="s">
        <v>2915</v>
      </c>
      <c r="C34" s="57" t="s">
        <v>20</v>
      </c>
      <c r="D34" s="62" t="s">
        <v>1202</v>
      </c>
      <c r="E34" s="11" t="s">
        <v>13</v>
      </c>
    </row>
    <row r="35">
      <c r="A35" s="90"/>
      <c r="B35" s="62" t="s">
        <v>1202</v>
      </c>
      <c r="C35" s="57" t="s">
        <v>155</v>
      </c>
      <c r="D35" s="62" t="s">
        <v>2829</v>
      </c>
      <c r="E35" s="11" t="s">
        <v>9</v>
      </c>
    </row>
    <row r="36">
      <c r="A36" s="90"/>
      <c r="B36" s="61" t="s">
        <v>2915</v>
      </c>
      <c r="C36" s="57" t="s">
        <v>231</v>
      </c>
      <c r="D36" s="62" t="s">
        <v>2830</v>
      </c>
      <c r="E36" s="11" t="s">
        <v>13</v>
      </c>
    </row>
    <row r="37">
      <c r="A37" s="90"/>
      <c r="B37" s="62" t="s">
        <v>2829</v>
      </c>
      <c r="C37" s="45" t="s">
        <v>184</v>
      </c>
      <c r="D37" s="62" t="s">
        <v>2087</v>
      </c>
      <c r="E37" s="11" t="s">
        <v>9</v>
      </c>
    </row>
    <row r="38">
      <c r="A38" s="90"/>
      <c r="B38" s="62" t="s">
        <v>1202</v>
      </c>
      <c r="C38" s="45" t="s">
        <v>251</v>
      </c>
      <c r="D38" s="62" t="s">
        <v>2830</v>
      </c>
      <c r="E38" s="11" t="s">
        <v>13</v>
      </c>
    </row>
    <row r="39">
      <c r="A39" s="90"/>
      <c r="B39" s="61" t="s">
        <v>2915</v>
      </c>
      <c r="C39" s="45" t="s">
        <v>219</v>
      </c>
      <c r="D39" s="62" t="s">
        <v>2087</v>
      </c>
      <c r="E39" s="11" t="s">
        <v>9</v>
      </c>
    </row>
    <row r="40">
      <c r="A40" s="90"/>
      <c r="B40" s="62" t="s">
        <v>2829</v>
      </c>
      <c r="C40" s="45" t="s">
        <v>161</v>
      </c>
      <c r="D40" s="62" t="s">
        <v>2830</v>
      </c>
      <c r="E40" s="11" t="s">
        <v>13</v>
      </c>
    </row>
    <row r="41">
      <c r="A41" s="90"/>
      <c r="B41" s="62" t="s">
        <v>1202</v>
      </c>
      <c r="C41" s="45" t="s">
        <v>20</v>
      </c>
      <c r="D41" s="62" t="s">
        <v>2087</v>
      </c>
      <c r="E41" s="11" t="s">
        <v>9</v>
      </c>
    </row>
    <row r="42">
      <c r="A42" s="90"/>
      <c r="B42" s="62" t="s">
        <v>2829</v>
      </c>
      <c r="C42" s="45" t="s">
        <v>268</v>
      </c>
      <c r="D42" s="61" t="s">
        <v>2915</v>
      </c>
      <c r="E42" s="11" t="s">
        <v>13</v>
      </c>
    </row>
    <row r="43">
      <c r="A43" s="90"/>
      <c r="B43" s="62" t="s">
        <v>2830</v>
      </c>
      <c r="C43" s="45" t="s">
        <v>324</v>
      </c>
      <c r="D43" s="62" t="s">
        <v>2087</v>
      </c>
      <c r="E43" s="11" t="s">
        <v>9</v>
      </c>
    </row>
    <row r="44">
      <c r="A44" s="91"/>
      <c r="B44" s="62" t="s">
        <v>1202</v>
      </c>
      <c r="C44" s="45" t="s">
        <v>173</v>
      </c>
      <c r="D44" s="61" t="s">
        <v>2915</v>
      </c>
      <c r="E44" s="11" t="s">
        <v>13</v>
      </c>
    </row>
    <row r="45">
      <c r="B45" s="1" t="s">
        <v>2260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2916</v>
      </c>
      <c r="C47" s="45" t="s">
        <v>316</v>
      </c>
      <c r="D47" s="61" t="s">
        <v>69</v>
      </c>
      <c r="E47" s="11" t="s">
        <v>9</v>
      </c>
    </row>
    <row r="48">
      <c r="B48" s="61" t="s">
        <v>2340</v>
      </c>
      <c r="C48" s="45" t="s">
        <v>344</v>
      </c>
      <c r="D48" s="61" t="s">
        <v>2337</v>
      </c>
      <c r="E48" s="11" t="s">
        <v>13</v>
      </c>
    </row>
    <row r="49">
      <c r="B49" s="61" t="s">
        <v>2917</v>
      </c>
      <c r="C49" s="45" t="s">
        <v>176</v>
      </c>
      <c r="D49" s="61" t="s">
        <v>2916</v>
      </c>
      <c r="E49" s="11" t="s">
        <v>9</v>
      </c>
    </row>
    <row r="50">
      <c r="B50" s="61" t="s">
        <v>2340</v>
      </c>
      <c r="C50" s="45" t="s">
        <v>158</v>
      </c>
      <c r="D50" s="61" t="s">
        <v>69</v>
      </c>
      <c r="E50" s="11" t="s">
        <v>13</v>
      </c>
    </row>
    <row r="51">
      <c r="B51" s="61" t="s">
        <v>2917</v>
      </c>
      <c r="C51" s="45" t="s">
        <v>162</v>
      </c>
      <c r="D51" s="61" t="s">
        <v>2337</v>
      </c>
      <c r="E51" s="11" t="s">
        <v>9</v>
      </c>
    </row>
    <row r="52">
      <c r="B52" s="61" t="s">
        <v>2340</v>
      </c>
      <c r="C52" s="45" t="s">
        <v>193</v>
      </c>
      <c r="D52" s="61" t="s">
        <v>2916</v>
      </c>
      <c r="E52" s="11" t="s">
        <v>13</v>
      </c>
    </row>
    <row r="53">
      <c r="B53" s="61" t="s">
        <v>2917</v>
      </c>
      <c r="C53" s="45" t="s">
        <v>18</v>
      </c>
      <c r="D53" s="61" t="s">
        <v>69</v>
      </c>
      <c r="E53" s="11" t="s">
        <v>9</v>
      </c>
    </row>
    <row r="54">
      <c r="B54" s="61" t="s">
        <v>2337</v>
      </c>
      <c r="C54" s="45" t="s">
        <v>20</v>
      </c>
      <c r="D54" s="61" t="s">
        <v>2916</v>
      </c>
      <c r="E54" s="11" t="s">
        <v>13</v>
      </c>
    </row>
    <row r="55">
      <c r="B55" s="61" t="s">
        <v>2917</v>
      </c>
      <c r="C55" s="45" t="s">
        <v>194</v>
      </c>
      <c r="D55" s="61" t="s">
        <v>2340</v>
      </c>
      <c r="E55" s="11" t="s">
        <v>9</v>
      </c>
    </row>
    <row r="56">
      <c r="B56" s="61" t="s">
        <v>2337</v>
      </c>
      <c r="C56" s="45" t="s">
        <v>245</v>
      </c>
      <c r="D56" s="61" t="s">
        <v>69</v>
      </c>
      <c r="E56" s="11" t="s">
        <v>13</v>
      </c>
    </row>
    <row r="57">
      <c r="B57" s="61" t="s">
        <v>69</v>
      </c>
      <c r="C57" s="45" t="s">
        <v>357</v>
      </c>
      <c r="D57" s="61" t="s">
        <v>2916</v>
      </c>
      <c r="E57" s="11" t="s">
        <v>9</v>
      </c>
    </row>
    <row r="58">
      <c r="B58" s="61" t="s">
        <v>2337</v>
      </c>
      <c r="C58" s="45" t="s">
        <v>230</v>
      </c>
      <c r="D58" s="61" t="s">
        <v>2340</v>
      </c>
      <c r="E58" s="11" t="s">
        <v>13</v>
      </c>
    </row>
    <row r="59">
      <c r="B59" s="61" t="s">
        <v>2916</v>
      </c>
      <c r="C59" s="45" t="s">
        <v>225</v>
      </c>
      <c r="D59" s="61" t="s">
        <v>2917</v>
      </c>
      <c r="E59" s="11" t="s">
        <v>9</v>
      </c>
    </row>
    <row r="60">
      <c r="B60" s="61" t="s">
        <v>69</v>
      </c>
      <c r="C60" s="45" t="s">
        <v>198</v>
      </c>
      <c r="D60" s="61" t="s">
        <v>2340</v>
      </c>
      <c r="E60" s="11" t="s">
        <v>13</v>
      </c>
    </row>
    <row r="61">
      <c r="B61" s="61" t="s">
        <v>2337</v>
      </c>
      <c r="C61" s="45" t="s">
        <v>244</v>
      </c>
      <c r="D61" s="61" t="s">
        <v>2917</v>
      </c>
      <c r="E61" s="11" t="s">
        <v>9</v>
      </c>
    </row>
    <row r="62">
      <c r="B62" s="61" t="s">
        <v>2916</v>
      </c>
      <c r="C62" s="45" t="s">
        <v>433</v>
      </c>
      <c r="D62" s="61" t="s">
        <v>2340</v>
      </c>
      <c r="E62" s="11" t="s">
        <v>13</v>
      </c>
    </row>
    <row r="63">
      <c r="B63" s="61" t="s">
        <v>69</v>
      </c>
      <c r="C63" s="45" t="s">
        <v>344</v>
      </c>
      <c r="D63" s="61" t="s">
        <v>2917</v>
      </c>
      <c r="E63" s="11" t="s">
        <v>9</v>
      </c>
    </row>
    <row r="64">
      <c r="B64" s="61" t="s">
        <v>2916</v>
      </c>
      <c r="C64" s="45" t="s">
        <v>158</v>
      </c>
      <c r="D64" s="61" t="s">
        <v>2337</v>
      </c>
      <c r="E64" s="11" t="s">
        <v>13</v>
      </c>
    </row>
    <row r="65">
      <c r="B65" s="61" t="s">
        <v>2340</v>
      </c>
      <c r="C65" s="45" t="s">
        <v>180</v>
      </c>
      <c r="D65" s="61" t="s">
        <v>2917</v>
      </c>
      <c r="E65" s="11" t="s">
        <v>9</v>
      </c>
    </row>
    <row r="66">
      <c r="B66" s="61" t="s">
        <v>69</v>
      </c>
      <c r="C66" s="45" t="s">
        <v>376</v>
      </c>
      <c r="D66" s="61" t="s">
        <v>2337</v>
      </c>
      <c r="E66" s="11" t="s">
        <v>13</v>
      </c>
    </row>
    <row r="67">
      <c r="B67" s="1" t="s">
        <v>2918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2019</v>
      </c>
      <c r="C69" s="45" t="s">
        <v>181</v>
      </c>
      <c r="D69" s="61" t="s">
        <v>1847</v>
      </c>
      <c r="E69" s="11" t="s">
        <v>9</v>
      </c>
    </row>
    <row r="70">
      <c r="B70" s="61" t="s">
        <v>1781</v>
      </c>
      <c r="C70" s="45" t="s">
        <v>43</v>
      </c>
      <c r="D70" s="61" t="s">
        <v>939</v>
      </c>
      <c r="E70" s="11" t="s">
        <v>13</v>
      </c>
    </row>
    <row r="71">
      <c r="B71" s="61" t="s">
        <v>1111</v>
      </c>
      <c r="C71" s="45" t="s">
        <v>43</v>
      </c>
      <c r="D71" s="61" t="s">
        <v>2019</v>
      </c>
      <c r="E71" s="11" t="s">
        <v>9</v>
      </c>
    </row>
    <row r="72">
      <c r="B72" s="61" t="s">
        <v>1781</v>
      </c>
      <c r="C72" s="45" t="s">
        <v>173</v>
      </c>
      <c r="D72" s="61" t="s">
        <v>1847</v>
      </c>
      <c r="E72" s="11" t="s">
        <v>13</v>
      </c>
    </row>
    <row r="73">
      <c r="B73" s="61" t="s">
        <v>1111</v>
      </c>
      <c r="C73" s="45" t="s">
        <v>41</v>
      </c>
      <c r="D73" s="61" t="s">
        <v>939</v>
      </c>
      <c r="E73" s="11" t="s">
        <v>9</v>
      </c>
    </row>
    <row r="74">
      <c r="B74" s="61" t="s">
        <v>1781</v>
      </c>
      <c r="C74" s="45" t="s">
        <v>43</v>
      </c>
      <c r="D74" s="61" t="s">
        <v>2019</v>
      </c>
      <c r="E74" s="11" t="s">
        <v>13</v>
      </c>
    </row>
    <row r="75">
      <c r="B75" s="61" t="s">
        <v>1111</v>
      </c>
      <c r="C75" s="45" t="s">
        <v>718</v>
      </c>
      <c r="D75" s="61" t="s">
        <v>1847</v>
      </c>
      <c r="E75" s="11" t="s">
        <v>9</v>
      </c>
    </row>
    <row r="76">
      <c r="B76" s="61" t="s">
        <v>939</v>
      </c>
      <c r="C76" s="45" t="s">
        <v>7</v>
      </c>
      <c r="D76" s="61" t="s">
        <v>2019</v>
      </c>
      <c r="E76" s="11" t="s">
        <v>13</v>
      </c>
    </row>
    <row r="77">
      <c r="B77" s="61" t="s">
        <v>1111</v>
      </c>
      <c r="C77" s="45" t="s">
        <v>744</v>
      </c>
      <c r="D77" s="61" t="s">
        <v>1781</v>
      </c>
      <c r="E77" s="11" t="s">
        <v>9</v>
      </c>
    </row>
    <row r="78">
      <c r="B78" s="61" t="s">
        <v>939</v>
      </c>
      <c r="C78" s="45" t="s">
        <v>193</v>
      </c>
      <c r="D78" s="61" t="s">
        <v>1847</v>
      </c>
      <c r="E78" s="11" t="s">
        <v>13</v>
      </c>
    </row>
    <row r="79">
      <c r="B79" s="61" t="s">
        <v>1847</v>
      </c>
      <c r="C79" s="45" t="s">
        <v>23</v>
      </c>
      <c r="D79" s="61" t="s">
        <v>2019</v>
      </c>
      <c r="E79" s="11" t="s">
        <v>9</v>
      </c>
    </row>
    <row r="80">
      <c r="B80" s="61" t="s">
        <v>939</v>
      </c>
      <c r="C80" s="45" t="s">
        <v>196</v>
      </c>
      <c r="D80" s="61" t="s">
        <v>1781</v>
      </c>
      <c r="E80" s="11" t="s">
        <v>13</v>
      </c>
    </row>
    <row r="81">
      <c r="B81" s="61" t="s">
        <v>2019</v>
      </c>
      <c r="C81" s="45" t="s">
        <v>271</v>
      </c>
      <c r="D81" s="61" t="s">
        <v>1111</v>
      </c>
      <c r="E81" s="11" t="s">
        <v>9</v>
      </c>
    </row>
    <row r="82">
      <c r="B82" s="61" t="s">
        <v>1847</v>
      </c>
      <c r="C82" s="45" t="s">
        <v>751</v>
      </c>
      <c r="D82" s="61" t="s">
        <v>1781</v>
      </c>
      <c r="E82" s="11" t="s">
        <v>13</v>
      </c>
    </row>
    <row r="83">
      <c r="B83" s="61" t="s">
        <v>939</v>
      </c>
      <c r="C83" s="45" t="s">
        <v>271</v>
      </c>
      <c r="D83" s="61" t="s">
        <v>1111</v>
      </c>
      <c r="E83" s="11" t="s">
        <v>9</v>
      </c>
    </row>
    <row r="84">
      <c r="B84" s="61" t="s">
        <v>2019</v>
      </c>
      <c r="C84" s="45" t="s">
        <v>196</v>
      </c>
      <c r="D84" s="61" t="s">
        <v>1781</v>
      </c>
      <c r="E84" s="11" t="s">
        <v>13</v>
      </c>
    </row>
    <row r="85">
      <c r="B85" s="61" t="s">
        <v>1847</v>
      </c>
      <c r="C85" s="45" t="s">
        <v>229</v>
      </c>
      <c r="D85" s="61" t="s">
        <v>1111</v>
      </c>
      <c r="E85" s="11" t="s">
        <v>9</v>
      </c>
    </row>
    <row r="86">
      <c r="B86" s="61" t="s">
        <v>2019</v>
      </c>
      <c r="C86" s="45" t="s">
        <v>239</v>
      </c>
      <c r="D86" s="61" t="s">
        <v>939</v>
      </c>
      <c r="E86" s="11" t="s">
        <v>13</v>
      </c>
    </row>
    <row r="87">
      <c r="B87" s="61" t="s">
        <v>1781</v>
      </c>
      <c r="C87" s="45" t="s">
        <v>856</v>
      </c>
      <c r="D87" s="61" t="s">
        <v>1111</v>
      </c>
      <c r="E87" s="11" t="s">
        <v>9</v>
      </c>
    </row>
    <row r="88">
      <c r="B88" s="61" t="s">
        <v>1847</v>
      </c>
      <c r="C88" s="45" t="s">
        <v>225</v>
      </c>
      <c r="D88" s="61" t="s">
        <v>939</v>
      </c>
      <c r="E88" s="11" t="s">
        <v>13</v>
      </c>
    </row>
    <row r="89">
      <c r="B89" s="1" t="s">
        <v>2919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2424</v>
      </c>
      <c r="C91" s="45" t="s">
        <v>23</v>
      </c>
      <c r="D91" s="61" t="s">
        <v>2044</v>
      </c>
      <c r="E91" s="33" t="s">
        <v>29</v>
      </c>
    </row>
    <row r="92">
      <c r="B92" s="61" t="s">
        <v>2368</v>
      </c>
      <c r="C92" s="45" t="s">
        <v>1227</v>
      </c>
      <c r="D92" s="61" t="s">
        <v>2123</v>
      </c>
      <c r="E92" s="33" t="s">
        <v>33</v>
      </c>
    </row>
    <row r="93">
      <c r="B93" s="61" t="s">
        <v>2920</v>
      </c>
      <c r="C93" s="45" t="s">
        <v>290</v>
      </c>
      <c r="D93" s="61" t="s">
        <v>2424</v>
      </c>
      <c r="E93" s="33" t="s">
        <v>29</v>
      </c>
    </row>
    <row r="94">
      <c r="B94" s="61" t="s">
        <v>2368</v>
      </c>
      <c r="C94" s="45" t="s">
        <v>23</v>
      </c>
      <c r="D94" s="61" t="s">
        <v>2044</v>
      </c>
      <c r="E94" s="33" t="s">
        <v>33</v>
      </c>
    </row>
    <row r="95">
      <c r="B95" s="61" t="s">
        <v>2920</v>
      </c>
      <c r="C95" s="45" t="s">
        <v>448</v>
      </c>
      <c r="D95" s="61" t="s">
        <v>2123</v>
      </c>
      <c r="E95" s="33" t="s">
        <v>29</v>
      </c>
    </row>
    <row r="96">
      <c r="B96" s="61" t="s">
        <v>2368</v>
      </c>
      <c r="C96" s="45" t="s">
        <v>209</v>
      </c>
      <c r="D96" s="61" t="s">
        <v>2424</v>
      </c>
      <c r="E96" s="33" t="s">
        <v>33</v>
      </c>
    </row>
    <row r="97">
      <c r="B97" s="61" t="s">
        <v>2920</v>
      </c>
      <c r="C97" s="45" t="s">
        <v>161</v>
      </c>
      <c r="D97" s="61" t="s">
        <v>2044</v>
      </c>
      <c r="E97" s="33" t="s">
        <v>29</v>
      </c>
    </row>
    <row r="98">
      <c r="B98" s="61" t="s">
        <v>2123</v>
      </c>
      <c r="C98" s="45" t="s">
        <v>208</v>
      </c>
      <c r="D98" s="61" t="s">
        <v>2424</v>
      </c>
      <c r="E98" s="33" t="s">
        <v>33</v>
      </c>
    </row>
    <row r="99">
      <c r="B99" s="61" t="s">
        <v>2920</v>
      </c>
      <c r="C99" s="45" t="s">
        <v>24</v>
      </c>
      <c r="D99" s="61" t="s">
        <v>2368</v>
      </c>
      <c r="E99" s="33" t="s">
        <v>29</v>
      </c>
    </row>
    <row r="100">
      <c r="B100" s="61" t="s">
        <v>2123</v>
      </c>
      <c r="C100" s="45" t="s">
        <v>2921</v>
      </c>
      <c r="D100" s="61" t="s">
        <v>2044</v>
      </c>
      <c r="E100" s="33" t="s">
        <v>33</v>
      </c>
    </row>
    <row r="101">
      <c r="B101" s="61" t="s">
        <v>2044</v>
      </c>
      <c r="C101" s="45" t="s">
        <v>184</v>
      </c>
      <c r="D101" s="61" t="s">
        <v>2424</v>
      </c>
      <c r="E101" s="33" t="s">
        <v>29</v>
      </c>
    </row>
    <row r="102">
      <c r="B102" s="61" t="s">
        <v>2123</v>
      </c>
      <c r="C102" s="45" t="s">
        <v>315</v>
      </c>
      <c r="D102" s="61" t="s">
        <v>2368</v>
      </c>
      <c r="E102" s="33" t="s">
        <v>33</v>
      </c>
    </row>
    <row r="103">
      <c r="B103" s="61" t="s">
        <v>2424</v>
      </c>
      <c r="C103" s="45" t="s">
        <v>39</v>
      </c>
      <c r="D103" s="61" t="s">
        <v>2920</v>
      </c>
      <c r="E103" s="33" t="s">
        <v>29</v>
      </c>
    </row>
    <row r="104">
      <c r="B104" s="61" t="s">
        <v>2044</v>
      </c>
      <c r="C104" s="45" t="s">
        <v>383</v>
      </c>
      <c r="D104" s="61" t="s">
        <v>2368</v>
      </c>
      <c r="E104" s="33" t="s">
        <v>33</v>
      </c>
    </row>
    <row r="105">
      <c r="B105" s="61" t="s">
        <v>2123</v>
      </c>
      <c r="C105" s="45" t="s">
        <v>166</v>
      </c>
      <c r="D105" s="61" t="s">
        <v>2920</v>
      </c>
      <c r="E105" s="33" t="s">
        <v>29</v>
      </c>
    </row>
    <row r="106">
      <c r="B106" s="61" t="s">
        <v>2424</v>
      </c>
      <c r="C106" s="45" t="s">
        <v>547</v>
      </c>
      <c r="D106" s="61" t="s">
        <v>2368</v>
      </c>
      <c r="E106" s="33" t="s">
        <v>33</v>
      </c>
    </row>
    <row r="107">
      <c r="B107" s="61" t="s">
        <v>2044</v>
      </c>
      <c r="C107" s="45" t="s">
        <v>21</v>
      </c>
      <c r="D107" s="61" t="s">
        <v>2920</v>
      </c>
      <c r="E107" s="33" t="s">
        <v>29</v>
      </c>
    </row>
    <row r="108">
      <c r="B108" s="61" t="s">
        <v>2424</v>
      </c>
      <c r="C108" s="45" t="s">
        <v>19</v>
      </c>
      <c r="D108" s="61" t="s">
        <v>2123</v>
      </c>
      <c r="E108" s="33" t="s">
        <v>33</v>
      </c>
    </row>
    <row r="109">
      <c r="B109" s="61" t="s">
        <v>2368</v>
      </c>
      <c r="C109" s="45" t="s">
        <v>155</v>
      </c>
      <c r="D109" s="61" t="s">
        <v>2920</v>
      </c>
      <c r="E109" s="33" t="s">
        <v>29</v>
      </c>
    </row>
    <row r="110">
      <c r="B110" s="61" t="s">
        <v>2044</v>
      </c>
      <c r="C110" s="45" t="s">
        <v>219</v>
      </c>
      <c r="D110" s="61" t="s">
        <v>2123</v>
      </c>
      <c r="E110" s="33" t="s">
        <v>33</v>
      </c>
    </row>
    <row r="111">
      <c r="B111" s="1" t="s">
        <v>2650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1071</v>
      </c>
      <c r="C113" s="57" t="s">
        <v>41</v>
      </c>
      <c r="D113" s="61" t="s">
        <v>2602</v>
      </c>
      <c r="E113" s="33" t="s">
        <v>29</v>
      </c>
    </row>
    <row r="114">
      <c r="B114" s="61" t="s">
        <v>1145</v>
      </c>
      <c r="C114" s="57" t="s">
        <v>19</v>
      </c>
      <c r="D114" s="61" t="s">
        <v>2302</v>
      </c>
      <c r="E114" s="33" t="s">
        <v>33</v>
      </c>
    </row>
    <row r="115">
      <c r="B115" s="61" t="s">
        <v>2603</v>
      </c>
      <c r="C115" s="57" t="s">
        <v>2819</v>
      </c>
      <c r="D115" s="61" t="s">
        <v>1071</v>
      </c>
      <c r="E115" s="33" t="s">
        <v>29</v>
      </c>
    </row>
    <row r="116">
      <c r="B116" s="61" t="s">
        <v>1145</v>
      </c>
      <c r="C116" s="57" t="s">
        <v>193</v>
      </c>
      <c r="D116" s="61" t="s">
        <v>2602</v>
      </c>
      <c r="E116" s="33" t="s">
        <v>33</v>
      </c>
    </row>
    <row r="117">
      <c r="B117" s="61" t="s">
        <v>2603</v>
      </c>
      <c r="C117" s="57" t="s">
        <v>24</v>
      </c>
      <c r="D117" s="61" t="s">
        <v>2302</v>
      </c>
      <c r="E117" s="33" t="s">
        <v>29</v>
      </c>
    </row>
    <row r="118">
      <c r="B118" s="61" t="s">
        <v>1145</v>
      </c>
      <c r="C118" s="57" t="s">
        <v>244</v>
      </c>
      <c r="D118" s="61" t="s">
        <v>1071</v>
      </c>
      <c r="E118" s="33" t="s">
        <v>33</v>
      </c>
    </row>
    <row r="119">
      <c r="B119" s="61" t="s">
        <v>2603</v>
      </c>
      <c r="C119" s="57" t="s">
        <v>27</v>
      </c>
      <c r="D119" s="61" t="s">
        <v>2602</v>
      </c>
      <c r="E119" s="33" t="s">
        <v>29</v>
      </c>
    </row>
    <row r="120">
      <c r="B120" s="61" t="s">
        <v>2302</v>
      </c>
      <c r="C120" s="57" t="s">
        <v>250</v>
      </c>
      <c r="D120" s="61" t="s">
        <v>1071</v>
      </c>
      <c r="E120" s="33" t="s">
        <v>33</v>
      </c>
    </row>
    <row r="121">
      <c r="B121" s="61" t="s">
        <v>2603</v>
      </c>
      <c r="C121" s="57" t="s">
        <v>1141</v>
      </c>
      <c r="D121" s="61" t="s">
        <v>1145</v>
      </c>
      <c r="E121" s="33" t="s">
        <v>29</v>
      </c>
    </row>
    <row r="122">
      <c r="B122" s="61" t="s">
        <v>2302</v>
      </c>
      <c r="C122" s="57" t="s">
        <v>573</v>
      </c>
      <c r="D122" s="61" t="s">
        <v>2602</v>
      </c>
      <c r="E122" s="33" t="s">
        <v>33</v>
      </c>
    </row>
    <row r="123">
      <c r="B123" s="61" t="s">
        <v>2602</v>
      </c>
      <c r="C123" s="57" t="s">
        <v>2922</v>
      </c>
      <c r="D123" s="61" t="s">
        <v>1071</v>
      </c>
      <c r="E123" s="33" t="s">
        <v>29</v>
      </c>
    </row>
    <row r="124">
      <c r="B124" s="61" t="s">
        <v>2302</v>
      </c>
      <c r="C124" s="57" t="s">
        <v>233</v>
      </c>
      <c r="D124" s="61" t="s">
        <v>1145</v>
      </c>
      <c r="E124" s="33" t="s">
        <v>33</v>
      </c>
    </row>
    <row r="125">
      <c r="B125" s="61" t="s">
        <v>1071</v>
      </c>
      <c r="C125" s="45" t="s">
        <v>18</v>
      </c>
      <c r="D125" s="61" t="s">
        <v>2603</v>
      </c>
      <c r="E125" s="33" t="s">
        <v>29</v>
      </c>
    </row>
    <row r="126">
      <c r="B126" s="61" t="s">
        <v>2602</v>
      </c>
      <c r="C126" s="45" t="s">
        <v>281</v>
      </c>
      <c r="D126" s="61" t="s">
        <v>1145</v>
      </c>
      <c r="E126" s="33" t="s">
        <v>33</v>
      </c>
    </row>
    <row r="127">
      <c r="B127" s="61" t="s">
        <v>2302</v>
      </c>
      <c r="C127" s="45" t="s">
        <v>166</v>
      </c>
      <c r="D127" s="61" t="s">
        <v>2603</v>
      </c>
      <c r="E127" s="33" t="s">
        <v>29</v>
      </c>
    </row>
    <row r="128">
      <c r="B128" s="61" t="s">
        <v>1071</v>
      </c>
      <c r="C128" s="45" t="s">
        <v>165</v>
      </c>
      <c r="D128" s="61" t="s">
        <v>1145</v>
      </c>
      <c r="E128" s="33" t="s">
        <v>33</v>
      </c>
    </row>
    <row r="129">
      <c r="B129" s="61" t="s">
        <v>2602</v>
      </c>
      <c r="C129" s="45" t="s">
        <v>248</v>
      </c>
      <c r="D129" s="61" t="s">
        <v>2603</v>
      </c>
      <c r="E129" s="33" t="s">
        <v>29</v>
      </c>
    </row>
    <row r="130">
      <c r="B130" s="61" t="s">
        <v>1071</v>
      </c>
      <c r="C130" s="45" t="s">
        <v>218</v>
      </c>
      <c r="D130" s="61" t="s">
        <v>2302</v>
      </c>
      <c r="E130" s="33" t="s">
        <v>33</v>
      </c>
    </row>
    <row r="131">
      <c r="B131" s="61" t="s">
        <v>1145</v>
      </c>
      <c r="C131" s="45" t="s">
        <v>271</v>
      </c>
      <c r="D131" s="61" t="s">
        <v>2603</v>
      </c>
      <c r="E131" s="33" t="s">
        <v>29</v>
      </c>
    </row>
    <row r="132">
      <c r="B132" s="61" t="s">
        <v>2602</v>
      </c>
      <c r="C132" s="45" t="s">
        <v>17</v>
      </c>
      <c r="D132" s="61" t="s">
        <v>2302</v>
      </c>
      <c r="E132" s="33" t="s">
        <v>33</v>
      </c>
    </row>
    <row r="133">
      <c r="B133" s="1" t="s">
        <v>2152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61</v>
      </c>
      <c r="C135" s="45" t="s">
        <v>158</v>
      </c>
      <c r="D135" s="61" t="s">
        <v>2923</v>
      </c>
      <c r="E135" s="11" t="s">
        <v>9</v>
      </c>
    </row>
    <row r="136">
      <c r="B136" s="61" t="s">
        <v>2924</v>
      </c>
      <c r="C136" s="45" t="s">
        <v>819</v>
      </c>
      <c r="D136" s="61" t="s">
        <v>2925</v>
      </c>
      <c r="E136" s="11" t="s">
        <v>13</v>
      </c>
    </row>
    <row r="137">
      <c r="B137" s="61" t="s">
        <v>2689</v>
      </c>
      <c r="C137" s="45" t="s">
        <v>219</v>
      </c>
      <c r="D137" s="61" t="s">
        <v>61</v>
      </c>
      <c r="E137" s="11" t="s">
        <v>9</v>
      </c>
    </row>
    <row r="138">
      <c r="B138" s="61" t="s">
        <v>2924</v>
      </c>
      <c r="C138" s="45" t="s">
        <v>18</v>
      </c>
      <c r="D138" s="61" t="s">
        <v>2923</v>
      </c>
      <c r="E138" s="11" t="s">
        <v>13</v>
      </c>
    </row>
    <row r="139">
      <c r="B139" s="61" t="s">
        <v>2689</v>
      </c>
      <c r="C139" s="45" t="s">
        <v>251</v>
      </c>
      <c r="D139" s="61" t="s">
        <v>2925</v>
      </c>
      <c r="E139" s="11" t="s">
        <v>9</v>
      </c>
    </row>
    <row r="140">
      <c r="B140" s="61" t="s">
        <v>2924</v>
      </c>
      <c r="C140" s="45" t="s">
        <v>1531</v>
      </c>
      <c r="D140" s="61" t="s">
        <v>61</v>
      </c>
      <c r="E140" s="11" t="s">
        <v>13</v>
      </c>
    </row>
    <row r="141">
      <c r="B141" s="61" t="s">
        <v>2689</v>
      </c>
      <c r="C141" s="45" t="s">
        <v>14</v>
      </c>
      <c r="D141" s="61" t="s">
        <v>2923</v>
      </c>
      <c r="E141" s="11" t="s">
        <v>9</v>
      </c>
    </row>
    <row r="142">
      <c r="B142" s="61" t="s">
        <v>2925</v>
      </c>
      <c r="C142" s="45" t="s">
        <v>14</v>
      </c>
      <c r="D142" s="61" t="s">
        <v>61</v>
      </c>
      <c r="E142" s="11" t="s">
        <v>13</v>
      </c>
    </row>
    <row r="143">
      <c r="B143" s="61" t="s">
        <v>2689</v>
      </c>
      <c r="C143" s="45" t="s">
        <v>439</v>
      </c>
      <c r="D143" s="61" t="s">
        <v>2924</v>
      </c>
      <c r="E143" s="11" t="s">
        <v>9</v>
      </c>
    </row>
    <row r="144">
      <c r="B144" s="61" t="s">
        <v>2925</v>
      </c>
      <c r="C144" s="45" t="s">
        <v>41</v>
      </c>
      <c r="D144" s="61" t="s">
        <v>2923</v>
      </c>
      <c r="E144" s="11" t="s">
        <v>13</v>
      </c>
    </row>
    <row r="145">
      <c r="B145" s="61" t="s">
        <v>2923</v>
      </c>
      <c r="C145" s="45" t="s">
        <v>23</v>
      </c>
      <c r="D145" s="61" t="s">
        <v>61</v>
      </c>
      <c r="E145" s="11" t="s">
        <v>9</v>
      </c>
    </row>
    <row r="146">
      <c r="B146" s="61" t="s">
        <v>2925</v>
      </c>
      <c r="C146" s="45" t="s">
        <v>19</v>
      </c>
      <c r="D146" s="61" t="s">
        <v>2924</v>
      </c>
      <c r="E146" s="11" t="s">
        <v>13</v>
      </c>
    </row>
    <row r="147">
      <c r="B147" s="61" t="s">
        <v>61</v>
      </c>
      <c r="C147" s="45" t="s">
        <v>344</v>
      </c>
      <c r="D147" s="61" t="s">
        <v>2689</v>
      </c>
      <c r="E147" s="11" t="s">
        <v>9</v>
      </c>
    </row>
    <row r="148">
      <c r="B148" s="61" t="s">
        <v>2923</v>
      </c>
      <c r="C148" s="45" t="s">
        <v>219</v>
      </c>
      <c r="D148" s="61" t="s">
        <v>2924</v>
      </c>
      <c r="E148" s="11" t="s">
        <v>13</v>
      </c>
    </row>
    <row r="149">
      <c r="B149" s="61" t="s">
        <v>2925</v>
      </c>
      <c r="C149" s="45" t="s">
        <v>16</v>
      </c>
      <c r="D149" s="61" t="s">
        <v>2689</v>
      </c>
      <c r="E149" s="11" t="s">
        <v>9</v>
      </c>
    </row>
    <row r="150">
      <c r="B150" s="61" t="s">
        <v>61</v>
      </c>
      <c r="C150" s="45" t="s">
        <v>208</v>
      </c>
      <c r="D150" s="61" t="s">
        <v>2924</v>
      </c>
      <c r="E150" s="11" t="s">
        <v>13</v>
      </c>
    </row>
    <row r="151">
      <c r="B151" s="61" t="s">
        <v>2923</v>
      </c>
      <c r="C151" s="45" t="s">
        <v>158</v>
      </c>
      <c r="D151" s="61" t="s">
        <v>2689</v>
      </c>
      <c r="E151" s="11" t="s">
        <v>9</v>
      </c>
    </row>
    <row r="152">
      <c r="B152" s="61" t="s">
        <v>61</v>
      </c>
      <c r="C152" s="45" t="s">
        <v>2926</v>
      </c>
      <c r="D152" s="61" t="s">
        <v>2925</v>
      </c>
      <c r="E152" s="11" t="s">
        <v>13</v>
      </c>
    </row>
    <row r="153">
      <c r="B153" s="61" t="s">
        <v>2924</v>
      </c>
      <c r="C153" s="45" t="s">
        <v>324</v>
      </c>
      <c r="D153" s="61" t="s">
        <v>2689</v>
      </c>
      <c r="E153" s="11" t="s">
        <v>9</v>
      </c>
    </row>
    <row r="154">
      <c r="B154" s="61" t="s">
        <v>2923</v>
      </c>
      <c r="C154" s="45" t="s">
        <v>209</v>
      </c>
      <c r="D154" s="61" t="s">
        <v>2925</v>
      </c>
      <c r="E154" s="11" t="s">
        <v>13</v>
      </c>
    </row>
    <row r="155">
      <c r="B155" s="1" t="s">
        <v>1803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2927</v>
      </c>
      <c r="C157" s="45" t="s">
        <v>177</v>
      </c>
      <c r="D157" s="61" t="s">
        <v>913</v>
      </c>
      <c r="E157" s="11" t="s">
        <v>9</v>
      </c>
    </row>
    <row r="158">
      <c r="B158" s="61" t="s">
        <v>2928</v>
      </c>
      <c r="C158" s="45" t="s">
        <v>1015</v>
      </c>
      <c r="D158" s="61" t="s">
        <v>2929</v>
      </c>
      <c r="E158" s="11" t="s">
        <v>13</v>
      </c>
    </row>
    <row r="159">
      <c r="B159" s="61" t="s">
        <v>1482</v>
      </c>
      <c r="C159" s="45" t="s">
        <v>16</v>
      </c>
      <c r="D159" s="61" t="s">
        <v>2927</v>
      </c>
      <c r="E159" s="11" t="s">
        <v>9</v>
      </c>
    </row>
    <row r="160">
      <c r="B160" s="61" t="s">
        <v>2928</v>
      </c>
      <c r="C160" s="45" t="s">
        <v>155</v>
      </c>
      <c r="D160" s="61" t="s">
        <v>913</v>
      </c>
      <c r="E160" s="11" t="s">
        <v>13</v>
      </c>
    </row>
    <row r="161">
      <c r="B161" s="61" t="s">
        <v>1482</v>
      </c>
      <c r="C161" s="45" t="s">
        <v>18</v>
      </c>
      <c r="D161" s="61" t="s">
        <v>2929</v>
      </c>
      <c r="E161" s="11" t="s">
        <v>9</v>
      </c>
    </row>
    <row r="162">
      <c r="B162" s="61" t="s">
        <v>2928</v>
      </c>
      <c r="C162" s="45" t="s">
        <v>21</v>
      </c>
      <c r="D162" s="61" t="s">
        <v>2927</v>
      </c>
      <c r="E162" s="11" t="s">
        <v>13</v>
      </c>
    </row>
    <row r="163">
      <c r="B163" s="61" t="s">
        <v>1482</v>
      </c>
      <c r="C163" s="45" t="s">
        <v>210</v>
      </c>
      <c r="D163" s="61" t="s">
        <v>913</v>
      </c>
      <c r="E163" s="11" t="s">
        <v>9</v>
      </c>
    </row>
    <row r="164">
      <c r="B164" s="61" t="s">
        <v>2929</v>
      </c>
      <c r="C164" s="45" t="s">
        <v>17</v>
      </c>
      <c r="D164" s="61" t="s">
        <v>2927</v>
      </c>
      <c r="E164" s="11" t="s">
        <v>13</v>
      </c>
    </row>
    <row r="165">
      <c r="B165" s="61" t="s">
        <v>1482</v>
      </c>
      <c r="C165" s="45" t="s">
        <v>219</v>
      </c>
      <c r="D165" s="61" t="s">
        <v>2928</v>
      </c>
      <c r="E165" s="11" t="s">
        <v>9</v>
      </c>
    </row>
    <row r="166">
      <c r="B166" s="61" t="s">
        <v>2929</v>
      </c>
      <c r="C166" s="45" t="s">
        <v>184</v>
      </c>
      <c r="D166" s="61" t="s">
        <v>913</v>
      </c>
      <c r="E166" s="11" t="s">
        <v>13</v>
      </c>
    </row>
    <row r="167">
      <c r="B167" s="61" t="s">
        <v>913</v>
      </c>
      <c r="C167" s="45" t="s">
        <v>184</v>
      </c>
      <c r="D167" s="61" t="s">
        <v>2927</v>
      </c>
      <c r="E167" s="11" t="s">
        <v>9</v>
      </c>
    </row>
    <row r="168">
      <c r="B168" s="61" t="s">
        <v>2929</v>
      </c>
      <c r="C168" s="45" t="s">
        <v>545</v>
      </c>
      <c r="D168" s="61" t="s">
        <v>2928</v>
      </c>
      <c r="E168" s="11" t="s">
        <v>13</v>
      </c>
    </row>
    <row r="169">
      <c r="B169" s="61" t="s">
        <v>2927</v>
      </c>
      <c r="C169" s="45" t="s">
        <v>186</v>
      </c>
      <c r="D169" s="61" t="s">
        <v>1482</v>
      </c>
      <c r="E169" s="11" t="s">
        <v>9</v>
      </c>
    </row>
    <row r="170">
      <c r="B170" s="61" t="s">
        <v>913</v>
      </c>
      <c r="C170" s="45" t="s">
        <v>155</v>
      </c>
      <c r="D170" s="61" t="s">
        <v>2928</v>
      </c>
      <c r="E170" s="11" t="s">
        <v>13</v>
      </c>
    </row>
    <row r="171">
      <c r="B171" s="61" t="s">
        <v>2929</v>
      </c>
      <c r="C171" s="45" t="s">
        <v>545</v>
      </c>
      <c r="D171" s="61" t="s">
        <v>1482</v>
      </c>
      <c r="E171" s="11" t="s">
        <v>9</v>
      </c>
    </row>
    <row r="172">
      <c r="B172" s="61" t="s">
        <v>2927</v>
      </c>
      <c r="C172" s="45" t="s">
        <v>17</v>
      </c>
      <c r="D172" s="61" t="s">
        <v>2928</v>
      </c>
      <c r="E172" s="11" t="s">
        <v>13</v>
      </c>
    </row>
    <row r="173">
      <c r="B173" s="61" t="s">
        <v>913</v>
      </c>
      <c r="C173" s="45" t="s">
        <v>271</v>
      </c>
      <c r="D173" s="61" t="s">
        <v>1482</v>
      </c>
      <c r="E173" s="11" t="s">
        <v>9</v>
      </c>
    </row>
    <row r="174">
      <c r="B174" s="61" t="s">
        <v>2927</v>
      </c>
      <c r="C174" s="45" t="s">
        <v>173</v>
      </c>
      <c r="D174" s="61" t="s">
        <v>2929</v>
      </c>
      <c r="E174" s="11" t="s">
        <v>13</v>
      </c>
    </row>
    <row r="175">
      <c r="B175" s="61" t="s">
        <v>2928</v>
      </c>
      <c r="C175" s="45" t="s">
        <v>155</v>
      </c>
      <c r="D175" s="61" t="s">
        <v>1482</v>
      </c>
      <c r="E175" s="11" t="s">
        <v>9</v>
      </c>
    </row>
    <row r="176">
      <c r="B176" s="61" t="s">
        <v>913</v>
      </c>
      <c r="C176" s="45" t="s">
        <v>177</v>
      </c>
      <c r="D176" s="61" t="s">
        <v>2929</v>
      </c>
      <c r="E176" s="11" t="s">
        <v>13</v>
      </c>
    </row>
    <row r="177">
      <c r="B177" s="1" t="s">
        <v>2861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2740</v>
      </c>
      <c r="C179" s="57" t="s">
        <v>312</v>
      </c>
      <c r="D179" s="61" t="s">
        <v>1055</v>
      </c>
      <c r="E179" s="33" t="s">
        <v>29</v>
      </c>
    </row>
    <row r="180">
      <c r="B180" s="61" t="s">
        <v>2429</v>
      </c>
      <c r="C180" s="45" t="s">
        <v>380</v>
      </c>
      <c r="D180" s="61" t="s">
        <v>1641</v>
      </c>
      <c r="E180" s="33" t="s">
        <v>33</v>
      </c>
    </row>
    <row r="181">
      <c r="B181" s="61" t="s">
        <v>2587</v>
      </c>
      <c r="C181" s="57" t="s">
        <v>442</v>
      </c>
      <c r="D181" s="61" t="s">
        <v>2740</v>
      </c>
      <c r="E181" s="33" t="s">
        <v>29</v>
      </c>
    </row>
    <row r="182">
      <c r="B182" s="61" t="s">
        <v>2429</v>
      </c>
      <c r="C182" s="57" t="s">
        <v>380</v>
      </c>
      <c r="D182" s="61" t="s">
        <v>1055</v>
      </c>
      <c r="E182" s="33" t="s">
        <v>33</v>
      </c>
    </row>
    <row r="183">
      <c r="B183" s="61" t="s">
        <v>2587</v>
      </c>
      <c r="C183" s="57" t="s">
        <v>2426</v>
      </c>
      <c r="D183" s="61" t="s">
        <v>1641</v>
      </c>
      <c r="E183" s="33" t="s">
        <v>29</v>
      </c>
    </row>
    <row r="184">
      <c r="B184" s="61" t="s">
        <v>2429</v>
      </c>
      <c r="C184" s="57" t="s">
        <v>222</v>
      </c>
      <c r="D184" s="61" t="s">
        <v>2740</v>
      </c>
      <c r="E184" s="33" t="s">
        <v>33</v>
      </c>
    </row>
    <row r="185">
      <c r="B185" s="61" t="s">
        <v>2587</v>
      </c>
      <c r="C185" s="57" t="s">
        <v>162</v>
      </c>
      <c r="D185" s="61" t="s">
        <v>1055</v>
      </c>
      <c r="E185" s="33" t="s">
        <v>29</v>
      </c>
    </row>
    <row r="186">
      <c r="B186" s="61" t="s">
        <v>1641</v>
      </c>
      <c r="C186" s="57" t="s">
        <v>426</v>
      </c>
      <c r="D186" s="61" t="s">
        <v>2740</v>
      </c>
      <c r="E186" s="33" t="s">
        <v>33</v>
      </c>
    </row>
    <row r="187">
      <c r="B187" s="61" t="s">
        <v>2587</v>
      </c>
      <c r="C187" s="57" t="s">
        <v>342</v>
      </c>
      <c r="D187" s="61" t="s">
        <v>2429</v>
      </c>
      <c r="E187" s="33" t="s">
        <v>29</v>
      </c>
    </row>
    <row r="188">
      <c r="B188" s="61" t="s">
        <v>1641</v>
      </c>
      <c r="C188" s="57" t="s">
        <v>193</v>
      </c>
      <c r="D188" s="61" t="s">
        <v>1055</v>
      </c>
      <c r="E188" s="33" t="s">
        <v>33</v>
      </c>
    </row>
    <row r="189">
      <c r="B189" s="61" t="s">
        <v>1055</v>
      </c>
      <c r="C189" s="57" t="s">
        <v>231</v>
      </c>
      <c r="D189" s="61" t="s">
        <v>2740</v>
      </c>
      <c r="E189" s="33" t="s">
        <v>29</v>
      </c>
    </row>
    <row r="190">
      <c r="B190" s="61" t="s">
        <v>1641</v>
      </c>
      <c r="C190" s="57" t="s">
        <v>290</v>
      </c>
      <c r="D190" s="61" t="s">
        <v>2429</v>
      </c>
      <c r="E190" s="33" t="s">
        <v>33</v>
      </c>
    </row>
    <row r="191">
      <c r="B191" s="61" t="s">
        <v>2740</v>
      </c>
      <c r="C191" s="45" t="s">
        <v>7</v>
      </c>
      <c r="D191" s="61" t="s">
        <v>2587</v>
      </c>
      <c r="E191" s="33" t="s">
        <v>29</v>
      </c>
    </row>
    <row r="192">
      <c r="B192" s="61" t="s">
        <v>1055</v>
      </c>
      <c r="C192" s="45" t="s">
        <v>301</v>
      </c>
      <c r="D192" s="61" t="s">
        <v>2429</v>
      </c>
      <c r="E192" s="33" t="s">
        <v>33</v>
      </c>
    </row>
    <row r="193">
      <c r="B193" s="61" t="s">
        <v>1641</v>
      </c>
      <c r="C193" s="45" t="s">
        <v>7</v>
      </c>
      <c r="D193" s="61" t="s">
        <v>2587</v>
      </c>
      <c r="E193" s="33" t="s">
        <v>29</v>
      </c>
    </row>
    <row r="194">
      <c r="B194" s="61" t="s">
        <v>2740</v>
      </c>
      <c r="C194" s="45" t="s">
        <v>2385</v>
      </c>
      <c r="D194" s="61" t="s">
        <v>2429</v>
      </c>
      <c r="E194" s="33" t="s">
        <v>33</v>
      </c>
    </row>
    <row r="195">
      <c r="B195" s="61" t="s">
        <v>1055</v>
      </c>
      <c r="C195" s="45" t="s">
        <v>158</v>
      </c>
      <c r="D195" s="61" t="s">
        <v>2587</v>
      </c>
      <c r="E195" s="33" t="s">
        <v>29</v>
      </c>
    </row>
    <row r="196">
      <c r="B196" s="61" t="s">
        <v>2740</v>
      </c>
      <c r="C196" s="45" t="s">
        <v>19</v>
      </c>
      <c r="D196" s="61" t="s">
        <v>1641</v>
      </c>
      <c r="E196" s="33" t="s">
        <v>33</v>
      </c>
    </row>
    <row r="197">
      <c r="B197" s="61" t="s">
        <v>2429</v>
      </c>
      <c r="C197" s="45" t="s">
        <v>218</v>
      </c>
      <c r="D197" s="61" t="s">
        <v>2587</v>
      </c>
      <c r="E197" s="33" t="s">
        <v>29</v>
      </c>
      <c r="H197" s="50" t="s">
        <v>861</v>
      </c>
    </row>
    <row r="198">
      <c r="B198" s="61" t="s">
        <v>1055</v>
      </c>
      <c r="C198" s="45" t="s">
        <v>181</v>
      </c>
      <c r="D198" s="61" t="s">
        <v>1641</v>
      </c>
      <c r="E198" s="33" t="s">
        <v>33</v>
      </c>
    </row>
    <row r="199">
      <c r="B199" s="1" t="s">
        <v>2712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2804</v>
      </c>
      <c r="C201" s="57" t="s">
        <v>38</v>
      </c>
      <c r="D201" s="61" t="s">
        <v>962</v>
      </c>
      <c r="E201" s="33" t="s">
        <v>29</v>
      </c>
    </row>
    <row r="202">
      <c r="B202" s="61" t="s">
        <v>2101</v>
      </c>
      <c r="C202" s="45" t="s">
        <v>426</v>
      </c>
      <c r="D202" s="61" t="s">
        <v>1250</v>
      </c>
      <c r="E202" s="33" t="s">
        <v>33</v>
      </c>
    </row>
    <row r="203">
      <c r="B203" s="61" t="s">
        <v>1915</v>
      </c>
      <c r="C203" s="57" t="s">
        <v>1330</v>
      </c>
      <c r="D203" s="61" t="s">
        <v>2804</v>
      </c>
      <c r="E203" s="33" t="s">
        <v>29</v>
      </c>
    </row>
    <row r="204">
      <c r="B204" s="61" t="s">
        <v>2101</v>
      </c>
      <c r="C204" s="57" t="s">
        <v>248</v>
      </c>
      <c r="D204" s="61" t="s">
        <v>962</v>
      </c>
      <c r="E204" s="33" t="s">
        <v>33</v>
      </c>
    </row>
    <row r="205">
      <c r="B205" s="61" t="s">
        <v>1915</v>
      </c>
      <c r="C205" s="57" t="s">
        <v>173</v>
      </c>
      <c r="D205" s="61" t="s">
        <v>1250</v>
      </c>
      <c r="E205" s="33" t="s">
        <v>29</v>
      </c>
    </row>
    <row r="206">
      <c r="B206" s="61" t="s">
        <v>2101</v>
      </c>
      <c r="C206" s="57" t="s">
        <v>17</v>
      </c>
      <c r="D206" s="61" t="s">
        <v>2804</v>
      </c>
      <c r="E206" s="33" t="s">
        <v>33</v>
      </c>
    </row>
    <row r="207">
      <c r="B207" s="61" t="s">
        <v>1915</v>
      </c>
      <c r="C207" s="57" t="s">
        <v>189</v>
      </c>
      <c r="D207" s="61" t="s">
        <v>962</v>
      </c>
      <c r="E207" s="33" t="s">
        <v>29</v>
      </c>
    </row>
    <row r="208">
      <c r="B208" s="61" t="s">
        <v>1250</v>
      </c>
      <c r="C208" s="57" t="s">
        <v>251</v>
      </c>
      <c r="D208" s="61" t="s">
        <v>2804</v>
      </c>
      <c r="E208" s="33" t="s">
        <v>33</v>
      </c>
    </row>
    <row r="209">
      <c r="B209" s="61" t="s">
        <v>1915</v>
      </c>
      <c r="C209" s="57" t="s">
        <v>7</v>
      </c>
      <c r="D209" s="61" t="s">
        <v>2101</v>
      </c>
      <c r="E209" s="33" t="s">
        <v>29</v>
      </c>
    </row>
    <row r="210">
      <c r="B210" s="61" t="s">
        <v>1250</v>
      </c>
      <c r="C210" s="57" t="s">
        <v>251</v>
      </c>
      <c r="D210" s="61" t="s">
        <v>962</v>
      </c>
      <c r="E210" s="33" t="s">
        <v>33</v>
      </c>
      <c r="K210" s="50" t="s">
        <v>861</v>
      </c>
    </row>
    <row r="211">
      <c r="B211" s="61" t="s">
        <v>962</v>
      </c>
      <c r="C211" s="57" t="s">
        <v>1123</v>
      </c>
      <c r="D211" s="61" t="s">
        <v>2804</v>
      </c>
      <c r="E211" s="33" t="s">
        <v>29</v>
      </c>
    </row>
    <row r="212">
      <c r="B212" s="61" t="s">
        <v>1250</v>
      </c>
      <c r="C212" s="57" t="s">
        <v>155</v>
      </c>
      <c r="D212" s="61" t="s">
        <v>2101</v>
      </c>
      <c r="E212" s="33" t="s">
        <v>33</v>
      </c>
    </row>
    <row r="213">
      <c r="B213" s="61" t="s">
        <v>2804</v>
      </c>
      <c r="C213" s="45" t="s">
        <v>279</v>
      </c>
      <c r="D213" s="61" t="s">
        <v>1915</v>
      </c>
      <c r="E213" s="33" t="s">
        <v>29</v>
      </c>
    </row>
    <row r="214">
      <c r="B214" s="61" t="s">
        <v>962</v>
      </c>
      <c r="C214" s="45" t="s">
        <v>17</v>
      </c>
      <c r="D214" s="61" t="s">
        <v>2101</v>
      </c>
      <c r="E214" s="33" t="s">
        <v>33</v>
      </c>
    </row>
    <row r="215">
      <c r="B215" s="61" t="s">
        <v>1250</v>
      </c>
      <c r="C215" s="45" t="s">
        <v>18</v>
      </c>
      <c r="D215" s="61" t="s">
        <v>1915</v>
      </c>
      <c r="E215" s="33" t="s">
        <v>29</v>
      </c>
    </row>
    <row r="216">
      <c r="B216" s="61" t="s">
        <v>2804</v>
      </c>
      <c r="C216" s="45" t="s">
        <v>233</v>
      </c>
      <c r="D216" s="61" t="s">
        <v>2101</v>
      </c>
      <c r="E216" s="33" t="s">
        <v>33</v>
      </c>
    </row>
    <row r="217">
      <c r="B217" s="61" t="s">
        <v>962</v>
      </c>
      <c r="C217" s="45" t="s">
        <v>173</v>
      </c>
      <c r="D217" s="61" t="s">
        <v>1915</v>
      </c>
      <c r="E217" s="33" t="s">
        <v>29</v>
      </c>
    </row>
    <row r="218">
      <c r="B218" s="61" t="s">
        <v>2804</v>
      </c>
      <c r="C218" s="45" t="s">
        <v>338</v>
      </c>
      <c r="D218" s="61" t="s">
        <v>1250</v>
      </c>
      <c r="E218" s="33" t="s">
        <v>33</v>
      </c>
    </row>
    <row r="219">
      <c r="B219" s="61" t="s">
        <v>2101</v>
      </c>
      <c r="C219" s="45" t="s">
        <v>155</v>
      </c>
      <c r="D219" s="61" t="s">
        <v>1915</v>
      </c>
      <c r="E219" s="33" t="s">
        <v>29</v>
      </c>
    </row>
    <row r="220">
      <c r="B220" s="61" t="s">
        <v>962</v>
      </c>
      <c r="C220" s="45" t="s">
        <v>206</v>
      </c>
      <c r="D220" s="61" t="s">
        <v>1250</v>
      </c>
      <c r="E220" s="33" t="s">
        <v>33</v>
      </c>
    </row>
    <row r="221">
      <c r="B221" s="52" t="s">
        <v>1566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2930</v>
      </c>
      <c r="C223" s="45" t="s">
        <v>18</v>
      </c>
      <c r="D223" s="62" t="s">
        <v>2808</v>
      </c>
      <c r="E223" s="11" t="s">
        <v>9</v>
      </c>
    </row>
    <row r="224">
      <c r="B224" s="62" t="s">
        <v>1492</v>
      </c>
      <c r="C224" s="45" t="s">
        <v>168</v>
      </c>
      <c r="D224" s="62" t="s">
        <v>1931</v>
      </c>
      <c r="E224" s="11" t="s">
        <v>13</v>
      </c>
    </row>
    <row r="225">
      <c r="B225" s="62" t="s">
        <v>2931</v>
      </c>
      <c r="C225" s="45" t="s">
        <v>344</v>
      </c>
      <c r="D225" s="62" t="s">
        <v>2930</v>
      </c>
      <c r="E225" s="11" t="s">
        <v>9</v>
      </c>
    </row>
    <row r="226">
      <c r="B226" s="62" t="s">
        <v>1492</v>
      </c>
      <c r="C226" s="45" t="s">
        <v>549</v>
      </c>
      <c r="D226" s="62" t="s">
        <v>2808</v>
      </c>
      <c r="E226" s="11" t="s">
        <v>13</v>
      </c>
    </row>
    <row r="227">
      <c r="B227" s="62" t="s">
        <v>2931</v>
      </c>
      <c r="C227" s="45" t="s">
        <v>196</v>
      </c>
      <c r="D227" s="62" t="s">
        <v>1931</v>
      </c>
      <c r="E227" s="11" t="s">
        <v>9</v>
      </c>
    </row>
    <row r="228">
      <c r="B228" s="62" t="s">
        <v>1492</v>
      </c>
      <c r="C228" s="45" t="s">
        <v>23</v>
      </c>
      <c r="D228" s="62" t="s">
        <v>2930</v>
      </c>
      <c r="E228" s="11" t="s">
        <v>13</v>
      </c>
    </row>
    <row r="229">
      <c r="B229" s="62" t="s">
        <v>2931</v>
      </c>
      <c r="C229" s="45" t="s">
        <v>344</v>
      </c>
      <c r="D229" s="62" t="s">
        <v>2808</v>
      </c>
      <c r="E229" s="11" t="s">
        <v>9</v>
      </c>
    </row>
    <row r="230">
      <c r="B230" s="62" t="s">
        <v>1931</v>
      </c>
      <c r="C230" s="45" t="s">
        <v>182</v>
      </c>
      <c r="D230" s="62" t="s">
        <v>2930</v>
      </c>
      <c r="E230" s="11" t="s">
        <v>13</v>
      </c>
    </row>
    <row r="231">
      <c r="B231" s="62" t="s">
        <v>2931</v>
      </c>
      <c r="C231" s="45" t="s">
        <v>38</v>
      </c>
      <c r="D231" s="62" t="s">
        <v>1492</v>
      </c>
      <c r="E231" s="11" t="s">
        <v>9</v>
      </c>
    </row>
    <row r="232">
      <c r="B232" s="62" t="s">
        <v>1931</v>
      </c>
      <c r="C232" s="45" t="s">
        <v>43</v>
      </c>
      <c r="D232" s="62" t="s">
        <v>2808</v>
      </c>
      <c r="E232" s="11" t="s">
        <v>13</v>
      </c>
    </row>
    <row r="233">
      <c r="B233" s="62" t="s">
        <v>2808</v>
      </c>
      <c r="C233" s="45" t="s">
        <v>271</v>
      </c>
      <c r="D233" s="62" t="s">
        <v>2930</v>
      </c>
      <c r="E233" s="11" t="s">
        <v>9</v>
      </c>
    </row>
    <row r="234">
      <c r="B234" s="62" t="s">
        <v>1931</v>
      </c>
      <c r="C234" s="45" t="s">
        <v>7</v>
      </c>
      <c r="D234" s="62" t="s">
        <v>1492</v>
      </c>
      <c r="E234" s="11" t="s">
        <v>13</v>
      </c>
    </row>
    <row r="235">
      <c r="B235" s="62" t="s">
        <v>2930</v>
      </c>
      <c r="C235" s="45" t="s">
        <v>7</v>
      </c>
      <c r="D235" s="62" t="s">
        <v>2931</v>
      </c>
      <c r="E235" s="11" t="s">
        <v>9</v>
      </c>
    </row>
    <row r="236">
      <c r="B236" s="62" t="s">
        <v>2808</v>
      </c>
      <c r="C236" s="45" t="s">
        <v>344</v>
      </c>
      <c r="D236" s="62" t="s">
        <v>1492</v>
      </c>
      <c r="E236" s="11" t="s">
        <v>13</v>
      </c>
    </row>
    <row r="237">
      <c r="B237" s="62" t="s">
        <v>1931</v>
      </c>
      <c r="C237" s="45" t="s">
        <v>37</v>
      </c>
      <c r="D237" s="62" t="s">
        <v>2931</v>
      </c>
      <c r="E237" s="11" t="s">
        <v>9</v>
      </c>
    </row>
    <row r="238">
      <c r="B238" s="62" t="s">
        <v>2930</v>
      </c>
      <c r="C238" s="45" t="s">
        <v>198</v>
      </c>
      <c r="D238" s="62" t="s">
        <v>1492</v>
      </c>
      <c r="E238" s="11" t="s">
        <v>13</v>
      </c>
    </row>
    <row r="239">
      <c r="B239" s="62" t="s">
        <v>2808</v>
      </c>
      <c r="C239" s="45" t="s">
        <v>1334</v>
      </c>
      <c r="D239" s="62" t="s">
        <v>2931</v>
      </c>
      <c r="E239" s="11" t="s">
        <v>9</v>
      </c>
    </row>
    <row r="240">
      <c r="B240" s="62" t="s">
        <v>2930</v>
      </c>
      <c r="C240" s="45" t="s">
        <v>20</v>
      </c>
      <c r="D240" s="62" t="s">
        <v>1931</v>
      </c>
      <c r="E240" s="11" t="s">
        <v>13</v>
      </c>
    </row>
    <row r="241">
      <c r="B241" s="62" t="s">
        <v>1492</v>
      </c>
      <c r="C241" s="45" t="s">
        <v>351</v>
      </c>
      <c r="D241" s="62" t="s">
        <v>2931</v>
      </c>
      <c r="E241" s="11" t="s">
        <v>9</v>
      </c>
    </row>
    <row r="242">
      <c r="B242" s="62" t="s">
        <v>2808</v>
      </c>
      <c r="C242" s="45" t="s">
        <v>23</v>
      </c>
      <c r="D242" s="62" t="s">
        <v>1931</v>
      </c>
      <c r="E242" s="11" t="s">
        <v>13</v>
      </c>
    </row>
    <row r="243">
      <c r="B243" s="52" t="s">
        <v>2910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2932</v>
      </c>
      <c r="C245" s="45" t="s">
        <v>158</v>
      </c>
      <c r="D245" s="62" t="s">
        <v>481</v>
      </c>
      <c r="E245" s="11" t="s">
        <v>9</v>
      </c>
    </row>
    <row r="246">
      <c r="B246" s="62" t="s">
        <v>2540</v>
      </c>
      <c r="C246" s="45" t="s">
        <v>166</v>
      </c>
      <c r="D246" s="62" t="s">
        <v>2933</v>
      </c>
      <c r="E246" s="11" t="s">
        <v>13</v>
      </c>
    </row>
    <row r="247">
      <c r="B247" s="62" t="s">
        <v>2934</v>
      </c>
      <c r="C247" s="45" t="s">
        <v>280</v>
      </c>
      <c r="D247" s="62" t="s">
        <v>2932</v>
      </c>
      <c r="E247" s="11" t="s">
        <v>9</v>
      </c>
    </row>
    <row r="248">
      <c r="B248" s="62" t="s">
        <v>2540</v>
      </c>
      <c r="C248" s="45" t="s">
        <v>162</v>
      </c>
      <c r="D248" s="62" t="s">
        <v>481</v>
      </c>
      <c r="E248" s="11" t="s">
        <v>13</v>
      </c>
    </row>
    <row r="249">
      <c r="B249" s="62" t="s">
        <v>2934</v>
      </c>
      <c r="C249" s="45" t="s">
        <v>185</v>
      </c>
      <c r="D249" s="62" t="s">
        <v>2933</v>
      </c>
      <c r="E249" s="11" t="s">
        <v>9</v>
      </c>
    </row>
    <row r="250">
      <c r="B250" s="62" t="s">
        <v>2540</v>
      </c>
      <c r="C250" s="45" t="s">
        <v>225</v>
      </c>
      <c r="D250" s="62" t="s">
        <v>2932</v>
      </c>
      <c r="E250" s="11" t="s">
        <v>13</v>
      </c>
    </row>
    <row r="251">
      <c r="B251" s="62" t="s">
        <v>2934</v>
      </c>
      <c r="C251" s="45" t="s">
        <v>231</v>
      </c>
      <c r="D251" s="62" t="s">
        <v>481</v>
      </c>
      <c r="E251" s="11" t="s">
        <v>9</v>
      </c>
    </row>
    <row r="252">
      <c r="B252" s="62" t="s">
        <v>2933</v>
      </c>
      <c r="C252" s="45" t="s">
        <v>290</v>
      </c>
      <c r="D252" s="62" t="s">
        <v>2932</v>
      </c>
      <c r="E252" s="11" t="s">
        <v>13</v>
      </c>
    </row>
    <row r="253">
      <c r="B253" s="62" t="s">
        <v>2934</v>
      </c>
      <c r="C253" s="45" t="s">
        <v>183</v>
      </c>
      <c r="D253" s="62" t="s">
        <v>2540</v>
      </c>
      <c r="E253" s="11" t="s">
        <v>9</v>
      </c>
    </row>
    <row r="254">
      <c r="B254" s="62" t="s">
        <v>2933</v>
      </c>
      <c r="C254" s="45" t="s">
        <v>196</v>
      </c>
      <c r="D254" s="62" t="s">
        <v>481</v>
      </c>
      <c r="E254" s="11" t="s">
        <v>13</v>
      </c>
    </row>
    <row r="255">
      <c r="B255" s="62" t="s">
        <v>481</v>
      </c>
      <c r="C255" s="45" t="s">
        <v>380</v>
      </c>
      <c r="D255" s="62" t="s">
        <v>2932</v>
      </c>
      <c r="E255" s="11" t="s">
        <v>9</v>
      </c>
    </row>
    <row r="256">
      <c r="B256" s="62" t="s">
        <v>2933</v>
      </c>
      <c r="C256" s="45" t="s">
        <v>155</v>
      </c>
      <c r="D256" s="62" t="s">
        <v>2540</v>
      </c>
      <c r="E256" s="11" t="s">
        <v>13</v>
      </c>
    </row>
    <row r="257">
      <c r="B257" s="62" t="s">
        <v>2932</v>
      </c>
      <c r="C257" s="45" t="s">
        <v>1015</v>
      </c>
      <c r="D257" s="62" t="s">
        <v>2934</v>
      </c>
      <c r="E257" s="11" t="s">
        <v>9</v>
      </c>
    </row>
    <row r="258">
      <c r="B258" s="62" t="s">
        <v>481</v>
      </c>
      <c r="C258" s="45" t="s">
        <v>210</v>
      </c>
      <c r="D258" s="62" t="s">
        <v>2540</v>
      </c>
      <c r="E258" s="11" t="s">
        <v>13</v>
      </c>
    </row>
    <row r="259">
      <c r="B259" s="62" t="s">
        <v>2933</v>
      </c>
      <c r="C259" s="45" t="s">
        <v>289</v>
      </c>
      <c r="D259" s="62" t="s">
        <v>2934</v>
      </c>
      <c r="E259" s="11" t="s">
        <v>9</v>
      </c>
    </row>
    <row r="260">
      <c r="B260" s="62" t="s">
        <v>2932</v>
      </c>
      <c r="C260" s="45" t="s">
        <v>209</v>
      </c>
      <c r="D260" s="62" t="s">
        <v>2540</v>
      </c>
      <c r="E260" s="11" t="s">
        <v>13</v>
      </c>
    </row>
    <row r="261">
      <c r="B261" s="62" t="s">
        <v>481</v>
      </c>
      <c r="C261" s="45" t="s">
        <v>210</v>
      </c>
      <c r="D261" s="62" t="s">
        <v>2934</v>
      </c>
      <c r="E261" s="11" t="s">
        <v>9</v>
      </c>
    </row>
    <row r="262">
      <c r="B262" s="62" t="s">
        <v>2932</v>
      </c>
      <c r="C262" s="45" t="s">
        <v>165</v>
      </c>
      <c r="D262" s="62" t="s">
        <v>2933</v>
      </c>
      <c r="E262" s="11" t="s">
        <v>13</v>
      </c>
    </row>
    <row r="263">
      <c r="B263" s="62" t="s">
        <v>2540</v>
      </c>
      <c r="C263" s="45" t="s">
        <v>27</v>
      </c>
      <c r="D263" s="62" t="s">
        <v>2934</v>
      </c>
      <c r="E263" s="11" t="s">
        <v>9</v>
      </c>
    </row>
    <row r="264">
      <c r="B264" s="62" t="s">
        <v>481</v>
      </c>
      <c r="C264" s="45" t="s">
        <v>344</v>
      </c>
      <c r="D264" s="62" t="s">
        <v>2933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2195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2096</v>
      </c>
      <c r="C3" s="45" t="s">
        <v>433</v>
      </c>
      <c r="D3" s="62" t="s">
        <v>2840</v>
      </c>
      <c r="E3" s="11" t="s">
        <v>9</v>
      </c>
    </row>
    <row r="4">
      <c r="A4" s="90"/>
      <c r="B4" s="62" t="s">
        <v>2841</v>
      </c>
      <c r="C4" s="45" t="s">
        <v>195</v>
      </c>
      <c r="D4" s="61" t="s">
        <v>2935</v>
      </c>
      <c r="E4" s="11" t="s">
        <v>13</v>
      </c>
    </row>
    <row r="5">
      <c r="A5" s="90"/>
      <c r="B5" s="62" t="s">
        <v>2467</v>
      </c>
      <c r="C5" s="45" t="s">
        <v>304</v>
      </c>
      <c r="D5" s="62" t="s">
        <v>2096</v>
      </c>
      <c r="E5" s="11" t="s">
        <v>9</v>
      </c>
    </row>
    <row r="6">
      <c r="A6" s="90"/>
      <c r="B6" s="62" t="s">
        <v>2841</v>
      </c>
      <c r="C6" s="45" t="s">
        <v>324</v>
      </c>
      <c r="D6" s="62" t="s">
        <v>2840</v>
      </c>
      <c r="E6" s="11" t="s">
        <v>13</v>
      </c>
    </row>
    <row r="7">
      <c r="A7" s="90"/>
      <c r="B7" s="62" t="s">
        <v>2467</v>
      </c>
      <c r="C7" s="45" t="s">
        <v>166</v>
      </c>
      <c r="D7" s="61" t="s">
        <v>2935</v>
      </c>
      <c r="E7" s="11" t="s">
        <v>9</v>
      </c>
    </row>
    <row r="8">
      <c r="A8" s="90"/>
      <c r="B8" s="62" t="s">
        <v>2841</v>
      </c>
      <c r="C8" s="45" t="s">
        <v>17</v>
      </c>
      <c r="D8" s="62" t="s">
        <v>2096</v>
      </c>
      <c r="E8" s="11" t="s">
        <v>13</v>
      </c>
    </row>
    <row r="9">
      <c r="A9" s="90"/>
      <c r="B9" s="62" t="s">
        <v>2467</v>
      </c>
      <c r="C9" s="45" t="s">
        <v>193</v>
      </c>
      <c r="D9" s="62" t="s">
        <v>2840</v>
      </c>
      <c r="E9" s="11" t="s">
        <v>9</v>
      </c>
    </row>
    <row r="10">
      <c r="A10" s="90"/>
      <c r="B10" s="61" t="s">
        <v>2935</v>
      </c>
      <c r="C10" s="45" t="s">
        <v>162</v>
      </c>
      <c r="D10" s="62" t="s">
        <v>2096</v>
      </c>
      <c r="E10" s="11" t="s">
        <v>13</v>
      </c>
    </row>
    <row r="11">
      <c r="A11" s="90"/>
      <c r="B11" s="62" t="s">
        <v>2467</v>
      </c>
      <c r="C11" s="45" t="s">
        <v>7</v>
      </c>
      <c r="D11" s="62" t="s">
        <v>2841</v>
      </c>
      <c r="E11" s="11" t="s">
        <v>9</v>
      </c>
    </row>
    <row r="12">
      <c r="A12" s="90"/>
      <c r="B12" s="61" t="s">
        <v>2935</v>
      </c>
      <c r="C12" s="45" t="s">
        <v>173</v>
      </c>
      <c r="D12" s="62" t="s">
        <v>2840</v>
      </c>
      <c r="E12" s="11" t="s">
        <v>13</v>
      </c>
    </row>
    <row r="13">
      <c r="A13" s="90"/>
      <c r="B13" s="62" t="s">
        <v>2840</v>
      </c>
      <c r="C13" s="45" t="s">
        <v>164</v>
      </c>
      <c r="D13" s="62" t="s">
        <v>2096</v>
      </c>
      <c r="E13" s="11" t="s">
        <v>9</v>
      </c>
    </row>
    <row r="14">
      <c r="A14" s="90"/>
      <c r="B14" s="61" t="s">
        <v>2935</v>
      </c>
      <c r="C14" s="45" t="s">
        <v>357</v>
      </c>
      <c r="D14" s="62" t="s">
        <v>2841</v>
      </c>
      <c r="E14" s="11" t="s">
        <v>13</v>
      </c>
    </row>
    <row r="15">
      <c r="A15" s="90"/>
      <c r="B15" s="62" t="s">
        <v>2096</v>
      </c>
      <c r="C15" s="45" t="s">
        <v>7</v>
      </c>
      <c r="D15" s="62" t="s">
        <v>2467</v>
      </c>
      <c r="E15" s="11" t="s">
        <v>9</v>
      </c>
    </row>
    <row r="16">
      <c r="A16" s="90"/>
      <c r="B16" s="62" t="s">
        <v>2840</v>
      </c>
      <c r="C16" s="45" t="s">
        <v>158</v>
      </c>
      <c r="D16" s="62" t="s">
        <v>2841</v>
      </c>
      <c r="E16" s="11" t="s">
        <v>13</v>
      </c>
    </row>
    <row r="17">
      <c r="A17" s="90"/>
      <c r="B17" s="61" t="s">
        <v>2935</v>
      </c>
      <c r="C17" s="45" t="s">
        <v>23</v>
      </c>
      <c r="D17" s="62" t="s">
        <v>2467</v>
      </c>
      <c r="E17" s="11" t="s">
        <v>9</v>
      </c>
    </row>
    <row r="18">
      <c r="A18" s="90"/>
      <c r="B18" s="62" t="s">
        <v>2096</v>
      </c>
      <c r="C18" s="45" t="s">
        <v>158</v>
      </c>
      <c r="D18" s="62" t="s">
        <v>2841</v>
      </c>
      <c r="E18" s="11" t="s">
        <v>13</v>
      </c>
    </row>
    <row r="19">
      <c r="A19" s="90"/>
      <c r="B19" s="62" t="s">
        <v>2840</v>
      </c>
      <c r="C19" s="45" t="s">
        <v>264</v>
      </c>
      <c r="D19" s="62" t="s">
        <v>2467</v>
      </c>
      <c r="E19" s="11" t="s">
        <v>9</v>
      </c>
    </row>
    <row r="20">
      <c r="A20" s="90"/>
      <c r="B20" s="62" t="s">
        <v>2096</v>
      </c>
      <c r="C20" s="45" t="s">
        <v>27</v>
      </c>
      <c r="D20" s="61" t="s">
        <v>2935</v>
      </c>
      <c r="E20" s="11" t="s">
        <v>13</v>
      </c>
    </row>
    <row r="21">
      <c r="A21" s="90"/>
      <c r="B21" s="62" t="s">
        <v>2841</v>
      </c>
      <c r="C21" s="45" t="s">
        <v>14</v>
      </c>
      <c r="D21" s="62" t="s">
        <v>2467</v>
      </c>
      <c r="E21" s="11" t="s">
        <v>9</v>
      </c>
    </row>
    <row r="22">
      <c r="A22" s="90"/>
      <c r="B22" s="62" t="s">
        <v>2840</v>
      </c>
      <c r="C22" s="45" t="s">
        <v>517</v>
      </c>
      <c r="D22" s="61" t="s">
        <v>2935</v>
      </c>
      <c r="E22" s="11" t="s">
        <v>13</v>
      </c>
    </row>
    <row r="23">
      <c r="A23" s="90"/>
      <c r="B23" s="96" t="s">
        <v>2576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2936</v>
      </c>
      <c r="C25" s="45" t="s">
        <v>335</v>
      </c>
      <c r="D25" s="62" t="s">
        <v>2937</v>
      </c>
      <c r="E25" s="11" t="s">
        <v>9</v>
      </c>
    </row>
    <row r="26">
      <c r="A26" s="90"/>
      <c r="B26" s="62" t="s">
        <v>2938</v>
      </c>
      <c r="C26" s="45" t="s">
        <v>43</v>
      </c>
      <c r="D26" s="61" t="s">
        <v>2183</v>
      </c>
      <c r="E26" s="11" t="s">
        <v>13</v>
      </c>
    </row>
    <row r="27">
      <c r="A27" s="90"/>
      <c r="B27" s="62" t="s">
        <v>30</v>
      </c>
      <c r="C27" s="45" t="s">
        <v>786</v>
      </c>
      <c r="D27" s="62" t="s">
        <v>2936</v>
      </c>
      <c r="E27" s="11" t="s">
        <v>9</v>
      </c>
    </row>
    <row r="28">
      <c r="A28" s="90"/>
      <c r="B28" s="62" t="s">
        <v>2938</v>
      </c>
      <c r="C28" s="45" t="s">
        <v>41</v>
      </c>
      <c r="D28" s="62" t="s">
        <v>2937</v>
      </c>
      <c r="E28" s="11" t="s">
        <v>13</v>
      </c>
    </row>
    <row r="29">
      <c r="A29" s="90"/>
      <c r="B29" s="62" t="s">
        <v>30</v>
      </c>
      <c r="C29" s="45" t="s">
        <v>454</v>
      </c>
      <c r="D29" s="61" t="s">
        <v>2183</v>
      </c>
      <c r="E29" s="11" t="s">
        <v>9</v>
      </c>
    </row>
    <row r="30">
      <c r="A30" s="90"/>
      <c r="B30" s="62" t="s">
        <v>2938</v>
      </c>
      <c r="C30" s="45" t="s">
        <v>198</v>
      </c>
      <c r="D30" s="62" t="s">
        <v>2936</v>
      </c>
      <c r="E30" s="11" t="s">
        <v>13</v>
      </c>
    </row>
    <row r="31">
      <c r="A31" s="90"/>
      <c r="B31" s="62" t="s">
        <v>30</v>
      </c>
      <c r="C31" s="45" t="s">
        <v>233</v>
      </c>
      <c r="D31" s="62" t="s">
        <v>2937</v>
      </c>
      <c r="E31" s="11" t="s">
        <v>9</v>
      </c>
    </row>
    <row r="32">
      <c r="A32" s="90"/>
      <c r="B32" s="61" t="s">
        <v>2183</v>
      </c>
      <c r="C32" s="45" t="s">
        <v>336</v>
      </c>
      <c r="D32" s="62" t="s">
        <v>2936</v>
      </c>
      <c r="E32" s="11" t="s">
        <v>13</v>
      </c>
    </row>
    <row r="33">
      <c r="A33" s="90"/>
      <c r="B33" s="62" t="s">
        <v>30</v>
      </c>
      <c r="C33" s="45" t="s">
        <v>16</v>
      </c>
      <c r="D33" s="62" t="s">
        <v>2938</v>
      </c>
      <c r="E33" s="11" t="s">
        <v>9</v>
      </c>
    </row>
    <row r="34">
      <c r="A34" s="90"/>
      <c r="B34" s="61" t="s">
        <v>2183</v>
      </c>
      <c r="C34" s="45" t="s">
        <v>1675</v>
      </c>
      <c r="D34" s="62" t="s">
        <v>2937</v>
      </c>
      <c r="E34" s="11" t="s">
        <v>13</v>
      </c>
    </row>
    <row r="35">
      <c r="A35" s="90"/>
      <c r="B35" s="62" t="s">
        <v>2937</v>
      </c>
      <c r="C35" s="45" t="s">
        <v>2939</v>
      </c>
      <c r="D35" s="62" t="s">
        <v>2936</v>
      </c>
      <c r="E35" s="11" t="s">
        <v>9</v>
      </c>
    </row>
    <row r="36">
      <c r="A36" s="90"/>
      <c r="B36" s="61" t="s">
        <v>2183</v>
      </c>
      <c r="C36" s="45" t="s">
        <v>517</v>
      </c>
      <c r="D36" s="62" t="s">
        <v>2938</v>
      </c>
      <c r="E36" s="11" t="s">
        <v>13</v>
      </c>
    </row>
    <row r="37">
      <c r="A37" s="90"/>
      <c r="B37" s="62" t="s">
        <v>2936</v>
      </c>
      <c r="C37" s="45" t="s">
        <v>301</v>
      </c>
      <c r="D37" s="62" t="s">
        <v>30</v>
      </c>
      <c r="E37" s="11" t="s">
        <v>9</v>
      </c>
    </row>
    <row r="38">
      <c r="A38" s="90"/>
      <c r="B38" s="62" t="s">
        <v>2937</v>
      </c>
      <c r="C38" s="45" t="s">
        <v>417</v>
      </c>
      <c r="D38" s="62" t="s">
        <v>2938</v>
      </c>
      <c r="E38" s="11" t="s">
        <v>13</v>
      </c>
    </row>
    <row r="39">
      <c r="A39" s="90"/>
      <c r="B39" s="61" t="s">
        <v>2183</v>
      </c>
      <c r="C39" s="45" t="s">
        <v>327</v>
      </c>
      <c r="D39" s="62" t="s">
        <v>30</v>
      </c>
      <c r="E39" s="11" t="s">
        <v>9</v>
      </c>
    </row>
    <row r="40">
      <c r="A40" s="90"/>
      <c r="B40" s="62" t="s">
        <v>2936</v>
      </c>
      <c r="C40" s="45" t="s">
        <v>336</v>
      </c>
      <c r="D40" s="62" t="s">
        <v>2938</v>
      </c>
      <c r="E40" s="11" t="s">
        <v>13</v>
      </c>
    </row>
    <row r="41">
      <c r="A41" s="90"/>
      <c r="B41" s="62" t="s">
        <v>2937</v>
      </c>
      <c r="C41" s="45" t="s">
        <v>165</v>
      </c>
      <c r="D41" s="62" t="s">
        <v>30</v>
      </c>
      <c r="E41" s="11" t="s">
        <v>9</v>
      </c>
    </row>
    <row r="42">
      <c r="A42" s="90"/>
      <c r="B42" s="62" t="s">
        <v>2936</v>
      </c>
      <c r="C42" s="45" t="s">
        <v>665</v>
      </c>
      <c r="D42" s="61" t="s">
        <v>2183</v>
      </c>
      <c r="E42" s="11" t="s">
        <v>13</v>
      </c>
    </row>
    <row r="43">
      <c r="A43" s="90"/>
      <c r="B43" s="62" t="s">
        <v>2938</v>
      </c>
      <c r="C43" s="45" t="s">
        <v>14</v>
      </c>
      <c r="D43" s="62" t="s">
        <v>30</v>
      </c>
      <c r="E43" s="11" t="s">
        <v>9</v>
      </c>
    </row>
    <row r="44">
      <c r="A44" s="91"/>
      <c r="B44" s="62" t="s">
        <v>2937</v>
      </c>
      <c r="C44" s="45" t="s">
        <v>756</v>
      </c>
      <c r="D44" s="61" t="s">
        <v>2183</v>
      </c>
      <c r="E44" s="11" t="s">
        <v>13</v>
      </c>
    </row>
    <row r="45">
      <c r="B45" s="1" t="s">
        <v>2882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2940</v>
      </c>
      <c r="C47" s="45" t="s">
        <v>42</v>
      </c>
      <c r="D47" s="61" t="s">
        <v>2941</v>
      </c>
      <c r="E47" s="11" t="s">
        <v>9</v>
      </c>
    </row>
    <row r="48">
      <c r="B48" s="61" t="s">
        <v>2942</v>
      </c>
      <c r="C48" s="45" t="s">
        <v>327</v>
      </c>
      <c r="D48" s="61" t="s">
        <v>2943</v>
      </c>
      <c r="E48" s="11" t="s">
        <v>13</v>
      </c>
    </row>
    <row r="49">
      <c r="B49" s="61" t="s">
        <v>2944</v>
      </c>
      <c r="C49" s="45" t="s">
        <v>289</v>
      </c>
      <c r="D49" s="61" t="s">
        <v>2940</v>
      </c>
      <c r="E49" s="11" t="s">
        <v>9</v>
      </c>
    </row>
    <row r="50">
      <c r="B50" s="61" t="s">
        <v>2942</v>
      </c>
      <c r="C50" s="45" t="s">
        <v>20</v>
      </c>
      <c r="D50" s="61" t="s">
        <v>2941</v>
      </c>
      <c r="E50" s="11" t="s">
        <v>13</v>
      </c>
    </row>
    <row r="51">
      <c r="B51" s="61" t="s">
        <v>2944</v>
      </c>
      <c r="C51" s="45" t="s">
        <v>1227</v>
      </c>
      <c r="D51" s="61" t="s">
        <v>2943</v>
      </c>
      <c r="E51" s="11" t="s">
        <v>9</v>
      </c>
    </row>
    <row r="52">
      <c r="B52" s="61" t="s">
        <v>2942</v>
      </c>
      <c r="C52" s="45" t="s">
        <v>18</v>
      </c>
      <c r="D52" s="61" t="s">
        <v>2940</v>
      </c>
      <c r="E52" s="11" t="s">
        <v>13</v>
      </c>
    </row>
    <row r="53">
      <c r="B53" s="61" t="s">
        <v>2944</v>
      </c>
      <c r="C53" s="45" t="s">
        <v>250</v>
      </c>
      <c r="D53" s="61" t="s">
        <v>2941</v>
      </c>
      <c r="E53" s="11" t="s">
        <v>9</v>
      </c>
    </row>
    <row r="54">
      <c r="B54" s="61" t="s">
        <v>2943</v>
      </c>
      <c r="C54" s="45" t="s">
        <v>23</v>
      </c>
      <c r="D54" s="61" t="s">
        <v>2940</v>
      </c>
      <c r="E54" s="11" t="s">
        <v>13</v>
      </c>
    </row>
    <row r="55">
      <c r="B55" s="61" t="s">
        <v>2944</v>
      </c>
      <c r="C55" s="45" t="s">
        <v>157</v>
      </c>
      <c r="D55" s="61" t="s">
        <v>2942</v>
      </c>
      <c r="E55" s="11" t="s">
        <v>9</v>
      </c>
    </row>
    <row r="56">
      <c r="B56" s="61" t="s">
        <v>2943</v>
      </c>
      <c r="C56" s="45" t="s">
        <v>181</v>
      </c>
      <c r="D56" s="61" t="s">
        <v>2941</v>
      </c>
      <c r="E56" s="11" t="s">
        <v>13</v>
      </c>
    </row>
    <row r="57">
      <c r="B57" s="61" t="s">
        <v>2941</v>
      </c>
      <c r="C57" s="45" t="s">
        <v>292</v>
      </c>
      <c r="D57" s="61" t="s">
        <v>2940</v>
      </c>
      <c r="E57" s="11" t="s">
        <v>9</v>
      </c>
    </row>
    <row r="58">
      <c r="B58" s="61" t="s">
        <v>2943</v>
      </c>
      <c r="C58" s="45" t="s">
        <v>366</v>
      </c>
      <c r="D58" s="61" t="s">
        <v>2942</v>
      </c>
      <c r="E58" s="11" t="s">
        <v>13</v>
      </c>
    </row>
    <row r="59">
      <c r="B59" s="61" t="s">
        <v>2940</v>
      </c>
      <c r="C59" s="45" t="s">
        <v>344</v>
      </c>
      <c r="D59" s="61" t="s">
        <v>2944</v>
      </c>
      <c r="E59" s="11" t="s">
        <v>9</v>
      </c>
    </row>
    <row r="60">
      <c r="B60" s="61" t="s">
        <v>2941</v>
      </c>
      <c r="C60" s="45" t="s">
        <v>158</v>
      </c>
      <c r="D60" s="61" t="s">
        <v>2942</v>
      </c>
      <c r="E60" s="11" t="s">
        <v>13</v>
      </c>
    </row>
    <row r="61">
      <c r="B61" s="61" t="s">
        <v>2943</v>
      </c>
      <c r="C61" s="45" t="s">
        <v>158</v>
      </c>
      <c r="D61" s="61" t="s">
        <v>2944</v>
      </c>
      <c r="E61" s="11" t="s">
        <v>9</v>
      </c>
    </row>
    <row r="62">
      <c r="B62" s="61" t="s">
        <v>2940</v>
      </c>
      <c r="C62" s="45" t="s">
        <v>193</v>
      </c>
      <c r="D62" s="61" t="s">
        <v>2942</v>
      </c>
      <c r="E62" s="11" t="s">
        <v>13</v>
      </c>
    </row>
    <row r="63">
      <c r="B63" s="61" t="s">
        <v>2941</v>
      </c>
      <c r="C63" s="45" t="s">
        <v>258</v>
      </c>
      <c r="D63" s="61" t="s">
        <v>2944</v>
      </c>
      <c r="E63" s="11" t="s">
        <v>9</v>
      </c>
    </row>
    <row r="64">
      <c r="B64" s="61" t="s">
        <v>2940</v>
      </c>
      <c r="C64" s="45" t="s">
        <v>210</v>
      </c>
      <c r="D64" s="61" t="s">
        <v>2943</v>
      </c>
      <c r="E64" s="11" t="s">
        <v>13</v>
      </c>
    </row>
    <row r="65">
      <c r="B65" s="61" t="s">
        <v>2942</v>
      </c>
      <c r="C65" s="45" t="s">
        <v>220</v>
      </c>
      <c r="D65" s="61" t="s">
        <v>2944</v>
      </c>
      <c r="E65" s="11" t="s">
        <v>9</v>
      </c>
    </row>
    <row r="66">
      <c r="B66" s="61" t="s">
        <v>2941</v>
      </c>
      <c r="C66" s="45" t="s">
        <v>164</v>
      </c>
      <c r="D66" s="61" t="s">
        <v>2943</v>
      </c>
      <c r="E66" s="11" t="s">
        <v>13</v>
      </c>
    </row>
    <row r="67">
      <c r="B67" s="1" t="s">
        <v>2207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2945</v>
      </c>
      <c r="C69" s="45" t="s">
        <v>248</v>
      </c>
      <c r="D69" s="61" t="s">
        <v>2946</v>
      </c>
      <c r="E69" s="11" t="s">
        <v>9</v>
      </c>
    </row>
    <row r="70">
      <c r="B70" s="61" t="s">
        <v>2947</v>
      </c>
      <c r="C70" s="45" t="s">
        <v>7</v>
      </c>
      <c r="D70" s="61" t="s">
        <v>2948</v>
      </c>
      <c r="E70" s="11" t="s">
        <v>13</v>
      </c>
    </row>
    <row r="71">
      <c r="B71" s="61" t="s">
        <v>2949</v>
      </c>
      <c r="C71" s="45" t="s">
        <v>7</v>
      </c>
      <c r="D71" s="61" t="s">
        <v>2945</v>
      </c>
      <c r="E71" s="11" t="s">
        <v>9</v>
      </c>
    </row>
    <row r="72">
      <c r="B72" s="61" t="s">
        <v>2947</v>
      </c>
      <c r="C72" s="45" t="s">
        <v>344</v>
      </c>
      <c r="D72" s="61" t="s">
        <v>2946</v>
      </c>
      <c r="E72" s="11" t="s">
        <v>13</v>
      </c>
    </row>
    <row r="73">
      <c r="B73" s="61" t="s">
        <v>2949</v>
      </c>
      <c r="C73" s="45" t="s">
        <v>155</v>
      </c>
      <c r="D73" s="61" t="s">
        <v>2948</v>
      </c>
      <c r="E73" s="11" t="s">
        <v>9</v>
      </c>
    </row>
    <row r="74">
      <c r="B74" s="61" t="s">
        <v>2947</v>
      </c>
      <c r="C74" s="45" t="s">
        <v>193</v>
      </c>
      <c r="D74" s="61" t="s">
        <v>2945</v>
      </c>
      <c r="E74" s="11" t="s">
        <v>13</v>
      </c>
    </row>
    <row r="75">
      <c r="B75" s="61" t="s">
        <v>2949</v>
      </c>
      <c r="C75" s="45" t="s">
        <v>264</v>
      </c>
      <c r="D75" s="61" t="s">
        <v>2946</v>
      </c>
      <c r="E75" s="11" t="s">
        <v>9</v>
      </c>
    </row>
    <row r="76">
      <c r="B76" s="61" t="s">
        <v>2948</v>
      </c>
      <c r="C76" s="45" t="s">
        <v>20</v>
      </c>
      <c r="D76" s="61" t="s">
        <v>2945</v>
      </c>
      <c r="E76" s="11" t="s">
        <v>13</v>
      </c>
    </row>
    <row r="77">
      <c r="B77" s="61" t="s">
        <v>2949</v>
      </c>
      <c r="C77" s="45" t="s">
        <v>998</v>
      </c>
      <c r="D77" s="61" t="s">
        <v>2947</v>
      </c>
      <c r="E77" s="11" t="s">
        <v>9</v>
      </c>
    </row>
    <row r="78">
      <c r="B78" s="61" t="s">
        <v>2948</v>
      </c>
      <c r="C78" s="45" t="s">
        <v>219</v>
      </c>
      <c r="D78" s="61" t="s">
        <v>2946</v>
      </c>
      <c r="E78" s="11" t="s">
        <v>13</v>
      </c>
    </row>
    <row r="79">
      <c r="B79" s="61" t="s">
        <v>2946</v>
      </c>
      <c r="C79" s="45" t="s">
        <v>344</v>
      </c>
      <c r="D79" s="61" t="s">
        <v>2945</v>
      </c>
      <c r="E79" s="11" t="s">
        <v>9</v>
      </c>
    </row>
    <row r="80">
      <c r="B80" s="61" t="s">
        <v>2948</v>
      </c>
      <c r="C80" s="45" t="s">
        <v>162</v>
      </c>
      <c r="D80" s="61" t="s">
        <v>2947</v>
      </c>
      <c r="E80" s="11" t="s">
        <v>13</v>
      </c>
    </row>
    <row r="81">
      <c r="B81" s="61" t="s">
        <v>2945</v>
      </c>
      <c r="C81" s="45" t="s">
        <v>18</v>
      </c>
      <c r="D81" s="61" t="s">
        <v>2949</v>
      </c>
      <c r="E81" s="11" t="s">
        <v>9</v>
      </c>
    </row>
    <row r="82">
      <c r="B82" s="61" t="s">
        <v>2946</v>
      </c>
      <c r="C82" s="45" t="s">
        <v>250</v>
      </c>
      <c r="D82" s="61" t="s">
        <v>2947</v>
      </c>
      <c r="E82" s="11" t="s">
        <v>13</v>
      </c>
    </row>
    <row r="83">
      <c r="B83" s="61" t="s">
        <v>2948</v>
      </c>
      <c r="C83" s="45" t="s">
        <v>281</v>
      </c>
      <c r="D83" s="61" t="s">
        <v>2949</v>
      </c>
      <c r="E83" s="11" t="s">
        <v>9</v>
      </c>
    </row>
    <row r="84">
      <c r="B84" s="61" t="s">
        <v>2945</v>
      </c>
      <c r="C84" s="45" t="s">
        <v>227</v>
      </c>
      <c r="D84" s="61" t="s">
        <v>2947</v>
      </c>
      <c r="E84" s="11" t="s">
        <v>13</v>
      </c>
    </row>
    <row r="85">
      <c r="B85" s="61" t="s">
        <v>2946</v>
      </c>
      <c r="C85" s="45" t="s">
        <v>250</v>
      </c>
      <c r="D85" s="61" t="s">
        <v>2949</v>
      </c>
      <c r="E85" s="11" t="s">
        <v>9</v>
      </c>
    </row>
    <row r="86">
      <c r="B86" s="61" t="s">
        <v>2945</v>
      </c>
      <c r="C86" s="45" t="s">
        <v>162</v>
      </c>
      <c r="D86" s="61" t="s">
        <v>2948</v>
      </c>
      <c r="E86" s="11" t="s">
        <v>13</v>
      </c>
    </row>
    <row r="87">
      <c r="B87" s="61" t="s">
        <v>2947</v>
      </c>
      <c r="C87" s="45" t="s">
        <v>279</v>
      </c>
      <c r="D87" s="61" t="s">
        <v>2949</v>
      </c>
      <c r="E87" s="11" t="s">
        <v>9</v>
      </c>
    </row>
    <row r="88">
      <c r="B88" s="61" t="s">
        <v>2946</v>
      </c>
      <c r="C88" s="45" t="s">
        <v>216</v>
      </c>
      <c r="D88" s="61" t="s">
        <v>2948</v>
      </c>
      <c r="E88" s="11" t="s">
        <v>13</v>
      </c>
    </row>
    <row r="89">
      <c r="B89" s="1" t="s">
        <v>2646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2149</v>
      </c>
      <c r="C91" s="45" t="s">
        <v>19</v>
      </c>
      <c r="D91" s="61" t="s">
        <v>2613</v>
      </c>
      <c r="E91" s="33" t="s">
        <v>29</v>
      </c>
    </row>
    <row r="92">
      <c r="B92" s="61" t="s">
        <v>2612</v>
      </c>
      <c r="C92" s="45" t="s">
        <v>525</v>
      </c>
      <c r="D92" s="61" t="s">
        <v>2021</v>
      </c>
      <c r="E92" s="33" t="s">
        <v>33</v>
      </c>
    </row>
    <row r="93">
      <c r="B93" s="61" t="s">
        <v>1641</v>
      </c>
      <c r="C93" s="45" t="s">
        <v>7</v>
      </c>
      <c r="D93" s="61" t="s">
        <v>2149</v>
      </c>
      <c r="E93" s="33" t="s">
        <v>29</v>
      </c>
    </row>
    <row r="94">
      <c r="B94" s="61" t="s">
        <v>2612</v>
      </c>
      <c r="C94" s="45" t="s">
        <v>177</v>
      </c>
      <c r="D94" s="61" t="s">
        <v>2613</v>
      </c>
      <c r="E94" s="33" t="s">
        <v>33</v>
      </c>
    </row>
    <row r="95">
      <c r="B95" s="61" t="s">
        <v>1641</v>
      </c>
      <c r="C95" s="45" t="s">
        <v>181</v>
      </c>
      <c r="D95" s="61" t="s">
        <v>2021</v>
      </c>
      <c r="E95" s="33" t="s">
        <v>29</v>
      </c>
    </row>
    <row r="96">
      <c r="B96" s="61" t="s">
        <v>2612</v>
      </c>
      <c r="C96" s="45" t="s">
        <v>250</v>
      </c>
      <c r="D96" s="61" t="s">
        <v>2149</v>
      </c>
      <c r="E96" s="33" t="s">
        <v>33</v>
      </c>
    </row>
    <row r="97">
      <c r="B97" s="61" t="s">
        <v>1641</v>
      </c>
      <c r="C97" s="45" t="s">
        <v>44</v>
      </c>
      <c r="D97" s="61" t="s">
        <v>2613</v>
      </c>
      <c r="E97" s="33" t="s">
        <v>29</v>
      </c>
    </row>
    <row r="98">
      <c r="B98" s="61" t="s">
        <v>2021</v>
      </c>
      <c r="C98" s="45" t="s">
        <v>185</v>
      </c>
      <c r="D98" s="61" t="s">
        <v>2149</v>
      </c>
      <c r="E98" s="33" t="s">
        <v>33</v>
      </c>
    </row>
    <row r="99">
      <c r="B99" s="61" t="s">
        <v>1641</v>
      </c>
      <c r="C99" s="45" t="s">
        <v>18</v>
      </c>
      <c r="D99" s="61" t="s">
        <v>2612</v>
      </c>
      <c r="E99" s="33" t="s">
        <v>29</v>
      </c>
      <c r="I99" s="50" t="s">
        <v>514</v>
      </c>
    </row>
    <row r="100">
      <c r="B100" s="61" t="s">
        <v>2021</v>
      </c>
      <c r="C100" s="45" t="s">
        <v>16</v>
      </c>
      <c r="D100" s="61" t="s">
        <v>2613</v>
      </c>
      <c r="E100" s="33" t="s">
        <v>33</v>
      </c>
    </row>
    <row r="101">
      <c r="B101" s="61" t="s">
        <v>2613</v>
      </c>
      <c r="C101" s="45" t="s">
        <v>209</v>
      </c>
      <c r="D101" s="61" t="s">
        <v>2149</v>
      </c>
      <c r="E101" s="33" t="s">
        <v>29</v>
      </c>
    </row>
    <row r="102">
      <c r="B102" s="61" t="s">
        <v>2021</v>
      </c>
      <c r="C102" s="45" t="s">
        <v>281</v>
      </c>
      <c r="D102" s="61" t="s">
        <v>2612</v>
      </c>
      <c r="E102" s="33" t="s">
        <v>33</v>
      </c>
    </row>
    <row r="103">
      <c r="B103" s="61" t="s">
        <v>2149</v>
      </c>
      <c r="C103" s="45" t="s">
        <v>610</v>
      </c>
      <c r="D103" s="61" t="s">
        <v>1641</v>
      </c>
      <c r="E103" s="33" t="s">
        <v>29</v>
      </c>
    </row>
    <row r="104">
      <c r="B104" s="61" t="s">
        <v>2613</v>
      </c>
      <c r="C104" s="45" t="s">
        <v>219</v>
      </c>
      <c r="D104" s="61" t="s">
        <v>2612</v>
      </c>
      <c r="E104" s="33" t="s">
        <v>33</v>
      </c>
    </row>
    <row r="105">
      <c r="B105" s="61" t="s">
        <v>2021</v>
      </c>
      <c r="C105" s="45" t="s">
        <v>181</v>
      </c>
      <c r="D105" s="61" t="s">
        <v>1641</v>
      </c>
      <c r="E105" s="33" t="s">
        <v>29</v>
      </c>
    </row>
    <row r="106">
      <c r="B106" s="61" t="s">
        <v>2149</v>
      </c>
      <c r="C106" s="45" t="s">
        <v>185</v>
      </c>
      <c r="D106" s="61" t="s">
        <v>2612</v>
      </c>
      <c r="E106" s="33" t="s">
        <v>33</v>
      </c>
    </row>
    <row r="107">
      <c r="B107" s="61" t="s">
        <v>2613</v>
      </c>
      <c r="C107" s="45" t="s">
        <v>24</v>
      </c>
      <c r="D107" s="61" t="s">
        <v>1641</v>
      </c>
      <c r="E107" s="33" t="s">
        <v>29</v>
      </c>
    </row>
    <row r="108">
      <c r="B108" s="61" t="s">
        <v>2149</v>
      </c>
      <c r="C108" s="45" t="s">
        <v>302</v>
      </c>
      <c r="D108" s="61" t="s">
        <v>2021</v>
      </c>
      <c r="E108" s="33" t="s">
        <v>33</v>
      </c>
    </row>
    <row r="109">
      <c r="B109" s="61" t="s">
        <v>2612</v>
      </c>
      <c r="C109" s="45" t="s">
        <v>352</v>
      </c>
      <c r="D109" s="61" t="s">
        <v>1641</v>
      </c>
      <c r="E109" s="33" t="s">
        <v>29</v>
      </c>
    </row>
    <row r="110">
      <c r="B110" s="61" t="s">
        <v>2613</v>
      </c>
      <c r="C110" s="45" t="s">
        <v>545</v>
      </c>
      <c r="D110" s="61" t="s">
        <v>2021</v>
      </c>
      <c r="E110" s="33" t="s">
        <v>33</v>
      </c>
    </row>
    <row r="111">
      <c r="B111" s="1" t="s">
        <v>2950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2951</v>
      </c>
      <c r="C113" s="57" t="s">
        <v>155</v>
      </c>
      <c r="D113" s="61" t="s">
        <v>2044</v>
      </c>
      <c r="E113" s="33" t="s">
        <v>29</v>
      </c>
    </row>
    <row r="114">
      <c r="B114" s="61" t="s">
        <v>2952</v>
      </c>
      <c r="C114" s="57" t="s">
        <v>20</v>
      </c>
      <c r="D114" s="61" t="s">
        <v>2953</v>
      </c>
      <c r="E114" s="33" t="s">
        <v>33</v>
      </c>
    </row>
    <row r="115">
      <c r="B115" s="61" t="s">
        <v>2046</v>
      </c>
      <c r="C115" s="57" t="s">
        <v>279</v>
      </c>
      <c r="D115" s="61" t="s">
        <v>2951</v>
      </c>
      <c r="E115" s="33" t="s">
        <v>29</v>
      </c>
    </row>
    <row r="116">
      <c r="B116" s="61" t="s">
        <v>2952</v>
      </c>
      <c r="C116" s="57" t="s">
        <v>856</v>
      </c>
      <c r="D116" s="61" t="s">
        <v>2044</v>
      </c>
      <c r="E116" s="33" t="s">
        <v>33</v>
      </c>
    </row>
    <row r="117">
      <c r="B117" s="61" t="s">
        <v>2046</v>
      </c>
      <c r="C117" s="57" t="s">
        <v>173</v>
      </c>
      <c r="D117" s="61" t="s">
        <v>2953</v>
      </c>
      <c r="E117" s="33" t="s">
        <v>29</v>
      </c>
    </row>
    <row r="118">
      <c r="B118" s="61" t="s">
        <v>2952</v>
      </c>
      <c r="C118" s="57" t="s">
        <v>250</v>
      </c>
      <c r="D118" s="61" t="s">
        <v>2951</v>
      </c>
      <c r="E118" s="33" t="s">
        <v>33</v>
      </c>
    </row>
    <row r="119">
      <c r="B119" s="61" t="s">
        <v>2046</v>
      </c>
      <c r="C119" s="57" t="s">
        <v>17</v>
      </c>
      <c r="D119" s="61" t="s">
        <v>2044</v>
      </c>
      <c r="E119" s="33" t="s">
        <v>29</v>
      </c>
    </row>
    <row r="120">
      <c r="B120" s="61" t="s">
        <v>2953</v>
      </c>
      <c r="C120" s="57" t="s">
        <v>158</v>
      </c>
      <c r="D120" s="61" t="s">
        <v>2951</v>
      </c>
      <c r="E120" s="33" t="s">
        <v>33</v>
      </c>
    </row>
    <row r="121">
      <c r="B121" s="61" t="s">
        <v>2046</v>
      </c>
      <c r="C121" s="57" t="s">
        <v>290</v>
      </c>
      <c r="D121" s="61" t="s">
        <v>2952</v>
      </c>
      <c r="E121" s="33" t="s">
        <v>29</v>
      </c>
      <c r="H121" s="50"/>
    </row>
    <row r="122">
      <c r="B122" s="61" t="s">
        <v>2953</v>
      </c>
      <c r="C122" s="57" t="s">
        <v>38</v>
      </c>
      <c r="D122" s="61" t="s">
        <v>2044</v>
      </c>
      <c r="E122" s="33" t="s">
        <v>33</v>
      </c>
    </row>
    <row r="123">
      <c r="B123" s="61" t="s">
        <v>2044</v>
      </c>
      <c r="C123" s="57" t="s">
        <v>164</v>
      </c>
      <c r="D123" s="61" t="s">
        <v>2951</v>
      </c>
      <c r="E123" s="33" t="s">
        <v>29</v>
      </c>
    </row>
    <row r="124">
      <c r="B124" s="61" t="s">
        <v>2953</v>
      </c>
      <c r="C124" s="57" t="s">
        <v>368</v>
      </c>
      <c r="D124" s="61" t="s">
        <v>2952</v>
      </c>
      <c r="E124" s="33" t="s">
        <v>33</v>
      </c>
      <c r="H124" s="50"/>
    </row>
    <row r="125">
      <c r="B125" s="61" t="s">
        <v>2951</v>
      </c>
      <c r="C125" s="45" t="s">
        <v>16</v>
      </c>
      <c r="D125" s="61" t="s">
        <v>2046</v>
      </c>
      <c r="E125" s="33" t="s">
        <v>29</v>
      </c>
    </row>
    <row r="126">
      <c r="B126" s="61" t="s">
        <v>2044</v>
      </c>
      <c r="C126" s="45" t="s">
        <v>194</v>
      </c>
      <c r="D126" s="61" t="s">
        <v>2952</v>
      </c>
      <c r="E126" s="33" t="s">
        <v>33</v>
      </c>
      <c r="H126" s="50" t="s">
        <v>514</v>
      </c>
    </row>
    <row r="127">
      <c r="B127" s="61" t="s">
        <v>2953</v>
      </c>
      <c r="C127" s="45" t="s">
        <v>220</v>
      </c>
      <c r="D127" s="61" t="s">
        <v>2046</v>
      </c>
      <c r="E127" s="33" t="s">
        <v>29</v>
      </c>
    </row>
    <row r="128">
      <c r="B128" s="61" t="s">
        <v>2951</v>
      </c>
      <c r="C128" s="45" t="s">
        <v>601</v>
      </c>
      <c r="D128" s="61" t="s">
        <v>2952</v>
      </c>
      <c r="E128" s="33" t="s">
        <v>33</v>
      </c>
    </row>
    <row r="129">
      <c r="B129" s="61" t="s">
        <v>2044</v>
      </c>
      <c r="C129" s="45" t="s">
        <v>220</v>
      </c>
      <c r="D129" s="61" t="s">
        <v>2046</v>
      </c>
      <c r="E129" s="33" t="s">
        <v>29</v>
      </c>
    </row>
    <row r="130">
      <c r="B130" s="61" t="s">
        <v>2951</v>
      </c>
      <c r="C130" s="45" t="s">
        <v>290</v>
      </c>
      <c r="D130" s="61" t="s">
        <v>2953</v>
      </c>
      <c r="E130" s="33" t="s">
        <v>33</v>
      </c>
    </row>
    <row r="131">
      <c r="B131" s="61" t="s">
        <v>2952</v>
      </c>
      <c r="C131" s="45" t="s">
        <v>1015</v>
      </c>
      <c r="D131" s="61" t="s">
        <v>2046</v>
      </c>
      <c r="E131" s="33" t="s">
        <v>29</v>
      </c>
    </row>
    <row r="132">
      <c r="B132" s="61" t="s">
        <v>2044</v>
      </c>
      <c r="C132" s="45" t="s">
        <v>209</v>
      </c>
      <c r="D132" s="61" t="s">
        <v>2953</v>
      </c>
      <c r="E132" s="33" t="s">
        <v>33</v>
      </c>
    </row>
    <row r="133">
      <c r="B133" s="1" t="s">
        <v>2483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2954</v>
      </c>
      <c r="C135" s="45" t="s">
        <v>158</v>
      </c>
      <c r="D135" s="61" t="s">
        <v>2955</v>
      </c>
      <c r="E135" s="11" t="s">
        <v>9</v>
      </c>
    </row>
    <row r="136">
      <c r="B136" s="61" t="s">
        <v>2956</v>
      </c>
      <c r="C136" s="45" t="s">
        <v>165</v>
      </c>
      <c r="D136" s="61" t="s">
        <v>2957</v>
      </c>
      <c r="E136" s="11" t="s">
        <v>13</v>
      </c>
    </row>
    <row r="137">
      <c r="B137" s="61" t="s">
        <v>479</v>
      </c>
      <c r="C137" s="45" t="s">
        <v>162</v>
      </c>
      <c r="D137" s="61" t="s">
        <v>2954</v>
      </c>
      <c r="E137" s="11" t="s">
        <v>9</v>
      </c>
    </row>
    <row r="138">
      <c r="B138" s="61" t="s">
        <v>2956</v>
      </c>
      <c r="C138" s="45" t="s">
        <v>162</v>
      </c>
      <c r="D138" s="61" t="s">
        <v>2955</v>
      </c>
      <c r="E138" s="11" t="s">
        <v>13</v>
      </c>
    </row>
    <row r="139">
      <c r="B139" s="61" t="s">
        <v>479</v>
      </c>
      <c r="C139" s="45" t="s">
        <v>610</v>
      </c>
      <c r="D139" s="61" t="s">
        <v>2957</v>
      </c>
      <c r="E139" s="11" t="s">
        <v>9</v>
      </c>
    </row>
    <row r="140">
      <c r="B140" s="61" t="s">
        <v>2956</v>
      </c>
      <c r="C140" s="45" t="s">
        <v>177</v>
      </c>
      <c r="D140" s="61" t="s">
        <v>2954</v>
      </c>
      <c r="E140" s="11" t="s">
        <v>13</v>
      </c>
    </row>
    <row r="141">
      <c r="B141" s="61" t="s">
        <v>479</v>
      </c>
      <c r="C141" s="45" t="s">
        <v>222</v>
      </c>
      <c r="D141" s="61" t="s">
        <v>2955</v>
      </c>
      <c r="E141" s="11" t="s">
        <v>9</v>
      </c>
    </row>
    <row r="142">
      <c r="B142" s="61" t="s">
        <v>2957</v>
      </c>
      <c r="C142" s="45" t="s">
        <v>357</v>
      </c>
      <c r="D142" s="61" t="s">
        <v>2954</v>
      </c>
      <c r="E142" s="11" t="s">
        <v>13</v>
      </c>
    </row>
    <row r="143">
      <c r="B143" s="61" t="s">
        <v>479</v>
      </c>
      <c r="C143" s="45" t="s">
        <v>525</v>
      </c>
      <c r="D143" s="61" t="s">
        <v>2956</v>
      </c>
      <c r="E143" s="11" t="s">
        <v>9</v>
      </c>
    </row>
    <row r="144">
      <c r="B144" s="61" t="s">
        <v>2957</v>
      </c>
      <c r="C144" s="45" t="s">
        <v>268</v>
      </c>
      <c r="D144" s="61" t="s">
        <v>2955</v>
      </c>
      <c r="E144" s="11" t="s">
        <v>13</v>
      </c>
    </row>
    <row r="145">
      <c r="B145" s="61" t="s">
        <v>2955</v>
      </c>
      <c r="C145" s="45" t="s">
        <v>197</v>
      </c>
      <c r="D145" s="61" t="s">
        <v>2954</v>
      </c>
      <c r="E145" s="11" t="s">
        <v>9</v>
      </c>
    </row>
    <row r="146">
      <c r="B146" s="61" t="s">
        <v>2957</v>
      </c>
      <c r="C146" s="45" t="s">
        <v>375</v>
      </c>
      <c r="D146" s="61" t="s">
        <v>2956</v>
      </c>
      <c r="E146" s="11" t="s">
        <v>13</v>
      </c>
    </row>
    <row r="147">
      <c r="B147" s="61" t="s">
        <v>2954</v>
      </c>
      <c r="C147" s="45" t="s">
        <v>43</v>
      </c>
      <c r="D147" s="61" t="s">
        <v>479</v>
      </c>
      <c r="E147" s="11" t="s">
        <v>9</v>
      </c>
    </row>
    <row r="148">
      <c r="B148" s="61" t="s">
        <v>2955</v>
      </c>
      <c r="C148" s="45" t="s">
        <v>233</v>
      </c>
      <c r="D148" s="61" t="s">
        <v>2956</v>
      </c>
      <c r="E148" s="11" t="s">
        <v>13</v>
      </c>
    </row>
    <row r="149">
      <c r="B149" s="61" t="s">
        <v>2957</v>
      </c>
      <c r="C149" s="45" t="s">
        <v>23</v>
      </c>
      <c r="D149" s="61" t="s">
        <v>479</v>
      </c>
      <c r="E149" s="11" t="s">
        <v>9</v>
      </c>
    </row>
    <row r="150">
      <c r="B150" s="61" t="s">
        <v>2954</v>
      </c>
      <c r="C150" s="45" t="s">
        <v>209</v>
      </c>
      <c r="D150" s="61" t="s">
        <v>2956</v>
      </c>
      <c r="E150" s="11" t="s">
        <v>13</v>
      </c>
    </row>
    <row r="151">
      <c r="B151" s="61" t="s">
        <v>2955</v>
      </c>
      <c r="C151" s="45" t="s">
        <v>257</v>
      </c>
      <c r="D151" s="61" t="s">
        <v>479</v>
      </c>
      <c r="E151" s="11" t="s">
        <v>9</v>
      </c>
    </row>
    <row r="152">
      <c r="B152" s="61" t="s">
        <v>2954</v>
      </c>
      <c r="C152" s="45" t="s">
        <v>17</v>
      </c>
      <c r="D152" s="61" t="s">
        <v>2957</v>
      </c>
      <c r="E152" s="11" t="s">
        <v>13</v>
      </c>
    </row>
    <row r="153">
      <c r="B153" s="61" t="s">
        <v>2956</v>
      </c>
      <c r="C153" s="45" t="s">
        <v>268</v>
      </c>
      <c r="D153" s="61" t="s">
        <v>479</v>
      </c>
      <c r="E153" s="11" t="s">
        <v>9</v>
      </c>
    </row>
    <row r="154">
      <c r="B154" s="61" t="s">
        <v>2955</v>
      </c>
      <c r="C154" s="45" t="s">
        <v>327</v>
      </c>
      <c r="D154" s="61" t="s">
        <v>2957</v>
      </c>
      <c r="E154" s="11" t="s">
        <v>13</v>
      </c>
    </row>
    <row r="155">
      <c r="B155" s="1" t="s">
        <v>2659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2958</v>
      </c>
      <c r="C157" s="45" t="s">
        <v>193</v>
      </c>
      <c r="D157" s="61" t="s">
        <v>2273</v>
      </c>
      <c r="E157" s="11" t="s">
        <v>9</v>
      </c>
    </row>
    <row r="158">
      <c r="B158" s="61" t="s">
        <v>2959</v>
      </c>
      <c r="C158" s="45" t="s">
        <v>38</v>
      </c>
      <c r="D158" s="61" t="s">
        <v>61</v>
      </c>
      <c r="E158" s="11" t="s">
        <v>13</v>
      </c>
    </row>
    <row r="159">
      <c r="B159" s="61" t="s">
        <v>1556</v>
      </c>
      <c r="C159" s="45" t="s">
        <v>43</v>
      </c>
      <c r="D159" s="61" t="s">
        <v>2958</v>
      </c>
      <c r="E159" s="11" t="s">
        <v>9</v>
      </c>
    </row>
    <row r="160">
      <c r="B160" s="61" t="s">
        <v>2959</v>
      </c>
      <c r="C160" s="45" t="s">
        <v>164</v>
      </c>
      <c r="D160" s="61" t="s">
        <v>2273</v>
      </c>
      <c r="E160" s="11" t="s">
        <v>13</v>
      </c>
    </row>
    <row r="161">
      <c r="B161" s="61" t="s">
        <v>1556</v>
      </c>
      <c r="C161" s="45" t="s">
        <v>250</v>
      </c>
      <c r="D161" s="61" t="s">
        <v>61</v>
      </c>
      <c r="E161" s="11" t="s">
        <v>9</v>
      </c>
    </row>
    <row r="162">
      <c r="B162" s="61" t="s">
        <v>2959</v>
      </c>
      <c r="C162" s="45" t="s">
        <v>181</v>
      </c>
      <c r="D162" s="61" t="s">
        <v>2958</v>
      </c>
      <c r="E162" s="11" t="s">
        <v>13</v>
      </c>
    </row>
    <row r="163">
      <c r="B163" s="61" t="s">
        <v>1556</v>
      </c>
      <c r="C163" s="45" t="s">
        <v>38</v>
      </c>
      <c r="D163" s="61" t="s">
        <v>2273</v>
      </c>
      <c r="E163" s="11" t="s">
        <v>9</v>
      </c>
    </row>
    <row r="164">
      <c r="B164" s="61" t="s">
        <v>61</v>
      </c>
      <c r="C164" s="45" t="s">
        <v>464</v>
      </c>
      <c r="D164" s="61" t="s">
        <v>2958</v>
      </c>
      <c r="E164" s="11" t="s">
        <v>13</v>
      </c>
    </row>
    <row r="165">
      <c r="B165" s="61" t="s">
        <v>1556</v>
      </c>
      <c r="C165" s="45" t="s">
        <v>155</v>
      </c>
      <c r="D165" s="61" t="s">
        <v>2959</v>
      </c>
      <c r="E165" s="11" t="s">
        <v>9</v>
      </c>
    </row>
    <row r="166">
      <c r="B166" s="61" t="s">
        <v>61</v>
      </c>
      <c r="C166" s="45" t="s">
        <v>44</v>
      </c>
      <c r="D166" s="61" t="s">
        <v>2273</v>
      </c>
      <c r="E166" s="11" t="s">
        <v>13</v>
      </c>
    </row>
    <row r="167">
      <c r="B167" s="61" t="s">
        <v>2273</v>
      </c>
      <c r="C167" s="45" t="s">
        <v>19</v>
      </c>
      <c r="D167" s="61" t="s">
        <v>2958</v>
      </c>
      <c r="E167" s="11" t="s">
        <v>9</v>
      </c>
    </row>
    <row r="168">
      <c r="B168" s="61" t="s">
        <v>61</v>
      </c>
      <c r="C168" s="45" t="s">
        <v>194</v>
      </c>
      <c r="D168" s="61" t="s">
        <v>2959</v>
      </c>
      <c r="E168" s="11" t="s">
        <v>13</v>
      </c>
    </row>
    <row r="169">
      <c r="B169" s="61" t="s">
        <v>2958</v>
      </c>
      <c r="C169" s="45" t="s">
        <v>16</v>
      </c>
      <c r="D169" s="61" t="s">
        <v>1556</v>
      </c>
      <c r="E169" s="11" t="s">
        <v>9</v>
      </c>
    </row>
    <row r="170">
      <c r="B170" s="61" t="s">
        <v>2273</v>
      </c>
      <c r="C170" s="45" t="s">
        <v>173</v>
      </c>
      <c r="D170" s="61" t="s">
        <v>2959</v>
      </c>
      <c r="E170" s="11" t="s">
        <v>13</v>
      </c>
    </row>
    <row r="171">
      <c r="B171" s="61" t="s">
        <v>61</v>
      </c>
      <c r="C171" s="45" t="s">
        <v>357</v>
      </c>
      <c r="D171" s="61" t="s">
        <v>1556</v>
      </c>
      <c r="E171" s="11" t="s">
        <v>9</v>
      </c>
    </row>
    <row r="172">
      <c r="B172" s="61" t="s">
        <v>2958</v>
      </c>
      <c r="C172" s="45" t="s">
        <v>17</v>
      </c>
      <c r="D172" s="61" t="s">
        <v>2959</v>
      </c>
      <c r="E172" s="11" t="s">
        <v>13</v>
      </c>
    </row>
    <row r="173">
      <c r="B173" s="61" t="s">
        <v>2273</v>
      </c>
      <c r="C173" s="45" t="s">
        <v>264</v>
      </c>
      <c r="D173" s="61" t="s">
        <v>1556</v>
      </c>
      <c r="E173" s="11" t="s">
        <v>9</v>
      </c>
    </row>
    <row r="174">
      <c r="B174" s="61" t="s">
        <v>2958</v>
      </c>
      <c r="C174" s="45" t="s">
        <v>205</v>
      </c>
      <c r="D174" s="61" t="s">
        <v>61</v>
      </c>
      <c r="E174" s="11" t="s">
        <v>13</v>
      </c>
    </row>
    <row r="175">
      <c r="B175" s="61" t="s">
        <v>2959</v>
      </c>
      <c r="C175" s="45" t="s">
        <v>203</v>
      </c>
      <c r="D175" s="61" t="s">
        <v>1556</v>
      </c>
      <c r="E175" s="11" t="s">
        <v>9</v>
      </c>
    </row>
    <row r="176">
      <c r="B176" s="61" t="s">
        <v>2273</v>
      </c>
      <c r="C176" s="45" t="s">
        <v>239</v>
      </c>
      <c r="D176" s="61" t="s">
        <v>61</v>
      </c>
      <c r="E176" s="11" t="s">
        <v>13</v>
      </c>
    </row>
    <row r="177">
      <c r="B177" s="1" t="s">
        <v>2666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2960</v>
      </c>
      <c r="C179" s="45" t="s">
        <v>24</v>
      </c>
      <c r="D179" s="61" t="s">
        <v>1367</v>
      </c>
      <c r="E179" s="33" t="s">
        <v>29</v>
      </c>
    </row>
    <row r="180">
      <c r="B180" s="61" t="s">
        <v>2961</v>
      </c>
      <c r="C180" s="45" t="s">
        <v>41</v>
      </c>
      <c r="D180" s="61" t="s">
        <v>115</v>
      </c>
      <c r="E180" s="33" t="s">
        <v>33</v>
      </c>
    </row>
    <row r="181">
      <c r="B181" s="61" t="s">
        <v>1622</v>
      </c>
      <c r="C181" s="45" t="s">
        <v>166</v>
      </c>
      <c r="D181" s="61" t="s">
        <v>2960</v>
      </c>
      <c r="E181" s="33" t="s">
        <v>29</v>
      </c>
    </row>
    <row r="182">
      <c r="B182" s="61" t="s">
        <v>2961</v>
      </c>
      <c r="C182" s="45" t="s">
        <v>38</v>
      </c>
      <c r="D182" s="61" t="s">
        <v>1367</v>
      </c>
      <c r="E182" s="33" t="s">
        <v>33</v>
      </c>
    </row>
    <row r="183">
      <c r="B183" s="61" t="s">
        <v>1622</v>
      </c>
      <c r="C183" s="45" t="s">
        <v>442</v>
      </c>
      <c r="D183" s="61" t="s">
        <v>115</v>
      </c>
      <c r="E183" s="33" t="s">
        <v>29</v>
      </c>
    </row>
    <row r="184">
      <c r="B184" s="61" t="s">
        <v>2961</v>
      </c>
      <c r="C184" s="45" t="s">
        <v>164</v>
      </c>
      <c r="D184" s="61" t="s">
        <v>2960</v>
      </c>
      <c r="E184" s="33" t="s">
        <v>33</v>
      </c>
    </row>
    <row r="185">
      <c r="B185" s="61" t="s">
        <v>1622</v>
      </c>
      <c r="C185" s="45" t="s">
        <v>620</v>
      </c>
      <c r="D185" s="61" t="s">
        <v>1367</v>
      </c>
      <c r="E185" s="33" t="s">
        <v>29</v>
      </c>
    </row>
    <row r="186">
      <c r="B186" s="61" t="s">
        <v>115</v>
      </c>
      <c r="C186" s="45" t="s">
        <v>554</v>
      </c>
      <c r="D186" s="61" t="s">
        <v>2960</v>
      </c>
      <c r="E186" s="33" t="s">
        <v>33</v>
      </c>
    </row>
    <row r="187">
      <c r="B187" s="61" t="s">
        <v>1622</v>
      </c>
      <c r="C187" s="45" t="s">
        <v>357</v>
      </c>
      <c r="D187" s="61" t="s">
        <v>2961</v>
      </c>
      <c r="E187" s="33" t="s">
        <v>29</v>
      </c>
    </row>
    <row r="188">
      <c r="B188" s="61" t="s">
        <v>115</v>
      </c>
      <c r="C188" s="45" t="s">
        <v>383</v>
      </c>
      <c r="D188" s="61" t="s">
        <v>1367</v>
      </c>
      <c r="E188" s="33" t="s">
        <v>33</v>
      </c>
    </row>
    <row r="189">
      <c r="B189" s="61" t="s">
        <v>1367</v>
      </c>
      <c r="C189" s="45" t="s">
        <v>525</v>
      </c>
      <c r="D189" s="61" t="s">
        <v>2960</v>
      </c>
      <c r="E189" s="33" t="s">
        <v>29</v>
      </c>
    </row>
    <row r="190">
      <c r="B190" s="61" t="s">
        <v>115</v>
      </c>
      <c r="C190" s="45" t="s">
        <v>193</v>
      </c>
      <c r="D190" s="61" t="s">
        <v>2961</v>
      </c>
      <c r="E190" s="33" t="s">
        <v>33</v>
      </c>
    </row>
    <row r="191">
      <c r="B191" s="61" t="s">
        <v>2960</v>
      </c>
      <c r="C191" s="45" t="s">
        <v>466</v>
      </c>
      <c r="D191" s="61" t="s">
        <v>1622</v>
      </c>
      <c r="E191" s="33" t="s">
        <v>29</v>
      </c>
    </row>
    <row r="192">
      <c r="B192" s="61" t="s">
        <v>1367</v>
      </c>
      <c r="C192" s="45" t="s">
        <v>1208</v>
      </c>
      <c r="D192" s="61" t="s">
        <v>2961</v>
      </c>
      <c r="E192" s="33" t="s">
        <v>33</v>
      </c>
    </row>
    <row r="193">
      <c r="B193" s="61" t="s">
        <v>115</v>
      </c>
      <c r="C193" s="45" t="s">
        <v>2962</v>
      </c>
      <c r="D193" s="61" t="s">
        <v>1622</v>
      </c>
      <c r="E193" s="33" t="s">
        <v>29</v>
      </c>
    </row>
    <row r="194">
      <c r="B194" s="61" t="s">
        <v>2960</v>
      </c>
      <c r="C194" s="45" t="s">
        <v>278</v>
      </c>
      <c r="D194" s="61" t="s">
        <v>2961</v>
      </c>
      <c r="E194" s="33" t="s">
        <v>33</v>
      </c>
    </row>
    <row r="195">
      <c r="B195" s="61" t="s">
        <v>1367</v>
      </c>
      <c r="C195" s="45" t="s">
        <v>185</v>
      </c>
      <c r="D195" s="61" t="s">
        <v>1622</v>
      </c>
      <c r="E195" s="33" t="s">
        <v>29</v>
      </c>
    </row>
    <row r="196">
      <c r="B196" s="61" t="s">
        <v>2960</v>
      </c>
      <c r="C196" s="45" t="s">
        <v>193</v>
      </c>
      <c r="D196" s="61" t="s">
        <v>115</v>
      </c>
      <c r="E196" s="33" t="s">
        <v>33</v>
      </c>
    </row>
    <row r="197">
      <c r="B197" s="61" t="s">
        <v>2961</v>
      </c>
      <c r="C197" s="45" t="s">
        <v>1724</v>
      </c>
      <c r="D197" s="61" t="s">
        <v>1622</v>
      </c>
      <c r="E197" s="33" t="s">
        <v>29</v>
      </c>
    </row>
    <row r="198">
      <c r="B198" s="61" t="s">
        <v>1367</v>
      </c>
      <c r="C198" s="45" t="s">
        <v>158</v>
      </c>
      <c r="D198" s="61" t="s">
        <v>115</v>
      </c>
      <c r="E198" s="33" t="s">
        <v>33</v>
      </c>
    </row>
    <row r="199">
      <c r="B199" s="1" t="s">
        <v>2712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2111</v>
      </c>
      <c r="C201" s="45" t="s">
        <v>1121</v>
      </c>
      <c r="D201" s="61" t="s">
        <v>2253</v>
      </c>
      <c r="E201" s="33" t="s">
        <v>29</v>
      </c>
    </row>
    <row r="202">
      <c r="B202" s="61" t="s">
        <v>1176</v>
      </c>
      <c r="C202" s="45" t="s">
        <v>257</v>
      </c>
      <c r="D202" s="61" t="s">
        <v>1915</v>
      </c>
      <c r="E202" s="33" t="s">
        <v>33</v>
      </c>
    </row>
    <row r="203">
      <c r="B203" s="61" t="s">
        <v>1250</v>
      </c>
      <c r="C203" s="45" t="s">
        <v>155</v>
      </c>
      <c r="D203" s="61" t="s">
        <v>2111</v>
      </c>
      <c r="E203" s="33" t="s">
        <v>29</v>
      </c>
      <c r="H203" s="50"/>
    </row>
    <row r="204">
      <c r="B204" s="61" t="s">
        <v>1176</v>
      </c>
      <c r="C204" s="45" t="s">
        <v>162</v>
      </c>
      <c r="D204" s="61" t="s">
        <v>2253</v>
      </c>
      <c r="E204" s="33" t="s">
        <v>33</v>
      </c>
    </row>
    <row r="205">
      <c r="B205" s="61" t="s">
        <v>1250</v>
      </c>
      <c r="C205" s="45" t="s">
        <v>225</v>
      </c>
      <c r="D205" s="61" t="s">
        <v>1915</v>
      </c>
      <c r="E205" s="33" t="s">
        <v>29</v>
      </c>
    </row>
    <row r="206">
      <c r="B206" s="61" t="s">
        <v>1176</v>
      </c>
      <c r="C206" s="45" t="s">
        <v>454</v>
      </c>
      <c r="D206" s="61" t="s">
        <v>2111</v>
      </c>
      <c r="E206" s="33" t="s">
        <v>33</v>
      </c>
    </row>
    <row r="207">
      <c r="B207" s="61" t="s">
        <v>1250</v>
      </c>
      <c r="C207" s="45" t="s">
        <v>442</v>
      </c>
      <c r="D207" s="61" t="s">
        <v>2253</v>
      </c>
      <c r="E207" s="33" t="s">
        <v>29</v>
      </c>
    </row>
    <row r="208">
      <c r="B208" s="61" t="s">
        <v>1915</v>
      </c>
      <c r="C208" s="45" t="s">
        <v>155</v>
      </c>
      <c r="D208" s="61" t="s">
        <v>2111</v>
      </c>
      <c r="E208" s="33" t="s">
        <v>33</v>
      </c>
    </row>
    <row r="209">
      <c r="B209" s="61" t="s">
        <v>1250</v>
      </c>
      <c r="C209" s="45" t="s">
        <v>225</v>
      </c>
      <c r="D209" s="61" t="s">
        <v>1176</v>
      </c>
      <c r="E209" s="33" t="s">
        <v>29</v>
      </c>
    </row>
    <row r="210">
      <c r="B210" s="61" t="s">
        <v>1915</v>
      </c>
      <c r="C210" s="45" t="s">
        <v>16</v>
      </c>
      <c r="D210" s="61" t="s">
        <v>2253</v>
      </c>
      <c r="E210" s="33" t="s">
        <v>33</v>
      </c>
    </row>
    <row r="211">
      <c r="B211" s="61" t="s">
        <v>2253</v>
      </c>
      <c r="C211" s="45" t="s">
        <v>1107</v>
      </c>
      <c r="D211" s="61" t="s">
        <v>2111</v>
      </c>
      <c r="E211" s="33" t="s">
        <v>29</v>
      </c>
    </row>
    <row r="212">
      <c r="B212" s="61" t="s">
        <v>1915</v>
      </c>
      <c r="C212" s="45" t="s">
        <v>292</v>
      </c>
      <c r="D212" s="61" t="s">
        <v>1176</v>
      </c>
      <c r="E212" s="33" t="s">
        <v>33</v>
      </c>
    </row>
    <row r="213">
      <c r="B213" s="61" t="s">
        <v>2111</v>
      </c>
      <c r="C213" s="45" t="s">
        <v>301</v>
      </c>
      <c r="D213" s="61" t="s">
        <v>1250</v>
      </c>
      <c r="E213" s="33" t="s">
        <v>29</v>
      </c>
    </row>
    <row r="214">
      <c r="B214" s="61" t="s">
        <v>2253</v>
      </c>
      <c r="C214" s="45" t="s">
        <v>632</v>
      </c>
      <c r="D214" s="61" t="s">
        <v>1176</v>
      </c>
      <c r="E214" s="33" t="s">
        <v>33</v>
      </c>
    </row>
    <row r="215">
      <c r="B215" s="61" t="s">
        <v>1915</v>
      </c>
      <c r="C215" s="45" t="s">
        <v>196</v>
      </c>
      <c r="D215" s="61" t="s">
        <v>1250</v>
      </c>
      <c r="E215" s="33" t="s">
        <v>29</v>
      </c>
    </row>
    <row r="216">
      <c r="B216" s="61" t="s">
        <v>2111</v>
      </c>
      <c r="C216" s="45" t="s">
        <v>7</v>
      </c>
      <c r="D216" s="61" t="s">
        <v>1176</v>
      </c>
      <c r="E216" s="33" t="s">
        <v>33</v>
      </c>
    </row>
    <row r="217">
      <c r="B217" s="61" t="s">
        <v>2253</v>
      </c>
      <c r="C217" s="45" t="s">
        <v>2562</v>
      </c>
      <c r="D217" s="61" t="s">
        <v>1250</v>
      </c>
      <c r="E217" s="33" t="s">
        <v>29</v>
      </c>
    </row>
    <row r="218">
      <c r="B218" s="61" t="s">
        <v>2111</v>
      </c>
      <c r="C218" s="45" t="s">
        <v>210</v>
      </c>
      <c r="D218" s="61" t="s">
        <v>1915</v>
      </c>
      <c r="E218" s="33" t="s">
        <v>33</v>
      </c>
    </row>
    <row r="219">
      <c r="B219" s="61" t="s">
        <v>1176</v>
      </c>
      <c r="C219" s="45" t="s">
        <v>338</v>
      </c>
      <c r="D219" s="61" t="s">
        <v>1250</v>
      </c>
      <c r="E219" s="33" t="s">
        <v>29</v>
      </c>
    </row>
    <row r="220">
      <c r="B220" s="61" t="s">
        <v>2253</v>
      </c>
      <c r="C220" s="45" t="s">
        <v>251</v>
      </c>
      <c r="D220" s="61" t="s">
        <v>1915</v>
      </c>
      <c r="E220" s="33" t="s">
        <v>33</v>
      </c>
    </row>
    <row r="221">
      <c r="B221" s="52" t="s">
        <v>1566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2038</v>
      </c>
      <c r="C223" s="45" t="s">
        <v>19</v>
      </c>
      <c r="D223" s="62" t="s">
        <v>2464</v>
      </c>
      <c r="E223" s="11" t="s">
        <v>9</v>
      </c>
    </row>
    <row r="224">
      <c r="B224" s="62" t="s">
        <v>2963</v>
      </c>
      <c r="C224" s="45" t="s">
        <v>23</v>
      </c>
      <c r="D224" s="62" t="s">
        <v>2964</v>
      </c>
      <c r="E224" s="11" t="s">
        <v>13</v>
      </c>
    </row>
    <row r="225">
      <c r="B225" s="62" t="s">
        <v>2039</v>
      </c>
      <c r="C225" s="45" t="s">
        <v>197</v>
      </c>
      <c r="D225" s="62" t="s">
        <v>2038</v>
      </c>
      <c r="E225" s="11" t="s">
        <v>9</v>
      </c>
    </row>
    <row r="226">
      <c r="B226" s="62" t="s">
        <v>2963</v>
      </c>
      <c r="C226" s="45" t="s">
        <v>158</v>
      </c>
      <c r="D226" s="62" t="s">
        <v>2464</v>
      </c>
      <c r="E226" s="11" t="s">
        <v>13</v>
      </c>
    </row>
    <row r="227">
      <c r="B227" s="62" t="s">
        <v>2039</v>
      </c>
      <c r="C227" s="45" t="s">
        <v>184</v>
      </c>
      <c r="D227" s="62" t="s">
        <v>2964</v>
      </c>
      <c r="E227" s="11" t="s">
        <v>9</v>
      </c>
    </row>
    <row r="228">
      <c r="B228" s="62" t="s">
        <v>2963</v>
      </c>
      <c r="C228" s="45" t="s">
        <v>233</v>
      </c>
      <c r="D228" s="62" t="s">
        <v>2038</v>
      </c>
      <c r="E228" s="11" t="s">
        <v>13</v>
      </c>
    </row>
    <row r="229">
      <c r="B229" s="62" t="s">
        <v>2039</v>
      </c>
      <c r="C229" s="45" t="s">
        <v>165</v>
      </c>
      <c r="D229" s="62" t="s">
        <v>2464</v>
      </c>
      <c r="E229" s="11" t="s">
        <v>9</v>
      </c>
    </row>
    <row r="230">
      <c r="B230" s="62" t="s">
        <v>2964</v>
      </c>
      <c r="C230" s="45" t="s">
        <v>163</v>
      </c>
      <c r="D230" s="62" t="s">
        <v>2038</v>
      </c>
      <c r="E230" s="11" t="s">
        <v>13</v>
      </c>
    </row>
    <row r="231">
      <c r="B231" s="62" t="s">
        <v>2039</v>
      </c>
      <c r="C231" s="45" t="s">
        <v>232</v>
      </c>
      <c r="D231" s="62" t="s">
        <v>2963</v>
      </c>
      <c r="E231" s="11" t="s">
        <v>9</v>
      </c>
    </row>
    <row r="232">
      <c r="B232" s="62" t="s">
        <v>2964</v>
      </c>
      <c r="C232" s="45" t="s">
        <v>264</v>
      </c>
      <c r="D232" s="62" t="s">
        <v>2464</v>
      </c>
      <c r="E232" s="11" t="s">
        <v>13</v>
      </c>
    </row>
    <row r="233">
      <c r="B233" s="62" t="s">
        <v>2464</v>
      </c>
      <c r="C233" s="45" t="s">
        <v>181</v>
      </c>
      <c r="D233" s="62" t="s">
        <v>2038</v>
      </c>
      <c r="E233" s="11" t="s">
        <v>9</v>
      </c>
    </row>
    <row r="234">
      <c r="B234" s="62" t="s">
        <v>2964</v>
      </c>
      <c r="C234" s="45" t="s">
        <v>18</v>
      </c>
      <c r="D234" s="62" t="s">
        <v>2963</v>
      </c>
      <c r="E234" s="11" t="s">
        <v>13</v>
      </c>
    </row>
    <row r="235">
      <c r="B235" s="62" t="s">
        <v>2038</v>
      </c>
      <c r="C235" s="45" t="s">
        <v>279</v>
      </c>
      <c r="D235" s="62" t="s">
        <v>2039</v>
      </c>
      <c r="E235" s="11" t="s">
        <v>9</v>
      </c>
    </row>
    <row r="236">
      <c r="B236" s="62" t="s">
        <v>2464</v>
      </c>
      <c r="C236" s="45" t="s">
        <v>218</v>
      </c>
      <c r="D236" s="62" t="s">
        <v>2963</v>
      </c>
      <c r="E236" s="11" t="s">
        <v>13</v>
      </c>
    </row>
    <row r="237">
      <c r="B237" s="62" t="s">
        <v>2964</v>
      </c>
      <c r="C237" s="45" t="s">
        <v>18</v>
      </c>
      <c r="D237" s="62" t="s">
        <v>2039</v>
      </c>
      <c r="E237" s="11" t="s">
        <v>9</v>
      </c>
    </row>
    <row r="238">
      <c r="B238" s="62" t="s">
        <v>2038</v>
      </c>
      <c r="C238" s="45" t="s">
        <v>256</v>
      </c>
      <c r="D238" s="62" t="s">
        <v>2963</v>
      </c>
      <c r="E238" s="11" t="s">
        <v>13</v>
      </c>
    </row>
    <row r="239">
      <c r="B239" s="62" t="s">
        <v>2464</v>
      </c>
      <c r="C239" s="45" t="s">
        <v>173</v>
      </c>
      <c r="D239" s="62" t="s">
        <v>2039</v>
      </c>
      <c r="E239" s="11" t="s">
        <v>9</v>
      </c>
    </row>
    <row r="240">
      <c r="B240" s="62" t="s">
        <v>2038</v>
      </c>
      <c r="C240" s="45" t="s">
        <v>43</v>
      </c>
      <c r="D240" s="62" t="s">
        <v>2964</v>
      </c>
      <c r="E240" s="11" t="s">
        <v>13</v>
      </c>
    </row>
    <row r="241">
      <c r="B241" s="62" t="s">
        <v>2963</v>
      </c>
      <c r="C241" s="45" t="s">
        <v>697</v>
      </c>
      <c r="D241" s="62" t="s">
        <v>2039</v>
      </c>
      <c r="E241" s="11" t="s">
        <v>9</v>
      </c>
    </row>
    <row r="242">
      <c r="B242" s="62" t="s">
        <v>2464</v>
      </c>
      <c r="C242" s="45" t="s">
        <v>291</v>
      </c>
      <c r="D242" s="62" t="s">
        <v>2964</v>
      </c>
      <c r="E242" s="11" t="s">
        <v>13</v>
      </c>
    </row>
    <row r="243">
      <c r="B243" s="52" t="s">
        <v>2179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1064</v>
      </c>
      <c r="C245" s="45" t="s">
        <v>43</v>
      </c>
      <c r="D245" s="62" t="s">
        <v>2965</v>
      </c>
      <c r="E245" s="11" t="s">
        <v>9</v>
      </c>
    </row>
    <row r="246">
      <c r="B246" s="62" t="s">
        <v>2966</v>
      </c>
      <c r="C246" s="45" t="s">
        <v>185</v>
      </c>
      <c r="D246" s="62" t="s">
        <v>2967</v>
      </c>
      <c r="E246" s="11" t="s">
        <v>13</v>
      </c>
    </row>
    <row r="247">
      <c r="B247" s="62" t="s">
        <v>1743</v>
      </c>
      <c r="C247" s="45" t="s">
        <v>344</v>
      </c>
      <c r="D247" s="62" t="s">
        <v>1064</v>
      </c>
      <c r="E247" s="11" t="s">
        <v>9</v>
      </c>
    </row>
    <row r="248">
      <c r="B248" s="62" t="s">
        <v>2966</v>
      </c>
      <c r="C248" s="45" t="s">
        <v>776</v>
      </c>
      <c r="D248" s="62" t="s">
        <v>2965</v>
      </c>
      <c r="E248" s="11" t="s">
        <v>13</v>
      </c>
    </row>
    <row r="249">
      <c r="B249" s="62" t="s">
        <v>1743</v>
      </c>
      <c r="C249" s="45" t="s">
        <v>173</v>
      </c>
      <c r="D249" s="62" t="s">
        <v>2967</v>
      </c>
      <c r="E249" s="11" t="s">
        <v>9</v>
      </c>
    </row>
    <row r="250">
      <c r="B250" s="62" t="s">
        <v>2966</v>
      </c>
      <c r="C250" s="45" t="s">
        <v>302</v>
      </c>
      <c r="D250" s="62" t="s">
        <v>1064</v>
      </c>
      <c r="E250" s="11" t="s">
        <v>13</v>
      </c>
    </row>
    <row r="251">
      <c r="B251" s="62" t="s">
        <v>1743</v>
      </c>
      <c r="C251" s="45" t="s">
        <v>195</v>
      </c>
      <c r="D251" s="62" t="s">
        <v>2965</v>
      </c>
      <c r="E251" s="11" t="s">
        <v>9</v>
      </c>
    </row>
    <row r="252">
      <c r="B252" s="62" t="s">
        <v>2967</v>
      </c>
      <c r="C252" s="45" t="s">
        <v>161</v>
      </c>
      <c r="D252" s="62" t="s">
        <v>1064</v>
      </c>
      <c r="E252" s="11" t="s">
        <v>13</v>
      </c>
    </row>
    <row r="253">
      <c r="B253" s="62" t="s">
        <v>1743</v>
      </c>
      <c r="C253" s="45" t="s">
        <v>225</v>
      </c>
      <c r="D253" s="62" t="s">
        <v>2966</v>
      </c>
      <c r="E253" s="11" t="s">
        <v>9</v>
      </c>
    </row>
    <row r="254">
      <c r="B254" s="62" t="s">
        <v>2967</v>
      </c>
      <c r="C254" s="45" t="s">
        <v>14</v>
      </c>
      <c r="D254" s="62" t="s">
        <v>2965</v>
      </c>
      <c r="E254" s="11" t="s">
        <v>13</v>
      </c>
    </row>
    <row r="255">
      <c r="B255" s="62" t="s">
        <v>2965</v>
      </c>
      <c r="C255" s="45" t="s">
        <v>16</v>
      </c>
      <c r="D255" s="62" t="s">
        <v>1064</v>
      </c>
      <c r="E255" s="11" t="s">
        <v>9</v>
      </c>
    </row>
    <row r="256">
      <c r="B256" s="62" t="s">
        <v>2967</v>
      </c>
      <c r="C256" s="45" t="s">
        <v>250</v>
      </c>
      <c r="D256" s="62" t="s">
        <v>2966</v>
      </c>
      <c r="E256" s="11" t="s">
        <v>13</v>
      </c>
    </row>
    <row r="257">
      <c r="B257" s="62" t="s">
        <v>1064</v>
      </c>
      <c r="C257" s="45" t="s">
        <v>18</v>
      </c>
      <c r="D257" s="62" t="s">
        <v>1743</v>
      </c>
      <c r="E257" s="11" t="s">
        <v>9</v>
      </c>
    </row>
    <row r="258">
      <c r="B258" s="62" t="s">
        <v>2965</v>
      </c>
      <c r="C258" s="45" t="s">
        <v>195</v>
      </c>
      <c r="D258" s="62" t="s">
        <v>2966</v>
      </c>
      <c r="E258" s="11" t="s">
        <v>13</v>
      </c>
    </row>
    <row r="259">
      <c r="B259" s="62" t="s">
        <v>2967</v>
      </c>
      <c r="C259" s="45" t="s">
        <v>229</v>
      </c>
      <c r="D259" s="62" t="s">
        <v>1743</v>
      </c>
      <c r="E259" s="11" t="s">
        <v>9</v>
      </c>
    </row>
    <row r="260">
      <c r="B260" s="62" t="s">
        <v>1064</v>
      </c>
      <c r="C260" s="45" t="s">
        <v>7</v>
      </c>
      <c r="D260" s="62" t="s">
        <v>2966</v>
      </c>
      <c r="E260" s="11" t="s">
        <v>13</v>
      </c>
    </row>
    <row r="261">
      <c r="B261" s="62" t="s">
        <v>2965</v>
      </c>
      <c r="C261" s="45" t="s">
        <v>344</v>
      </c>
      <c r="D261" s="62" t="s">
        <v>1743</v>
      </c>
      <c r="E261" s="11" t="s">
        <v>9</v>
      </c>
    </row>
    <row r="262">
      <c r="B262" s="62" t="s">
        <v>1064</v>
      </c>
      <c r="C262" s="45" t="s">
        <v>173</v>
      </c>
      <c r="D262" s="62" t="s">
        <v>2967</v>
      </c>
      <c r="E262" s="11" t="s">
        <v>13</v>
      </c>
    </row>
    <row r="263">
      <c r="B263" s="62" t="s">
        <v>2966</v>
      </c>
      <c r="C263" s="45" t="s">
        <v>19</v>
      </c>
      <c r="D263" s="62" t="s">
        <v>1743</v>
      </c>
      <c r="E263" s="11" t="s">
        <v>9</v>
      </c>
    </row>
    <row r="264">
      <c r="B264" s="62" t="s">
        <v>2965</v>
      </c>
      <c r="C264" s="45" t="s">
        <v>38</v>
      </c>
      <c r="D264" s="62" t="s">
        <v>2967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1452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1897</v>
      </c>
      <c r="C3" s="45" t="s">
        <v>196</v>
      </c>
      <c r="D3" s="62" t="s">
        <v>2968</v>
      </c>
      <c r="E3" s="11" t="s">
        <v>9</v>
      </c>
    </row>
    <row r="4">
      <c r="A4" s="90"/>
      <c r="B4" s="62" t="s">
        <v>2097</v>
      </c>
      <c r="C4" s="45" t="s">
        <v>225</v>
      </c>
      <c r="D4" s="61" t="s">
        <v>1276</v>
      </c>
      <c r="E4" s="11" t="s">
        <v>13</v>
      </c>
    </row>
    <row r="5">
      <c r="A5" s="90"/>
      <c r="B5" s="62" t="s">
        <v>2969</v>
      </c>
      <c r="C5" s="45" t="s">
        <v>182</v>
      </c>
      <c r="D5" s="62" t="s">
        <v>1897</v>
      </c>
      <c r="E5" s="11" t="s">
        <v>9</v>
      </c>
    </row>
    <row r="6">
      <c r="A6" s="90"/>
      <c r="B6" s="62" t="s">
        <v>2097</v>
      </c>
      <c r="C6" s="45" t="s">
        <v>1419</v>
      </c>
      <c r="D6" s="62" t="s">
        <v>2968</v>
      </c>
      <c r="E6" s="11" t="s">
        <v>13</v>
      </c>
    </row>
    <row r="7">
      <c r="A7" s="90"/>
      <c r="B7" s="62" t="s">
        <v>2969</v>
      </c>
      <c r="C7" s="45" t="s">
        <v>302</v>
      </c>
      <c r="D7" s="61" t="s">
        <v>1276</v>
      </c>
      <c r="E7" s="11" t="s">
        <v>9</v>
      </c>
    </row>
    <row r="8">
      <c r="A8" s="90"/>
      <c r="B8" s="62" t="s">
        <v>2097</v>
      </c>
      <c r="C8" s="45" t="s">
        <v>166</v>
      </c>
      <c r="D8" s="62" t="s">
        <v>1897</v>
      </c>
      <c r="E8" s="11" t="s">
        <v>13</v>
      </c>
    </row>
    <row r="9">
      <c r="A9" s="90"/>
      <c r="B9" s="62" t="s">
        <v>2969</v>
      </c>
      <c r="C9" s="45" t="s">
        <v>41</v>
      </c>
      <c r="D9" s="62" t="s">
        <v>2968</v>
      </c>
      <c r="E9" s="11" t="s">
        <v>9</v>
      </c>
    </row>
    <row r="10">
      <c r="A10" s="90"/>
      <c r="B10" s="61" t="s">
        <v>1276</v>
      </c>
      <c r="C10" s="45" t="s">
        <v>251</v>
      </c>
      <c r="D10" s="62" t="s">
        <v>1897</v>
      </c>
      <c r="E10" s="11" t="s">
        <v>13</v>
      </c>
    </row>
    <row r="11">
      <c r="A11" s="90"/>
      <c r="B11" s="62" t="s">
        <v>2969</v>
      </c>
      <c r="C11" s="45" t="s">
        <v>439</v>
      </c>
      <c r="D11" s="62" t="s">
        <v>2097</v>
      </c>
      <c r="E11" s="11" t="s">
        <v>9</v>
      </c>
    </row>
    <row r="12">
      <c r="A12" s="90"/>
      <c r="B12" s="61" t="s">
        <v>1276</v>
      </c>
      <c r="C12" s="45" t="s">
        <v>20</v>
      </c>
      <c r="D12" s="62" t="s">
        <v>2968</v>
      </c>
      <c r="E12" s="11" t="s">
        <v>13</v>
      </c>
    </row>
    <row r="13">
      <c r="A13" s="90"/>
      <c r="B13" s="62" t="s">
        <v>2968</v>
      </c>
      <c r="C13" s="45" t="s">
        <v>173</v>
      </c>
      <c r="D13" s="62" t="s">
        <v>1897</v>
      </c>
      <c r="E13" s="11" t="s">
        <v>9</v>
      </c>
    </row>
    <row r="14">
      <c r="A14" s="90"/>
      <c r="B14" s="61" t="s">
        <v>1276</v>
      </c>
      <c r="C14" s="45" t="s">
        <v>20</v>
      </c>
      <c r="D14" s="62" t="s">
        <v>2097</v>
      </c>
      <c r="E14" s="11" t="s">
        <v>13</v>
      </c>
    </row>
    <row r="15">
      <c r="A15" s="90"/>
      <c r="B15" s="62" t="s">
        <v>1897</v>
      </c>
      <c r="C15" s="45" t="s">
        <v>256</v>
      </c>
      <c r="D15" s="62" t="s">
        <v>2969</v>
      </c>
      <c r="E15" s="11" t="s">
        <v>9</v>
      </c>
    </row>
    <row r="16">
      <c r="A16" s="90"/>
      <c r="B16" s="62" t="s">
        <v>2968</v>
      </c>
      <c r="C16" s="45" t="s">
        <v>219</v>
      </c>
      <c r="D16" s="62" t="s">
        <v>2097</v>
      </c>
      <c r="E16" s="11" t="s">
        <v>13</v>
      </c>
    </row>
    <row r="17">
      <c r="A17" s="90"/>
      <c r="B17" s="61" t="s">
        <v>1276</v>
      </c>
      <c r="C17" s="45" t="s">
        <v>158</v>
      </c>
      <c r="D17" s="62" t="s">
        <v>2969</v>
      </c>
      <c r="E17" s="11" t="s">
        <v>9</v>
      </c>
    </row>
    <row r="18">
      <c r="A18" s="90"/>
      <c r="B18" s="62" t="s">
        <v>1897</v>
      </c>
      <c r="C18" s="45" t="s">
        <v>246</v>
      </c>
      <c r="D18" s="62" t="s">
        <v>2097</v>
      </c>
      <c r="E18" s="11" t="s">
        <v>13</v>
      </c>
    </row>
    <row r="19">
      <c r="A19" s="90"/>
      <c r="B19" s="62" t="s">
        <v>2968</v>
      </c>
      <c r="C19" s="45" t="s">
        <v>209</v>
      </c>
      <c r="D19" s="62" t="s">
        <v>2969</v>
      </c>
      <c r="E19" s="11" t="s">
        <v>9</v>
      </c>
    </row>
    <row r="20">
      <c r="A20" s="90"/>
      <c r="B20" s="62" t="s">
        <v>1897</v>
      </c>
      <c r="C20" s="45" t="s">
        <v>158</v>
      </c>
      <c r="D20" s="61" t="s">
        <v>1276</v>
      </c>
      <c r="E20" s="11" t="s">
        <v>13</v>
      </c>
    </row>
    <row r="21">
      <c r="A21" s="90"/>
      <c r="B21" s="62" t="s">
        <v>2097</v>
      </c>
      <c r="C21" s="45" t="s">
        <v>219</v>
      </c>
      <c r="D21" s="62" t="s">
        <v>2969</v>
      </c>
      <c r="E21" s="11" t="s">
        <v>9</v>
      </c>
    </row>
    <row r="22">
      <c r="A22" s="90"/>
      <c r="B22" s="62" t="s">
        <v>2968</v>
      </c>
      <c r="C22" s="45" t="s">
        <v>16</v>
      </c>
      <c r="D22" s="61" t="s">
        <v>1276</v>
      </c>
      <c r="E22" s="11" t="s">
        <v>13</v>
      </c>
    </row>
    <row r="23">
      <c r="A23" s="90"/>
      <c r="B23" s="96" t="s">
        <v>2685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2722</v>
      </c>
      <c r="C25" s="45" t="s">
        <v>1444</v>
      </c>
      <c r="D25" s="62" t="s">
        <v>2970</v>
      </c>
      <c r="E25" s="11" t="s">
        <v>9</v>
      </c>
    </row>
    <row r="26">
      <c r="A26" s="90"/>
      <c r="B26" s="62" t="s">
        <v>1743</v>
      </c>
      <c r="C26" s="45" t="s">
        <v>158</v>
      </c>
      <c r="D26" s="61" t="s">
        <v>2971</v>
      </c>
      <c r="E26" s="11" t="s">
        <v>13</v>
      </c>
    </row>
    <row r="27">
      <c r="A27" s="90"/>
      <c r="B27" s="62" t="s">
        <v>2972</v>
      </c>
      <c r="C27" s="45" t="s">
        <v>7</v>
      </c>
      <c r="D27" s="62" t="s">
        <v>2722</v>
      </c>
      <c r="E27" s="11" t="s">
        <v>9</v>
      </c>
    </row>
    <row r="28">
      <c r="A28" s="90"/>
      <c r="B28" s="62" t="s">
        <v>1743</v>
      </c>
      <c r="C28" s="45" t="s">
        <v>289</v>
      </c>
      <c r="D28" s="62" t="s">
        <v>2970</v>
      </c>
      <c r="E28" s="11" t="s">
        <v>13</v>
      </c>
    </row>
    <row r="29">
      <c r="A29" s="90"/>
      <c r="B29" s="62" t="s">
        <v>2972</v>
      </c>
      <c r="C29" s="45" t="s">
        <v>18</v>
      </c>
      <c r="D29" s="61" t="s">
        <v>2971</v>
      </c>
      <c r="E29" s="11" t="s">
        <v>9</v>
      </c>
    </row>
    <row r="30">
      <c r="A30" s="90"/>
      <c r="B30" s="62" t="s">
        <v>1743</v>
      </c>
      <c r="C30" s="45" t="s">
        <v>184</v>
      </c>
      <c r="D30" s="62" t="s">
        <v>2722</v>
      </c>
      <c r="E30" s="11" t="s">
        <v>13</v>
      </c>
    </row>
    <row r="31">
      <c r="A31" s="90"/>
      <c r="B31" s="62" t="s">
        <v>2972</v>
      </c>
      <c r="C31" s="45" t="s">
        <v>911</v>
      </c>
      <c r="D31" s="62" t="s">
        <v>2970</v>
      </c>
      <c r="E31" s="11" t="s">
        <v>9</v>
      </c>
    </row>
    <row r="32">
      <c r="A32" s="90"/>
      <c r="B32" s="61" t="s">
        <v>2971</v>
      </c>
      <c r="C32" s="45" t="s">
        <v>43</v>
      </c>
      <c r="D32" s="62" t="s">
        <v>2722</v>
      </c>
      <c r="E32" s="11" t="s">
        <v>13</v>
      </c>
    </row>
    <row r="33">
      <c r="A33" s="90"/>
      <c r="B33" s="62" t="s">
        <v>2972</v>
      </c>
      <c r="C33" s="45" t="s">
        <v>248</v>
      </c>
      <c r="D33" s="62" t="s">
        <v>1743</v>
      </c>
      <c r="E33" s="11" t="s">
        <v>9</v>
      </c>
    </row>
    <row r="34">
      <c r="A34" s="90"/>
      <c r="B34" s="61" t="s">
        <v>2971</v>
      </c>
      <c r="C34" s="45" t="s">
        <v>22</v>
      </c>
      <c r="D34" s="62" t="s">
        <v>2970</v>
      </c>
      <c r="E34" s="11" t="s">
        <v>13</v>
      </c>
    </row>
    <row r="35">
      <c r="A35" s="90"/>
      <c r="B35" s="62" t="s">
        <v>2970</v>
      </c>
      <c r="C35" s="45" t="s">
        <v>41</v>
      </c>
      <c r="D35" s="62" t="s">
        <v>2722</v>
      </c>
      <c r="E35" s="11" t="s">
        <v>9</v>
      </c>
    </row>
    <row r="36">
      <c r="A36" s="90"/>
      <c r="B36" s="61" t="s">
        <v>2971</v>
      </c>
      <c r="C36" s="45" t="s">
        <v>218</v>
      </c>
      <c r="D36" s="62" t="s">
        <v>1743</v>
      </c>
      <c r="E36" s="11" t="s">
        <v>13</v>
      </c>
    </row>
    <row r="37">
      <c r="A37" s="90"/>
      <c r="B37" s="62" t="s">
        <v>2722</v>
      </c>
      <c r="C37" s="45" t="s">
        <v>163</v>
      </c>
      <c r="D37" s="62" t="s">
        <v>2972</v>
      </c>
      <c r="E37" s="11" t="s">
        <v>9</v>
      </c>
    </row>
    <row r="38">
      <c r="A38" s="90"/>
      <c r="B38" s="62" t="s">
        <v>2970</v>
      </c>
      <c r="C38" s="45" t="s">
        <v>209</v>
      </c>
      <c r="D38" s="62" t="s">
        <v>1743</v>
      </c>
      <c r="E38" s="11" t="s">
        <v>13</v>
      </c>
    </row>
    <row r="39">
      <c r="A39" s="90"/>
      <c r="B39" s="61" t="s">
        <v>2971</v>
      </c>
      <c r="C39" s="45" t="s">
        <v>155</v>
      </c>
      <c r="D39" s="62" t="s">
        <v>2972</v>
      </c>
      <c r="E39" s="11" t="s">
        <v>9</v>
      </c>
    </row>
    <row r="40">
      <c r="A40" s="90"/>
      <c r="B40" s="62" t="s">
        <v>2722</v>
      </c>
      <c r="C40" s="45" t="s">
        <v>163</v>
      </c>
      <c r="D40" s="62" t="s">
        <v>1743</v>
      </c>
      <c r="E40" s="11" t="s">
        <v>13</v>
      </c>
    </row>
    <row r="41">
      <c r="A41" s="90"/>
      <c r="B41" s="62" t="s">
        <v>2970</v>
      </c>
      <c r="C41" s="45" t="s">
        <v>362</v>
      </c>
      <c r="D41" s="62" t="s">
        <v>2972</v>
      </c>
      <c r="E41" s="11" t="s">
        <v>9</v>
      </c>
    </row>
    <row r="42">
      <c r="A42" s="90"/>
      <c r="B42" s="62" t="s">
        <v>2722</v>
      </c>
      <c r="C42" s="45" t="s">
        <v>248</v>
      </c>
      <c r="D42" s="61" t="s">
        <v>2971</v>
      </c>
      <c r="E42" s="11" t="s">
        <v>13</v>
      </c>
    </row>
    <row r="43">
      <c r="A43" s="90"/>
      <c r="B43" s="62" t="s">
        <v>1743</v>
      </c>
      <c r="C43" s="45" t="s">
        <v>19</v>
      </c>
      <c r="D43" s="62" t="s">
        <v>2972</v>
      </c>
      <c r="E43" s="11" t="s">
        <v>9</v>
      </c>
    </row>
    <row r="44">
      <c r="A44" s="91"/>
      <c r="B44" s="62" t="s">
        <v>2970</v>
      </c>
      <c r="C44" s="45" t="s">
        <v>545</v>
      </c>
      <c r="D44" s="61" t="s">
        <v>2971</v>
      </c>
      <c r="E44" s="11" t="s">
        <v>13</v>
      </c>
    </row>
    <row r="45">
      <c r="B45" s="1" t="s">
        <v>2636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61" t="s">
        <v>2147</v>
      </c>
      <c r="C47" s="45" t="s">
        <v>208</v>
      </c>
      <c r="D47" s="61" t="s">
        <v>317</v>
      </c>
      <c r="E47" s="11" t="s">
        <v>9</v>
      </c>
    </row>
    <row r="48">
      <c r="B48" s="61" t="s">
        <v>2973</v>
      </c>
      <c r="C48" s="45" t="s">
        <v>193</v>
      </c>
      <c r="D48" s="61" t="s">
        <v>2730</v>
      </c>
      <c r="E48" s="11" t="s">
        <v>13</v>
      </c>
    </row>
    <row r="49">
      <c r="B49" s="61" t="s">
        <v>2144</v>
      </c>
      <c r="C49" s="45" t="s">
        <v>220</v>
      </c>
      <c r="D49" s="61" t="s">
        <v>2147</v>
      </c>
      <c r="E49" s="11" t="s">
        <v>9</v>
      </c>
    </row>
    <row r="50">
      <c r="B50" s="61" t="s">
        <v>2973</v>
      </c>
      <c r="C50" s="45" t="s">
        <v>194</v>
      </c>
      <c r="D50" s="61" t="s">
        <v>317</v>
      </c>
      <c r="E50" s="11" t="s">
        <v>13</v>
      </c>
    </row>
    <row r="51">
      <c r="B51" s="61" t="s">
        <v>2144</v>
      </c>
      <c r="C51" s="45" t="s">
        <v>193</v>
      </c>
      <c r="D51" s="61" t="s">
        <v>2730</v>
      </c>
      <c r="E51" s="11" t="s">
        <v>9</v>
      </c>
    </row>
    <row r="52">
      <c r="B52" s="61" t="s">
        <v>2973</v>
      </c>
      <c r="C52" s="45" t="s">
        <v>41</v>
      </c>
      <c r="D52" s="61" t="s">
        <v>2147</v>
      </c>
      <c r="E52" s="11" t="s">
        <v>13</v>
      </c>
    </row>
    <row r="53">
      <c r="B53" s="61" t="s">
        <v>2144</v>
      </c>
      <c r="C53" s="45" t="s">
        <v>158</v>
      </c>
      <c r="D53" s="61" t="s">
        <v>317</v>
      </c>
      <c r="E53" s="11" t="s">
        <v>9</v>
      </c>
    </row>
    <row r="54">
      <c r="B54" s="61" t="s">
        <v>2730</v>
      </c>
      <c r="C54" s="45" t="s">
        <v>16</v>
      </c>
      <c r="D54" s="61" t="s">
        <v>2147</v>
      </c>
      <c r="E54" s="11" t="s">
        <v>13</v>
      </c>
    </row>
    <row r="55">
      <c r="B55" s="61" t="s">
        <v>2144</v>
      </c>
      <c r="C55" s="45" t="s">
        <v>185</v>
      </c>
      <c r="D55" s="61" t="s">
        <v>2973</v>
      </c>
      <c r="E55" s="11" t="s">
        <v>9</v>
      </c>
    </row>
    <row r="56">
      <c r="B56" s="61" t="s">
        <v>2730</v>
      </c>
      <c r="C56" s="45" t="s">
        <v>182</v>
      </c>
      <c r="D56" s="61" t="s">
        <v>317</v>
      </c>
      <c r="E56" s="11" t="s">
        <v>13</v>
      </c>
    </row>
    <row r="57">
      <c r="B57" s="61" t="s">
        <v>317</v>
      </c>
      <c r="C57" s="45" t="s">
        <v>271</v>
      </c>
      <c r="D57" s="61" t="s">
        <v>2147</v>
      </c>
      <c r="E57" s="11" t="s">
        <v>9</v>
      </c>
    </row>
    <row r="58">
      <c r="B58" s="61" t="s">
        <v>2730</v>
      </c>
      <c r="C58" s="45" t="s">
        <v>208</v>
      </c>
      <c r="D58" s="61" t="s">
        <v>2973</v>
      </c>
      <c r="E58" s="11" t="s">
        <v>13</v>
      </c>
    </row>
    <row r="59">
      <c r="B59" s="61" t="s">
        <v>2147</v>
      </c>
      <c r="C59" s="45" t="s">
        <v>16</v>
      </c>
      <c r="D59" s="61" t="s">
        <v>2144</v>
      </c>
      <c r="E59" s="11" t="s">
        <v>9</v>
      </c>
    </row>
    <row r="60">
      <c r="B60" s="61" t="s">
        <v>317</v>
      </c>
      <c r="C60" s="45" t="s">
        <v>856</v>
      </c>
      <c r="D60" s="61" t="s">
        <v>2973</v>
      </c>
      <c r="E60" s="11" t="s">
        <v>13</v>
      </c>
    </row>
    <row r="61">
      <c r="B61" s="61" t="s">
        <v>2730</v>
      </c>
      <c r="C61" s="45" t="s">
        <v>209</v>
      </c>
      <c r="D61" s="61" t="s">
        <v>2144</v>
      </c>
      <c r="E61" s="11" t="s">
        <v>9</v>
      </c>
    </row>
    <row r="62">
      <c r="B62" s="61" t="s">
        <v>2147</v>
      </c>
      <c r="C62" s="45" t="s">
        <v>517</v>
      </c>
      <c r="D62" s="61" t="s">
        <v>2973</v>
      </c>
      <c r="E62" s="11" t="s">
        <v>13</v>
      </c>
    </row>
    <row r="63">
      <c r="B63" s="61" t="s">
        <v>317</v>
      </c>
      <c r="C63" s="45" t="s">
        <v>155</v>
      </c>
      <c r="D63" s="61" t="s">
        <v>2144</v>
      </c>
      <c r="E63" s="11" t="s">
        <v>9</v>
      </c>
    </row>
    <row r="64">
      <c r="B64" s="61" t="s">
        <v>2147</v>
      </c>
      <c r="C64" s="45" t="s">
        <v>158</v>
      </c>
      <c r="D64" s="61" t="s">
        <v>2730</v>
      </c>
      <c r="E64" s="11" t="s">
        <v>13</v>
      </c>
    </row>
    <row r="65">
      <c r="B65" s="61" t="s">
        <v>2973</v>
      </c>
      <c r="C65" s="45" t="s">
        <v>161</v>
      </c>
      <c r="D65" s="61" t="s">
        <v>2144</v>
      </c>
      <c r="E65" s="11" t="s">
        <v>9</v>
      </c>
    </row>
    <row r="66">
      <c r="B66" s="61" t="s">
        <v>317</v>
      </c>
      <c r="C66" s="45" t="s">
        <v>357</v>
      </c>
      <c r="D66" s="61" t="s">
        <v>2730</v>
      </c>
      <c r="E66" s="11" t="s">
        <v>13</v>
      </c>
    </row>
    <row r="67">
      <c r="B67" s="1" t="s">
        <v>1782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61" t="s">
        <v>2591</v>
      </c>
      <c r="C69" s="45" t="s">
        <v>231</v>
      </c>
      <c r="D69" s="61" t="s">
        <v>2974</v>
      </c>
      <c r="E69" s="11" t="s">
        <v>9</v>
      </c>
    </row>
    <row r="70">
      <c r="B70" s="61" t="s">
        <v>2975</v>
      </c>
      <c r="C70" s="45" t="s">
        <v>366</v>
      </c>
      <c r="D70" s="61" t="s">
        <v>2976</v>
      </c>
      <c r="E70" s="11" t="s">
        <v>13</v>
      </c>
    </row>
    <row r="71">
      <c r="B71" s="61" t="s">
        <v>2977</v>
      </c>
      <c r="C71" s="106" t="s">
        <v>279</v>
      </c>
      <c r="D71" s="61" t="s">
        <v>2591</v>
      </c>
      <c r="E71" s="11" t="s">
        <v>9</v>
      </c>
    </row>
    <row r="72">
      <c r="B72" s="61" t="s">
        <v>2975</v>
      </c>
      <c r="C72" s="45" t="s">
        <v>19</v>
      </c>
      <c r="D72" s="61" t="s">
        <v>2974</v>
      </c>
      <c r="E72" s="11" t="s">
        <v>13</v>
      </c>
    </row>
    <row r="73">
      <c r="B73" s="61" t="s">
        <v>2977</v>
      </c>
      <c r="C73" s="45" t="s">
        <v>219</v>
      </c>
      <c r="D73" s="61" t="s">
        <v>2976</v>
      </c>
      <c r="E73" s="11" t="s">
        <v>9</v>
      </c>
    </row>
    <row r="74">
      <c r="B74" s="61" t="s">
        <v>2975</v>
      </c>
      <c r="C74" s="45" t="s">
        <v>16</v>
      </c>
      <c r="D74" s="61" t="s">
        <v>2591</v>
      </c>
      <c r="E74" s="11" t="s">
        <v>13</v>
      </c>
    </row>
    <row r="75">
      <c r="B75" s="61" t="s">
        <v>2977</v>
      </c>
      <c r="C75" s="45" t="s">
        <v>164</v>
      </c>
      <c r="D75" s="61" t="s">
        <v>2974</v>
      </c>
      <c r="E75" s="11" t="s">
        <v>9</v>
      </c>
    </row>
    <row r="76">
      <c r="B76" s="61" t="s">
        <v>2976</v>
      </c>
      <c r="C76" s="45" t="s">
        <v>433</v>
      </c>
      <c r="D76" s="61" t="s">
        <v>2591</v>
      </c>
      <c r="E76" s="11" t="s">
        <v>13</v>
      </c>
    </row>
    <row r="77">
      <c r="B77" s="61" t="s">
        <v>2977</v>
      </c>
      <c r="C77" s="45" t="s">
        <v>366</v>
      </c>
      <c r="D77" s="61" t="s">
        <v>2975</v>
      </c>
      <c r="E77" s="11" t="s">
        <v>9</v>
      </c>
    </row>
    <row r="78">
      <c r="B78" s="61" t="s">
        <v>2976</v>
      </c>
      <c r="C78" s="45" t="s">
        <v>342</v>
      </c>
      <c r="D78" s="61" t="s">
        <v>2974</v>
      </c>
      <c r="E78" s="11" t="s">
        <v>13</v>
      </c>
    </row>
    <row r="79">
      <c r="B79" s="61" t="s">
        <v>2974</v>
      </c>
      <c r="C79" s="45" t="s">
        <v>219</v>
      </c>
      <c r="D79" s="61" t="s">
        <v>2591</v>
      </c>
      <c r="E79" s="11" t="s">
        <v>9</v>
      </c>
    </row>
    <row r="80">
      <c r="B80" s="61" t="s">
        <v>2976</v>
      </c>
      <c r="C80" s="45" t="s">
        <v>43</v>
      </c>
      <c r="D80" s="61" t="s">
        <v>2975</v>
      </c>
      <c r="E80" s="11" t="s">
        <v>13</v>
      </c>
    </row>
    <row r="81">
      <c r="B81" s="61" t="s">
        <v>2591</v>
      </c>
      <c r="C81" s="45" t="s">
        <v>545</v>
      </c>
      <c r="D81" s="61" t="s">
        <v>2977</v>
      </c>
      <c r="E81" s="11" t="s">
        <v>9</v>
      </c>
    </row>
    <row r="82">
      <c r="B82" s="61" t="s">
        <v>2974</v>
      </c>
      <c r="C82" s="45" t="s">
        <v>7</v>
      </c>
      <c r="D82" s="61" t="s">
        <v>2975</v>
      </c>
      <c r="E82" s="11" t="s">
        <v>13</v>
      </c>
    </row>
    <row r="83">
      <c r="B83" s="61" t="s">
        <v>2976</v>
      </c>
      <c r="C83" s="45" t="s">
        <v>209</v>
      </c>
      <c r="D83" s="61" t="s">
        <v>2977</v>
      </c>
      <c r="E83" s="11" t="s">
        <v>9</v>
      </c>
    </row>
    <row r="84">
      <c r="B84" s="61" t="s">
        <v>2591</v>
      </c>
      <c r="C84" s="45" t="s">
        <v>17</v>
      </c>
      <c r="D84" s="61" t="s">
        <v>2975</v>
      </c>
      <c r="E84" s="11" t="s">
        <v>13</v>
      </c>
    </row>
    <row r="85">
      <c r="B85" s="61" t="s">
        <v>2974</v>
      </c>
      <c r="C85" s="45" t="s">
        <v>41</v>
      </c>
      <c r="D85" s="61" t="s">
        <v>2977</v>
      </c>
      <c r="E85" s="11" t="s">
        <v>9</v>
      </c>
    </row>
    <row r="86">
      <c r="B86" s="61" t="s">
        <v>2591</v>
      </c>
      <c r="C86" s="45" t="s">
        <v>250</v>
      </c>
      <c r="D86" s="61" t="s">
        <v>2976</v>
      </c>
      <c r="E86" s="11" t="s">
        <v>13</v>
      </c>
    </row>
    <row r="87">
      <c r="B87" s="61" t="s">
        <v>2975</v>
      </c>
      <c r="C87" s="45" t="s">
        <v>23</v>
      </c>
      <c r="D87" s="61" t="s">
        <v>2977</v>
      </c>
      <c r="E87" s="11" t="s">
        <v>9</v>
      </c>
    </row>
    <row r="88">
      <c r="B88" s="61" t="s">
        <v>2974</v>
      </c>
      <c r="C88" s="45" t="s">
        <v>289</v>
      </c>
      <c r="D88" s="61" t="s">
        <v>2976</v>
      </c>
      <c r="E88" s="11" t="s">
        <v>13</v>
      </c>
    </row>
    <row r="89">
      <c r="B89" s="96" t="s">
        <v>2978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61" t="s">
        <v>2979</v>
      </c>
      <c r="C91" s="45" t="s">
        <v>291</v>
      </c>
      <c r="D91" s="61" t="s">
        <v>2052</v>
      </c>
      <c r="E91" s="33" t="s">
        <v>29</v>
      </c>
    </row>
    <row r="92">
      <c r="B92" s="61" t="s">
        <v>2980</v>
      </c>
      <c r="C92" s="45" t="s">
        <v>162</v>
      </c>
      <c r="D92" s="61" t="s">
        <v>1269</v>
      </c>
      <c r="E92" s="33" t="s">
        <v>33</v>
      </c>
    </row>
    <row r="93">
      <c r="B93" s="61" t="s">
        <v>2981</v>
      </c>
      <c r="C93" s="45" t="s">
        <v>421</v>
      </c>
      <c r="D93" s="61" t="s">
        <v>2979</v>
      </c>
      <c r="E93" s="33" t="s">
        <v>29</v>
      </c>
    </row>
    <row r="94">
      <c r="B94" s="61" t="s">
        <v>2980</v>
      </c>
      <c r="C94" s="45" t="s">
        <v>250</v>
      </c>
      <c r="D94" s="61" t="s">
        <v>2052</v>
      </c>
      <c r="E94" s="33" t="s">
        <v>33</v>
      </c>
    </row>
    <row r="95">
      <c r="B95" s="61" t="s">
        <v>2981</v>
      </c>
      <c r="C95" s="45" t="s">
        <v>517</v>
      </c>
      <c r="D95" s="61" t="s">
        <v>1269</v>
      </c>
      <c r="E95" s="33" t="s">
        <v>29</v>
      </c>
    </row>
    <row r="96">
      <c r="B96" s="61" t="s">
        <v>2980</v>
      </c>
      <c r="C96" s="45" t="s">
        <v>20</v>
      </c>
      <c r="D96" s="61" t="s">
        <v>2979</v>
      </c>
      <c r="E96" s="33" t="s">
        <v>33</v>
      </c>
    </row>
    <row r="97">
      <c r="B97" s="61" t="s">
        <v>2981</v>
      </c>
      <c r="C97" s="45" t="s">
        <v>251</v>
      </c>
      <c r="D97" s="61" t="s">
        <v>2052</v>
      </c>
      <c r="E97" s="33" t="s">
        <v>29</v>
      </c>
    </row>
    <row r="98">
      <c r="B98" s="61" t="s">
        <v>1269</v>
      </c>
      <c r="C98" s="45" t="s">
        <v>610</v>
      </c>
      <c r="D98" s="61" t="s">
        <v>2979</v>
      </c>
      <c r="E98" s="33" t="s">
        <v>33</v>
      </c>
    </row>
    <row r="99">
      <c r="B99" s="61" t="s">
        <v>2981</v>
      </c>
      <c r="C99" s="45" t="s">
        <v>18</v>
      </c>
      <c r="D99" s="61" t="s">
        <v>2980</v>
      </c>
      <c r="E99" s="33" t="s">
        <v>29</v>
      </c>
      <c r="H99" s="50" t="s">
        <v>505</v>
      </c>
    </row>
    <row r="100">
      <c r="B100" s="61" t="s">
        <v>1269</v>
      </c>
      <c r="C100" s="45" t="s">
        <v>394</v>
      </c>
      <c r="D100" s="61" t="s">
        <v>2052</v>
      </c>
      <c r="E100" s="33" t="s">
        <v>33</v>
      </c>
      <c r="H100" s="50" t="s">
        <v>505</v>
      </c>
    </row>
    <row r="101">
      <c r="B101" s="61" t="s">
        <v>2052</v>
      </c>
      <c r="C101" s="45" t="s">
        <v>16</v>
      </c>
      <c r="D101" s="61" t="s">
        <v>2979</v>
      </c>
      <c r="E101" s="33" t="s">
        <v>29</v>
      </c>
    </row>
    <row r="102">
      <c r="B102" s="61" t="s">
        <v>1269</v>
      </c>
      <c r="C102" s="45" t="s">
        <v>19</v>
      </c>
      <c r="D102" s="61" t="s">
        <v>2980</v>
      </c>
      <c r="E102" s="33" t="s">
        <v>33</v>
      </c>
    </row>
    <row r="103">
      <c r="B103" s="61" t="s">
        <v>2979</v>
      </c>
      <c r="C103" s="45" t="s">
        <v>166</v>
      </c>
      <c r="D103" s="61" t="s">
        <v>2981</v>
      </c>
      <c r="E103" s="33" t="s">
        <v>29</v>
      </c>
    </row>
    <row r="104">
      <c r="B104" s="61" t="s">
        <v>2052</v>
      </c>
      <c r="C104" s="45" t="s">
        <v>998</v>
      </c>
      <c r="D104" s="61" t="s">
        <v>2980</v>
      </c>
      <c r="E104" s="33" t="s">
        <v>33</v>
      </c>
      <c r="H104" s="50" t="s">
        <v>514</v>
      </c>
    </row>
    <row r="105">
      <c r="B105" s="61" t="s">
        <v>1269</v>
      </c>
      <c r="C105" s="45" t="s">
        <v>158</v>
      </c>
      <c r="D105" s="61" t="s">
        <v>2981</v>
      </c>
      <c r="E105" s="33" t="s">
        <v>29</v>
      </c>
    </row>
    <row r="106">
      <c r="B106" s="61" t="s">
        <v>2979</v>
      </c>
      <c r="C106" s="45" t="s">
        <v>383</v>
      </c>
      <c r="D106" s="61" t="s">
        <v>2980</v>
      </c>
      <c r="E106" s="33" t="s">
        <v>33</v>
      </c>
    </row>
    <row r="107">
      <c r="B107" s="61" t="s">
        <v>2052</v>
      </c>
      <c r="C107" s="45" t="s">
        <v>163</v>
      </c>
      <c r="D107" s="61" t="s">
        <v>2981</v>
      </c>
      <c r="E107" s="33" t="s">
        <v>29</v>
      </c>
    </row>
    <row r="108">
      <c r="B108" s="61" t="s">
        <v>2979</v>
      </c>
      <c r="C108" s="45" t="s">
        <v>271</v>
      </c>
      <c r="D108" s="61" t="s">
        <v>1269</v>
      </c>
      <c r="E108" s="33" t="s">
        <v>33</v>
      </c>
    </row>
    <row r="109">
      <c r="B109" s="61" t="s">
        <v>2980</v>
      </c>
      <c r="C109" s="45" t="s">
        <v>20</v>
      </c>
      <c r="D109" s="61" t="s">
        <v>2981</v>
      </c>
      <c r="E109" s="33" t="s">
        <v>29</v>
      </c>
    </row>
    <row r="110">
      <c r="B110" s="61" t="s">
        <v>2052</v>
      </c>
      <c r="C110" s="45" t="s">
        <v>23</v>
      </c>
      <c r="D110" s="61" t="s">
        <v>1269</v>
      </c>
      <c r="E110" s="33" t="s">
        <v>33</v>
      </c>
    </row>
    <row r="111">
      <c r="B111" s="1" t="s">
        <v>2982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61" t="s">
        <v>2983</v>
      </c>
      <c r="C113" s="45" t="s">
        <v>464</v>
      </c>
      <c r="D113" s="61" t="s">
        <v>1491</v>
      </c>
      <c r="E113" s="33" t="s">
        <v>29</v>
      </c>
    </row>
    <row r="114">
      <c r="B114" s="61" t="s">
        <v>869</v>
      </c>
      <c r="C114" s="45" t="s">
        <v>324</v>
      </c>
      <c r="D114" s="61" t="s">
        <v>1329</v>
      </c>
      <c r="E114" s="33" t="s">
        <v>33</v>
      </c>
    </row>
    <row r="115">
      <c r="B115" s="61" t="s">
        <v>949</v>
      </c>
      <c r="C115" s="45" t="s">
        <v>155</v>
      </c>
      <c r="D115" s="61" t="s">
        <v>2983</v>
      </c>
      <c r="E115" s="33" t="s">
        <v>29</v>
      </c>
    </row>
    <row r="116">
      <c r="B116" s="61" t="s">
        <v>869</v>
      </c>
      <c r="C116" s="45" t="s">
        <v>189</v>
      </c>
      <c r="D116" s="61" t="s">
        <v>1491</v>
      </c>
      <c r="E116" s="33" t="s">
        <v>33</v>
      </c>
    </row>
    <row r="117">
      <c r="B117" s="61" t="s">
        <v>949</v>
      </c>
      <c r="C117" s="45" t="s">
        <v>155</v>
      </c>
      <c r="D117" s="61" t="s">
        <v>1329</v>
      </c>
      <c r="E117" s="33" t="s">
        <v>29</v>
      </c>
    </row>
    <row r="118">
      <c r="B118" s="61" t="s">
        <v>869</v>
      </c>
      <c r="C118" s="45" t="s">
        <v>208</v>
      </c>
      <c r="D118" s="61" t="s">
        <v>2983</v>
      </c>
      <c r="E118" s="33" t="s">
        <v>33</v>
      </c>
    </row>
    <row r="119">
      <c r="B119" s="61" t="s">
        <v>949</v>
      </c>
      <c r="C119" s="45" t="s">
        <v>292</v>
      </c>
      <c r="D119" s="61" t="s">
        <v>1491</v>
      </c>
      <c r="E119" s="33" t="s">
        <v>29</v>
      </c>
    </row>
    <row r="120">
      <c r="B120" s="61" t="s">
        <v>1329</v>
      </c>
      <c r="C120" s="45" t="s">
        <v>20</v>
      </c>
      <c r="D120" s="61" t="s">
        <v>2983</v>
      </c>
      <c r="E120" s="33" t="s">
        <v>33</v>
      </c>
    </row>
    <row r="121">
      <c r="B121" s="61" t="s">
        <v>949</v>
      </c>
      <c r="C121" s="45" t="s">
        <v>313</v>
      </c>
      <c r="D121" s="61" t="s">
        <v>869</v>
      </c>
      <c r="E121" s="33" t="s">
        <v>29</v>
      </c>
    </row>
    <row r="122">
      <c r="B122" s="61" t="s">
        <v>1329</v>
      </c>
      <c r="C122" s="45" t="s">
        <v>194</v>
      </c>
      <c r="D122" s="61" t="s">
        <v>1491</v>
      </c>
      <c r="E122" s="33" t="s">
        <v>33</v>
      </c>
      <c r="K122" s="50" t="s">
        <v>514</v>
      </c>
    </row>
    <row r="123">
      <c r="B123" s="61" t="s">
        <v>1491</v>
      </c>
      <c r="C123" s="45" t="s">
        <v>2793</v>
      </c>
      <c r="D123" s="61" t="s">
        <v>2983</v>
      </c>
      <c r="E123" s="33" t="s">
        <v>29</v>
      </c>
      <c r="J123" s="50" t="s">
        <v>861</v>
      </c>
    </row>
    <row r="124">
      <c r="B124" s="61" t="s">
        <v>1329</v>
      </c>
      <c r="C124" s="45" t="s">
        <v>208</v>
      </c>
      <c r="D124" s="61" t="s">
        <v>869</v>
      </c>
      <c r="E124" s="33" t="s">
        <v>33</v>
      </c>
    </row>
    <row r="125">
      <c r="B125" s="61" t="s">
        <v>2983</v>
      </c>
      <c r="C125" s="45" t="s">
        <v>751</v>
      </c>
      <c r="D125" s="61" t="s">
        <v>949</v>
      </c>
      <c r="E125" s="33" t="s">
        <v>29</v>
      </c>
    </row>
    <row r="126">
      <c r="B126" s="61" t="s">
        <v>1491</v>
      </c>
      <c r="C126" s="45" t="s">
        <v>43</v>
      </c>
      <c r="D126" s="61" t="s">
        <v>869</v>
      </c>
      <c r="E126" s="33" t="s">
        <v>33</v>
      </c>
    </row>
    <row r="127">
      <c r="B127" s="61" t="s">
        <v>1329</v>
      </c>
      <c r="C127" s="45" t="s">
        <v>257</v>
      </c>
      <c r="D127" s="61" t="s">
        <v>949</v>
      </c>
      <c r="E127" s="33" t="s">
        <v>29</v>
      </c>
    </row>
    <row r="128">
      <c r="B128" s="61" t="s">
        <v>2983</v>
      </c>
      <c r="C128" s="45" t="s">
        <v>376</v>
      </c>
      <c r="D128" s="61" t="s">
        <v>869</v>
      </c>
      <c r="E128" s="33" t="s">
        <v>33</v>
      </c>
    </row>
    <row r="129">
      <c r="B129" s="61" t="s">
        <v>1491</v>
      </c>
      <c r="C129" s="45" t="s">
        <v>20</v>
      </c>
      <c r="D129" s="61" t="s">
        <v>949</v>
      </c>
      <c r="E129" s="33" t="s">
        <v>29</v>
      </c>
    </row>
    <row r="130">
      <c r="B130" s="61" t="s">
        <v>2983</v>
      </c>
      <c r="C130" s="45" t="s">
        <v>185</v>
      </c>
      <c r="D130" s="61" t="s">
        <v>1329</v>
      </c>
      <c r="E130" s="33" t="s">
        <v>33</v>
      </c>
    </row>
    <row r="131">
      <c r="B131" s="61" t="s">
        <v>869</v>
      </c>
      <c r="C131" s="45" t="s">
        <v>41</v>
      </c>
      <c r="D131" s="61" t="s">
        <v>949</v>
      </c>
      <c r="E131" s="33" t="s">
        <v>29</v>
      </c>
    </row>
    <row r="132">
      <c r="B132" s="61" t="s">
        <v>1491</v>
      </c>
      <c r="C132" s="45" t="s">
        <v>825</v>
      </c>
      <c r="D132" s="61" t="s">
        <v>1329</v>
      </c>
      <c r="E132" s="33" t="s">
        <v>33</v>
      </c>
    </row>
    <row r="133">
      <c r="B133" s="1" t="s">
        <v>1544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1658</v>
      </c>
      <c r="C135" s="45" t="s">
        <v>209</v>
      </c>
      <c r="D135" s="61" t="s">
        <v>2984</v>
      </c>
      <c r="E135" s="11" t="s">
        <v>9</v>
      </c>
    </row>
    <row r="136">
      <c r="B136" s="61" t="s">
        <v>2985</v>
      </c>
      <c r="C136" s="45" t="s">
        <v>1015</v>
      </c>
      <c r="D136" s="61" t="s">
        <v>2071</v>
      </c>
      <c r="E136" s="11" t="s">
        <v>13</v>
      </c>
    </row>
    <row r="137">
      <c r="B137" s="61" t="s">
        <v>2986</v>
      </c>
      <c r="C137" s="45" t="s">
        <v>525</v>
      </c>
      <c r="D137" s="61" t="s">
        <v>1658</v>
      </c>
      <c r="E137" s="11" t="s">
        <v>9</v>
      </c>
    </row>
    <row r="138">
      <c r="B138" s="61" t="s">
        <v>2985</v>
      </c>
      <c r="C138" s="45" t="s">
        <v>210</v>
      </c>
      <c r="D138" s="61" t="s">
        <v>2984</v>
      </c>
      <c r="E138" s="11" t="s">
        <v>13</v>
      </c>
    </row>
    <row r="139">
      <c r="B139" s="61" t="s">
        <v>2986</v>
      </c>
      <c r="C139" s="45" t="s">
        <v>14</v>
      </c>
      <c r="D139" s="61" t="s">
        <v>2071</v>
      </c>
      <c r="E139" s="11" t="s">
        <v>9</v>
      </c>
    </row>
    <row r="140">
      <c r="B140" s="61" t="s">
        <v>2985</v>
      </c>
      <c r="C140" s="45" t="s">
        <v>20</v>
      </c>
      <c r="D140" s="61" t="s">
        <v>1658</v>
      </c>
      <c r="E140" s="11" t="s">
        <v>13</v>
      </c>
    </row>
    <row r="141">
      <c r="B141" s="61" t="s">
        <v>2986</v>
      </c>
      <c r="C141" s="45" t="s">
        <v>289</v>
      </c>
      <c r="D141" s="61" t="s">
        <v>2984</v>
      </c>
      <c r="E141" s="11" t="s">
        <v>9</v>
      </c>
    </row>
    <row r="142">
      <c r="B142" s="61" t="s">
        <v>2071</v>
      </c>
      <c r="C142" s="45" t="s">
        <v>14</v>
      </c>
      <c r="D142" s="61" t="s">
        <v>1658</v>
      </c>
      <c r="E142" s="11" t="s">
        <v>13</v>
      </c>
    </row>
    <row r="143">
      <c r="B143" s="61" t="s">
        <v>2986</v>
      </c>
      <c r="C143" s="45" t="s">
        <v>2379</v>
      </c>
      <c r="D143" s="61" t="s">
        <v>2985</v>
      </c>
      <c r="E143" s="11" t="s">
        <v>9</v>
      </c>
    </row>
    <row r="144">
      <c r="B144" s="61" t="s">
        <v>2071</v>
      </c>
      <c r="C144" s="45" t="s">
        <v>376</v>
      </c>
      <c r="D144" s="61" t="s">
        <v>2984</v>
      </c>
      <c r="E144" s="11" t="s">
        <v>13</v>
      </c>
    </row>
    <row r="145">
      <c r="B145" s="61" t="s">
        <v>2984</v>
      </c>
      <c r="C145" s="45" t="s">
        <v>507</v>
      </c>
      <c r="D145" s="61" t="s">
        <v>1658</v>
      </c>
      <c r="E145" s="11" t="s">
        <v>9</v>
      </c>
    </row>
    <row r="146">
      <c r="B146" s="61" t="s">
        <v>2071</v>
      </c>
      <c r="C146" s="45" t="s">
        <v>193</v>
      </c>
      <c r="D146" s="61" t="s">
        <v>2985</v>
      </c>
      <c r="E146" s="11" t="s">
        <v>13</v>
      </c>
    </row>
    <row r="147">
      <c r="B147" s="61" t="s">
        <v>1658</v>
      </c>
      <c r="C147" s="45" t="s">
        <v>404</v>
      </c>
      <c r="D147" s="61" t="s">
        <v>2986</v>
      </c>
      <c r="E147" s="11" t="s">
        <v>9</v>
      </c>
    </row>
    <row r="148">
      <c r="B148" s="61" t="s">
        <v>2984</v>
      </c>
      <c r="C148" s="45" t="s">
        <v>16</v>
      </c>
      <c r="D148" s="61" t="s">
        <v>2985</v>
      </c>
      <c r="E148" s="11" t="s">
        <v>13</v>
      </c>
    </row>
    <row r="149">
      <c r="B149" s="61" t="s">
        <v>2071</v>
      </c>
      <c r="C149" s="45" t="s">
        <v>31</v>
      </c>
      <c r="D149" s="61" t="s">
        <v>2986</v>
      </c>
      <c r="E149" s="11" t="s">
        <v>9</v>
      </c>
    </row>
    <row r="150">
      <c r="B150" s="61" t="s">
        <v>1658</v>
      </c>
      <c r="C150" s="45" t="s">
        <v>16</v>
      </c>
      <c r="D150" s="61" t="s">
        <v>2985</v>
      </c>
      <c r="E150" s="11" t="s">
        <v>13</v>
      </c>
    </row>
    <row r="151">
      <c r="B151" s="61" t="s">
        <v>2984</v>
      </c>
      <c r="C151" s="45" t="s">
        <v>165</v>
      </c>
      <c r="D151" s="61" t="s">
        <v>2986</v>
      </c>
      <c r="E151" s="11" t="s">
        <v>9</v>
      </c>
      <c r="G151" s="50" t="s">
        <v>505</v>
      </c>
    </row>
    <row r="152">
      <c r="B152" s="61" t="s">
        <v>1658</v>
      </c>
      <c r="C152" s="45" t="s">
        <v>239</v>
      </c>
      <c r="D152" s="61" t="s">
        <v>2071</v>
      </c>
      <c r="E152" s="11" t="s">
        <v>13</v>
      </c>
    </row>
    <row r="153">
      <c r="B153" s="61" t="s">
        <v>2985</v>
      </c>
      <c r="C153" s="45" t="s">
        <v>225</v>
      </c>
      <c r="D153" s="61" t="s">
        <v>2986</v>
      </c>
      <c r="E153" s="11" t="s">
        <v>9</v>
      </c>
    </row>
    <row r="154">
      <c r="B154" s="61" t="s">
        <v>2984</v>
      </c>
      <c r="C154" s="45" t="s">
        <v>324</v>
      </c>
      <c r="D154" s="61" t="s">
        <v>2071</v>
      </c>
      <c r="E154" s="11" t="s">
        <v>13</v>
      </c>
    </row>
    <row r="155">
      <c r="B155" s="1" t="s">
        <v>1560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153</v>
      </c>
      <c r="C157" s="45" t="s">
        <v>209</v>
      </c>
      <c r="D157" s="61" t="s">
        <v>356</v>
      </c>
      <c r="E157" s="11" t="s">
        <v>9</v>
      </c>
    </row>
    <row r="158">
      <c r="B158" s="61" t="s">
        <v>2987</v>
      </c>
      <c r="C158" s="45" t="s">
        <v>233</v>
      </c>
      <c r="D158" s="61" t="s">
        <v>931</v>
      </c>
      <c r="E158" s="11" t="s">
        <v>13</v>
      </c>
    </row>
    <row r="159">
      <c r="B159" s="61" t="s">
        <v>2988</v>
      </c>
      <c r="C159" s="45" t="s">
        <v>220</v>
      </c>
      <c r="D159" s="61" t="s">
        <v>153</v>
      </c>
      <c r="E159" s="11" t="s">
        <v>9</v>
      </c>
    </row>
    <row r="160">
      <c r="B160" s="61" t="s">
        <v>2987</v>
      </c>
      <c r="C160" s="45" t="s">
        <v>351</v>
      </c>
      <c r="D160" s="61" t="s">
        <v>356</v>
      </c>
      <c r="E160" s="11" t="s">
        <v>13</v>
      </c>
    </row>
    <row r="161">
      <c r="B161" s="61" t="s">
        <v>2988</v>
      </c>
      <c r="C161" s="45" t="s">
        <v>43</v>
      </c>
      <c r="D161" s="61" t="s">
        <v>931</v>
      </c>
      <c r="E161" s="11" t="s">
        <v>9</v>
      </c>
    </row>
    <row r="162">
      <c r="B162" s="61" t="s">
        <v>2987</v>
      </c>
      <c r="C162" s="45" t="s">
        <v>23</v>
      </c>
      <c r="D162" s="61" t="s">
        <v>153</v>
      </c>
      <c r="E162" s="11" t="s">
        <v>13</v>
      </c>
    </row>
    <row r="163">
      <c r="B163" s="61" t="s">
        <v>2988</v>
      </c>
      <c r="C163" s="45" t="s">
        <v>366</v>
      </c>
      <c r="D163" s="61" t="s">
        <v>356</v>
      </c>
      <c r="E163" s="11" t="s">
        <v>9</v>
      </c>
    </row>
    <row r="164">
      <c r="B164" s="61" t="s">
        <v>931</v>
      </c>
      <c r="C164" s="45" t="s">
        <v>162</v>
      </c>
      <c r="D164" s="61" t="s">
        <v>153</v>
      </c>
      <c r="E164" s="11" t="s">
        <v>13</v>
      </c>
    </row>
    <row r="165">
      <c r="B165" s="61" t="s">
        <v>2988</v>
      </c>
      <c r="C165" s="45" t="s">
        <v>195</v>
      </c>
      <c r="D165" s="61" t="s">
        <v>2987</v>
      </c>
      <c r="E165" s="11" t="s">
        <v>9</v>
      </c>
    </row>
    <row r="166">
      <c r="B166" s="61" t="s">
        <v>931</v>
      </c>
      <c r="C166" s="45" t="s">
        <v>20</v>
      </c>
      <c r="D166" s="61" t="s">
        <v>356</v>
      </c>
      <c r="E166" s="11" t="s">
        <v>13</v>
      </c>
    </row>
    <row r="167">
      <c r="B167" s="61" t="s">
        <v>356</v>
      </c>
      <c r="C167" s="45" t="s">
        <v>164</v>
      </c>
      <c r="D167" s="61" t="s">
        <v>153</v>
      </c>
      <c r="E167" s="11" t="s">
        <v>9</v>
      </c>
    </row>
    <row r="168">
      <c r="B168" s="61" t="s">
        <v>931</v>
      </c>
      <c r="C168" s="45" t="s">
        <v>193</v>
      </c>
      <c r="D168" s="61" t="s">
        <v>2987</v>
      </c>
      <c r="E168" s="11" t="s">
        <v>13</v>
      </c>
    </row>
    <row r="169">
      <c r="B169" s="61" t="s">
        <v>153</v>
      </c>
      <c r="C169" s="45" t="s">
        <v>184</v>
      </c>
      <c r="D169" s="61" t="s">
        <v>2988</v>
      </c>
      <c r="E169" s="11" t="s">
        <v>9</v>
      </c>
    </row>
    <row r="170">
      <c r="B170" s="61" t="s">
        <v>356</v>
      </c>
      <c r="C170" s="45" t="s">
        <v>14</v>
      </c>
      <c r="D170" s="61" t="s">
        <v>2987</v>
      </c>
      <c r="E170" s="11" t="s">
        <v>13</v>
      </c>
    </row>
    <row r="171">
      <c r="B171" s="61" t="s">
        <v>931</v>
      </c>
      <c r="C171" s="45" t="s">
        <v>181</v>
      </c>
      <c r="D171" s="61" t="s">
        <v>2988</v>
      </c>
      <c r="E171" s="11" t="s">
        <v>9</v>
      </c>
    </row>
    <row r="172">
      <c r="B172" s="61" t="s">
        <v>153</v>
      </c>
      <c r="C172" s="45" t="s">
        <v>231</v>
      </c>
      <c r="D172" s="61" t="s">
        <v>2987</v>
      </c>
      <c r="E172" s="11" t="s">
        <v>13</v>
      </c>
    </row>
    <row r="173">
      <c r="B173" s="61" t="s">
        <v>356</v>
      </c>
      <c r="C173" s="45" t="s">
        <v>20</v>
      </c>
      <c r="D173" s="61" t="s">
        <v>2988</v>
      </c>
      <c r="E173" s="11" t="s">
        <v>9</v>
      </c>
    </row>
    <row r="174">
      <c r="B174" s="61" t="s">
        <v>153</v>
      </c>
      <c r="C174" s="45" t="s">
        <v>292</v>
      </c>
      <c r="D174" s="61" t="s">
        <v>931</v>
      </c>
      <c r="E174" s="11" t="s">
        <v>13</v>
      </c>
    </row>
    <row r="175">
      <c r="B175" s="61" t="s">
        <v>2987</v>
      </c>
      <c r="C175" s="45" t="s">
        <v>16</v>
      </c>
      <c r="D175" s="61" t="s">
        <v>2988</v>
      </c>
      <c r="E175" s="11" t="s">
        <v>9</v>
      </c>
    </row>
    <row r="176">
      <c r="B176" s="61" t="s">
        <v>356</v>
      </c>
      <c r="C176" s="45" t="s">
        <v>425</v>
      </c>
      <c r="D176" s="61" t="s">
        <v>931</v>
      </c>
      <c r="E176" s="11" t="s">
        <v>13</v>
      </c>
    </row>
    <row r="177">
      <c r="B177" s="96" t="s">
        <v>2820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61" t="s">
        <v>2778</v>
      </c>
      <c r="C179" s="45" t="s">
        <v>251</v>
      </c>
      <c r="D179" s="61" t="s">
        <v>2171</v>
      </c>
      <c r="E179" s="33" t="s">
        <v>29</v>
      </c>
    </row>
    <row r="180">
      <c r="B180" s="61" t="s">
        <v>551</v>
      </c>
      <c r="C180" s="45" t="s">
        <v>181</v>
      </c>
      <c r="D180" s="61" t="s">
        <v>1243</v>
      </c>
      <c r="E180" s="33" t="s">
        <v>33</v>
      </c>
    </row>
    <row r="181">
      <c r="B181" s="61" t="s">
        <v>2989</v>
      </c>
      <c r="C181" s="45" t="s">
        <v>198</v>
      </c>
      <c r="D181" s="61" t="s">
        <v>2778</v>
      </c>
      <c r="E181" s="33" t="s">
        <v>29</v>
      </c>
    </row>
    <row r="182">
      <c r="B182" s="61" t="s">
        <v>551</v>
      </c>
      <c r="C182" s="45" t="s">
        <v>225</v>
      </c>
      <c r="D182" s="61" t="s">
        <v>2171</v>
      </c>
      <c r="E182" s="33" t="s">
        <v>33</v>
      </c>
    </row>
    <row r="183">
      <c r="B183" s="61" t="s">
        <v>2989</v>
      </c>
      <c r="C183" s="45" t="s">
        <v>220</v>
      </c>
      <c r="D183" s="61" t="s">
        <v>1243</v>
      </c>
      <c r="E183" s="33" t="s">
        <v>29</v>
      </c>
    </row>
    <row r="184">
      <c r="B184" s="61" t="s">
        <v>551</v>
      </c>
      <c r="C184" s="45" t="s">
        <v>298</v>
      </c>
      <c r="D184" s="61" t="s">
        <v>2778</v>
      </c>
      <c r="E184" s="33" t="s">
        <v>33</v>
      </c>
    </row>
    <row r="185">
      <c r="B185" s="61" t="s">
        <v>2989</v>
      </c>
      <c r="C185" s="45" t="s">
        <v>334</v>
      </c>
      <c r="D185" s="61" t="s">
        <v>2171</v>
      </c>
      <c r="E185" s="33" t="s">
        <v>29</v>
      </c>
    </row>
    <row r="186">
      <c r="B186" s="61" t="s">
        <v>1243</v>
      </c>
      <c r="C186" s="45" t="s">
        <v>193</v>
      </c>
      <c r="D186" s="61" t="s">
        <v>2778</v>
      </c>
      <c r="E186" s="33" t="s">
        <v>33</v>
      </c>
    </row>
    <row r="187">
      <c r="B187" s="61" t="s">
        <v>2989</v>
      </c>
      <c r="C187" s="45" t="s">
        <v>219</v>
      </c>
      <c r="D187" s="61" t="s">
        <v>551</v>
      </c>
      <c r="E187" s="33" t="s">
        <v>29</v>
      </c>
    </row>
    <row r="188">
      <c r="B188" s="61" t="s">
        <v>1243</v>
      </c>
      <c r="C188" s="45" t="s">
        <v>14</v>
      </c>
      <c r="D188" s="61" t="s">
        <v>2171</v>
      </c>
      <c r="E188" s="33" t="s">
        <v>33</v>
      </c>
    </row>
    <row r="189">
      <c r="B189" s="61" t="s">
        <v>2171</v>
      </c>
      <c r="C189" s="45" t="s">
        <v>977</v>
      </c>
      <c r="D189" s="61" t="s">
        <v>2778</v>
      </c>
      <c r="E189" s="33" t="s">
        <v>29</v>
      </c>
    </row>
    <row r="190">
      <c r="B190" s="61" t="s">
        <v>1243</v>
      </c>
      <c r="C190" s="45" t="s">
        <v>19</v>
      </c>
      <c r="D190" s="61" t="s">
        <v>551</v>
      </c>
      <c r="E190" s="33" t="s">
        <v>33</v>
      </c>
    </row>
    <row r="191">
      <c r="B191" s="61" t="s">
        <v>2778</v>
      </c>
      <c r="C191" s="45" t="s">
        <v>248</v>
      </c>
      <c r="D191" s="61" t="s">
        <v>2989</v>
      </c>
      <c r="E191" s="33" t="s">
        <v>29</v>
      </c>
    </row>
    <row r="192">
      <c r="B192" s="61" t="s">
        <v>2171</v>
      </c>
      <c r="C192" s="45" t="s">
        <v>290</v>
      </c>
      <c r="D192" s="61" t="s">
        <v>551</v>
      </c>
      <c r="E192" s="33" t="s">
        <v>33</v>
      </c>
    </row>
    <row r="193">
      <c r="B193" s="61" t="s">
        <v>1243</v>
      </c>
      <c r="C193" s="45" t="s">
        <v>271</v>
      </c>
      <c r="D193" s="61" t="s">
        <v>2989</v>
      </c>
      <c r="E193" s="33" t="s">
        <v>29</v>
      </c>
    </row>
    <row r="194">
      <c r="B194" s="61" t="s">
        <v>2778</v>
      </c>
      <c r="C194" s="45" t="s">
        <v>209</v>
      </c>
      <c r="D194" s="61" t="s">
        <v>551</v>
      </c>
      <c r="E194" s="33" t="s">
        <v>33</v>
      </c>
    </row>
    <row r="195">
      <c r="B195" s="61" t="s">
        <v>2171</v>
      </c>
      <c r="C195" s="45" t="s">
        <v>193</v>
      </c>
      <c r="D195" s="61" t="s">
        <v>2989</v>
      </c>
      <c r="E195" s="33" t="s">
        <v>29</v>
      </c>
    </row>
    <row r="196">
      <c r="B196" s="61" t="s">
        <v>2778</v>
      </c>
      <c r="C196" s="45" t="s">
        <v>195</v>
      </c>
      <c r="D196" s="61" t="s">
        <v>1243</v>
      </c>
      <c r="E196" s="33" t="s">
        <v>33</v>
      </c>
    </row>
    <row r="197">
      <c r="B197" s="61" t="s">
        <v>551</v>
      </c>
      <c r="C197" s="45" t="s">
        <v>209</v>
      </c>
      <c r="D197" s="61" t="s">
        <v>2989</v>
      </c>
      <c r="E197" s="33" t="s">
        <v>29</v>
      </c>
    </row>
    <row r="198">
      <c r="B198" s="61" t="s">
        <v>2171</v>
      </c>
      <c r="C198" s="45" t="s">
        <v>344</v>
      </c>
      <c r="D198" s="61" t="s">
        <v>1243</v>
      </c>
      <c r="E198" s="33" t="s">
        <v>33</v>
      </c>
    </row>
    <row r="199">
      <c r="B199" s="96" t="s">
        <v>2990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61" t="s">
        <v>2991</v>
      </c>
      <c r="C201" s="57" t="s">
        <v>165</v>
      </c>
      <c r="D201" s="61" t="s">
        <v>1628</v>
      </c>
      <c r="E201" s="33" t="s">
        <v>29</v>
      </c>
    </row>
    <row r="202">
      <c r="B202" s="61" t="s">
        <v>2992</v>
      </c>
      <c r="C202" s="45" t="s">
        <v>23</v>
      </c>
      <c r="D202" s="61" t="s">
        <v>2993</v>
      </c>
      <c r="E202" s="33" t="s">
        <v>33</v>
      </c>
    </row>
    <row r="203">
      <c r="B203" s="61" t="s">
        <v>2274</v>
      </c>
      <c r="C203" s="45" t="s">
        <v>225</v>
      </c>
      <c r="D203" s="61" t="s">
        <v>2991</v>
      </c>
      <c r="E203" s="33" t="s">
        <v>29</v>
      </c>
    </row>
    <row r="204">
      <c r="B204" s="61" t="s">
        <v>2992</v>
      </c>
      <c r="C204" s="45" t="s">
        <v>16</v>
      </c>
      <c r="D204" s="61" t="s">
        <v>1628</v>
      </c>
      <c r="E204" s="33" t="s">
        <v>33</v>
      </c>
    </row>
    <row r="205">
      <c r="B205" s="61" t="s">
        <v>2274</v>
      </c>
      <c r="C205" s="45" t="s">
        <v>20</v>
      </c>
      <c r="D205" s="61" t="s">
        <v>2993</v>
      </c>
      <c r="E205" s="33" t="s">
        <v>29</v>
      </c>
      <c r="H205" s="50" t="s">
        <v>861</v>
      </c>
    </row>
    <row r="206">
      <c r="B206" s="61" t="s">
        <v>2992</v>
      </c>
      <c r="C206" s="45" t="s">
        <v>250</v>
      </c>
      <c r="D206" s="61" t="s">
        <v>2991</v>
      </c>
      <c r="E206" s="33" t="s">
        <v>33</v>
      </c>
    </row>
    <row r="207">
      <c r="B207" s="61" t="s">
        <v>2274</v>
      </c>
      <c r="C207" s="45" t="s">
        <v>220</v>
      </c>
      <c r="D207" s="61" t="s">
        <v>1628</v>
      </c>
      <c r="E207" s="33" t="s">
        <v>29</v>
      </c>
    </row>
    <row r="208">
      <c r="B208" s="61" t="s">
        <v>2993</v>
      </c>
      <c r="C208" s="45" t="s">
        <v>181</v>
      </c>
      <c r="D208" s="61" t="s">
        <v>2991</v>
      </c>
      <c r="E208" s="33" t="s">
        <v>33</v>
      </c>
    </row>
    <row r="209">
      <c r="B209" s="61" t="s">
        <v>2274</v>
      </c>
      <c r="C209" s="45" t="s">
        <v>219</v>
      </c>
      <c r="D209" s="61" t="s">
        <v>2992</v>
      </c>
      <c r="E209" s="33" t="s">
        <v>29</v>
      </c>
    </row>
    <row r="210">
      <c r="B210" s="61" t="s">
        <v>2993</v>
      </c>
      <c r="C210" s="45" t="s">
        <v>210</v>
      </c>
      <c r="D210" s="61" t="s">
        <v>1628</v>
      </c>
      <c r="E210" s="33" t="s">
        <v>33</v>
      </c>
    </row>
    <row r="211">
      <c r="B211" s="61" t="s">
        <v>1628</v>
      </c>
      <c r="C211" s="45" t="s">
        <v>566</v>
      </c>
      <c r="D211" s="61" t="s">
        <v>2991</v>
      </c>
      <c r="E211" s="33" t="s">
        <v>29</v>
      </c>
    </row>
    <row r="212">
      <c r="B212" s="61" t="s">
        <v>2993</v>
      </c>
      <c r="C212" s="45" t="s">
        <v>2994</v>
      </c>
      <c r="D212" s="61" t="s">
        <v>2992</v>
      </c>
      <c r="E212" s="33" t="s">
        <v>33</v>
      </c>
    </row>
    <row r="213">
      <c r="B213" s="61" t="s">
        <v>2991</v>
      </c>
      <c r="C213" s="45" t="s">
        <v>219</v>
      </c>
      <c r="D213" s="61" t="s">
        <v>2274</v>
      </c>
      <c r="E213" s="33" t="s">
        <v>29</v>
      </c>
    </row>
    <row r="214">
      <c r="B214" s="61" t="s">
        <v>1628</v>
      </c>
      <c r="C214" s="45" t="s">
        <v>218</v>
      </c>
      <c r="D214" s="61" t="s">
        <v>2992</v>
      </c>
      <c r="E214" s="33" t="s">
        <v>33</v>
      </c>
    </row>
    <row r="215">
      <c r="B215" s="61" t="s">
        <v>2993</v>
      </c>
      <c r="C215" s="45" t="s">
        <v>18</v>
      </c>
      <c r="D215" s="61" t="s">
        <v>2274</v>
      </c>
      <c r="E215" s="33" t="s">
        <v>29</v>
      </c>
    </row>
    <row r="216">
      <c r="B216" s="61" t="s">
        <v>2991</v>
      </c>
      <c r="C216" s="45" t="s">
        <v>155</v>
      </c>
      <c r="D216" s="61" t="s">
        <v>2992</v>
      </c>
      <c r="E216" s="33" t="s">
        <v>33</v>
      </c>
    </row>
    <row r="217">
      <c r="B217" s="61" t="s">
        <v>1628</v>
      </c>
      <c r="C217" s="45" t="s">
        <v>162</v>
      </c>
      <c r="D217" s="61" t="s">
        <v>2274</v>
      </c>
      <c r="E217" s="33" t="s">
        <v>29</v>
      </c>
    </row>
    <row r="218">
      <c r="B218" s="61" t="s">
        <v>2991</v>
      </c>
      <c r="C218" s="45" t="s">
        <v>155</v>
      </c>
      <c r="D218" s="61" t="s">
        <v>2993</v>
      </c>
      <c r="E218" s="33" t="s">
        <v>33</v>
      </c>
    </row>
    <row r="219">
      <c r="B219" s="61" t="s">
        <v>2992</v>
      </c>
      <c r="C219" s="45" t="s">
        <v>31</v>
      </c>
      <c r="D219" s="61" t="s">
        <v>2274</v>
      </c>
      <c r="E219" s="33" t="s">
        <v>29</v>
      </c>
    </row>
    <row r="220">
      <c r="B220" s="61" t="s">
        <v>1628</v>
      </c>
      <c r="C220" s="45" t="s">
        <v>344</v>
      </c>
      <c r="D220" s="61" t="s">
        <v>2993</v>
      </c>
      <c r="E220" s="33" t="s">
        <v>33</v>
      </c>
    </row>
    <row r="221">
      <c r="B221" s="52" t="s">
        <v>2995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2932</v>
      </c>
      <c r="C223" s="45" t="s">
        <v>155</v>
      </c>
      <c r="D223" s="62" t="s">
        <v>2914</v>
      </c>
      <c r="E223" s="11" t="s">
        <v>9</v>
      </c>
    </row>
    <row r="224">
      <c r="B224" s="62" t="s">
        <v>1824</v>
      </c>
      <c r="C224" s="45" t="s">
        <v>426</v>
      </c>
      <c r="D224" s="62" t="s">
        <v>2063</v>
      </c>
      <c r="E224" s="11" t="s">
        <v>13</v>
      </c>
    </row>
    <row r="225">
      <c r="B225" s="62" t="s">
        <v>1198</v>
      </c>
      <c r="C225" s="45" t="s">
        <v>209</v>
      </c>
      <c r="D225" s="62" t="s">
        <v>2932</v>
      </c>
      <c r="E225" s="11" t="s">
        <v>9</v>
      </c>
    </row>
    <row r="226">
      <c r="B226" s="62" t="s">
        <v>1824</v>
      </c>
      <c r="C226" s="45" t="s">
        <v>357</v>
      </c>
      <c r="D226" s="62" t="s">
        <v>2914</v>
      </c>
      <c r="E226" s="11" t="s">
        <v>13</v>
      </c>
    </row>
    <row r="227">
      <c r="B227" s="62" t="s">
        <v>1198</v>
      </c>
      <c r="C227" s="45" t="s">
        <v>16</v>
      </c>
      <c r="D227" s="62" t="s">
        <v>2063</v>
      </c>
      <c r="E227" s="11" t="s">
        <v>9</v>
      </c>
    </row>
    <row r="228">
      <c r="B228" s="62" t="s">
        <v>1824</v>
      </c>
      <c r="C228" s="45" t="s">
        <v>43</v>
      </c>
      <c r="D228" s="62" t="s">
        <v>2932</v>
      </c>
      <c r="E228" s="11" t="s">
        <v>13</v>
      </c>
    </row>
    <row r="229">
      <c r="B229" s="62" t="s">
        <v>1198</v>
      </c>
      <c r="C229" s="45" t="s">
        <v>549</v>
      </c>
      <c r="D229" s="62" t="s">
        <v>2914</v>
      </c>
      <c r="E229" s="11" t="s">
        <v>9</v>
      </c>
    </row>
    <row r="230">
      <c r="B230" s="62" t="s">
        <v>2063</v>
      </c>
      <c r="C230" s="45" t="s">
        <v>209</v>
      </c>
      <c r="D230" s="62" t="s">
        <v>2932</v>
      </c>
      <c r="E230" s="11" t="s">
        <v>13</v>
      </c>
    </row>
    <row r="231">
      <c r="B231" s="62" t="s">
        <v>1198</v>
      </c>
      <c r="C231" s="45" t="s">
        <v>42</v>
      </c>
      <c r="D231" s="62" t="s">
        <v>1824</v>
      </c>
      <c r="E231" s="11" t="s">
        <v>9</v>
      </c>
    </row>
    <row r="232">
      <c r="B232" s="62" t="s">
        <v>2063</v>
      </c>
      <c r="C232" s="45" t="s">
        <v>14</v>
      </c>
      <c r="D232" s="62" t="s">
        <v>2914</v>
      </c>
      <c r="E232" s="11" t="s">
        <v>13</v>
      </c>
    </row>
    <row r="233">
      <c r="B233" s="62" t="s">
        <v>2914</v>
      </c>
      <c r="C233" s="45" t="s">
        <v>19</v>
      </c>
      <c r="D233" s="62" t="s">
        <v>2932</v>
      </c>
      <c r="E233" s="11" t="s">
        <v>9</v>
      </c>
    </row>
    <row r="234">
      <c r="B234" s="62" t="s">
        <v>2063</v>
      </c>
      <c r="C234" s="45" t="s">
        <v>181</v>
      </c>
      <c r="D234" s="62" t="s">
        <v>1824</v>
      </c>
      <c r="E234" s="11" t="s">
        <v>13</v>
      </c>
    </row>
    <row r="235">
      <c r="B235" s="62" t="s">
        <v>2932</v>
      </c>
      <c r="C235" s="45" t="s">
        <v>23</v>
      </c>
      <c r="D235" s="62" t="s">
        <v>1198</v>
      </c>
      <c r="E235" s="11" t="s">
        <v>9</v>
      </c>
    </row>
    <row r="236">
      <c r="B236" s="62" t="s">
        <v>2914</v>
      </c>
      <c r="C236" s="45" t="s">
        <v>264</v>
      </c>
      <c r="D236" s="62" t="s">
        <v>1824</v>
      </c>
      <c r="E236" s="11" t="s">
        <v>13</v>
      </c>
    </row>
    <row r="237">
      <c r="B237" s="62" t="s">
        <v>2063</v>
      </c>
      <c r="C237" s="45" t="s">
        <v>7</v>
      </c>
      <c r="D237" s="62" t="s">
        <v>1198</v>
      </c>
      <c r="E237" s="11" t="s">
        <v>9</v>
      </c>
    </row>
    <row r="238">
      <c r="B238" s="62" t="s">
        <v>2932</v>
      </c>
      <c r="C238" s="45" t="s">
        <v>164</v>
      </c>
      <c r="D238" s="62" t="s">
        <v>1824</v>
      </c>
      <c r="E238" s="11" t="s">
        <v>13</v>
      </c>
    </row>
    <row r="239">
      <c r="B239" s="62" t="s">
        <v>2914</v>
      </c>
      <c r="C239" s="45" t="s">
        <v>404</v>
      </c>
      <c r="D239" s="62" t="s">
        <v>1198</v>
      </c>
      <c r="E239" s="11" t="s">
        <v>9</v>
      </c>
    </row>
    <row r="240">
      <c r="B240" s="62" t="s">
        <v>2932</v>
      </c>
      <c r="C240" s="45" t="s">
        <v>20</v>
      </c>
      <c r="D240" s="62" t="s">
        <v>2063</v>
      </c>
      <c r="E240" s="11" t="s">
        <v>13</v>
      </c>
    </row>
    <row r="241">
      <c r="B241" s="62" t="s">
        <v>1824</v>
      </c>
      <c r="C241" s="45" t="s">
        <v>181</v>
      </c>
      <c r="D241" s="62" t="s">
        <v>1198</v>
      </c>
      <c r="E241" s="11" t="s">
        <v>9</v>
      </c>
    </row>
    <row r="242">
      <c r="B242" s="62" t="s">
        <v>2914</v>
      </c>
      <c r="C242" s="45" t="s">
        <v>517</v>
      </c>
      <c r="D242" s="62" t="s">
        <v>2063</v>
      </c>
      <c r="E242" s="11" t="s">
        <v>13</v>
      </c>
    </row>
    <row r="243">
      <c r="B243" s="52" t="s">
        <v>2179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2996</v>
      </c>
      <c r="C245" s="45" t="s">
        <v>301</v>
      </c>
      <c r="D245" s="62" t="s">
        <v>2997</v>
      </c>
      <c r="E245" s="11" t="s">
        <v>9</v>
      </c>
    </row>
    <row r="246">
      <c r="B246" s="62" t="s">
        <v>1980</v>
      </c>
      <c r="C246" s="45" t="s">
        <v>248</v>
      </c>
      <c r="D246" s="62" t="s">
        <v>2017</v>
      </c>
      <c r="E246" s="11" t="s">
        <v>13</v>
      </c>
    </row>
    <row r="247">
      <c r="B247" s="62" t="s">
        <v>2314</v>
      </c>
      <c r="C247" s="45" t="s">
        <v>366</v>
      </c>
      <c r="D247" s="62" t="s">
        <v>2996</v>
      </c>
      <c r="E247" s="11" t="s">
        <v>9</v>
      </c>
    </row>
    <row r="248">
      <c r="B248" s="62" t="s">
        <v>1980</v>
      </c>
      <c r="C248" s="45" t="s">
        <v>39</v>
      </c>
      <c r="D248" s="62" t="s">
        <v>2997</v>
      </c>
      <c r="E248" s="11" t="s">
        <v>13</v>
      </c>
    </row>
    <row r="249">
      <c r="B249" s="62" t="s">
        <v>2314</v>
      </c>
      <c r="C249" s="45" t="s">
        <v>395</v>
      </c>
      <c r="D249" s="62" t="s">
        <v>2017</v>
      </c>
      <c r="E249" s="11" t="s">
        <v>9</v>
      </c>
    </row>
    <row r="250">
      <c r="B250" s="62" t="s">
        <v>1980</v>
      </c>
      <c r="C250" s="45" t="s">
        <v>209</v>
      </c>
      <c r="D250" s="62" t="s">
        <v>2996</v>
      </c>
      <c r="E250" s="11" t="s">
        <v>13</v>
      </c>
    </row>
    <row r="251">
      <c r="B251" s="62" t="s">
        <v>2314</v>
      </c>
      <c r="C251" s="45" t="s">
        <v>291</v>
      </c>
      <c r="D251" s="62" t="s">
        <v>2997</v>
      </c>
      <c r="E251" s="11" t="s">
        <v>9</v>
      </c>
    </row>
    <row r="252">
      <c r="B252" s="62" t="s">
        <v>2017</v>
      </c>
      <c r="C252" s="45" t="s">
        <v>19</v>
      </c>
      <c r="D252" s="62" t="s">
        <v>2996</v>
      </c>
      <c r="E252" s="11" t="s">
        <v>13</v>
      </c>
    </row>
    <row r="253">
      <c r="B253" s="62" t="s">
        <v>2314</v>
      </c>
      <c r="C253" s="45" t="s">
        <v>176</v>
      </c>
      <c r="D253" s="62" t="s">
        <v>1980</v>
      </c>
      <c r="E253" s="11" t="s">
        <v>9</v>
      </c>
    </row>
    <row r="254">
      <c r="B254" s="62" t="s">
        <v>2017</v>
      </c>
      <c r="C254" s="45" t="s">
        <v>20</v>
      </c>
      <c r="D254" s="62" t="s">
        <v>2997</v>
      </c>
      <c r="E254" s="11" t="s">
        <v>13</v>
      </c>
    </row>
    <row r="255">
      <c r="B255" s="62" t="s">
        <v>2997</v>
      </c>
      <c r="C255" s="45" t="s">
        <v>16</v>
      </c>
      <c r="D255" s="62" t="s">
        <v>2996</v>
      </c>
      <c r="E255" s="11" t="s">
        <v>9</v>
      </c>
    </row>
    <row r="256">
      <c r="B256" s="62" t="s">
        <v>2017</v>
      </c>
      <c r="C256" s="45" t="s">
        <v>38</v>
      </c>
      <c r="D256" s="62" t="s">
        <v>1980</v>
      </c>
      <c r="E256" s="11" t="s">
        <v>13</v>
      </c>
    </row>
    <row r="257">
      <c r="B257" s="62" t="s">
        <v>2996</v>
      </c>
      <c r="C257" s="45" t="s">
        <v>19</v>
      </c>
      <c r="D257" s="62" t="s">
        <v>2314</v>
      </c>
      <c r="E257" s="11" t="s">
        <v>9</v>
      </c>
    </row>
    <row r="258">
      <c r="B258" s="62" t="s">
        <v>2997</v>
      </c>
      <c r="C258" s="45" t="s">
        <v>762</v>
      </c>
      <c r="D258" s="62" t="s">
        <v>1980</v>
      </c>
      <c r="E258" s="11" t="s">
        <v>13</v>
      </c>
    </row>
    <row r="259">
      <c r="B259" s="62" t="s">
        <v>2017</v>
      </c>
      <c r="C259" s="45" t="s">
        <v>209</v>
      </c>
      <c r="D259" s="62" t="s">
        <v>2314</v>
      </c>
      <c r="E259" s="11" t="s">
        <v>9</v>
      </c>
    </row>
    <row r="260">
      <c r="B260" s="62" t="s">
        <v>2996</v>
      </c>
      <c r="C260" s="45" t="s">
        <v>279</v>
      </c>
      <c r="D260" s="62" t="s">
        <v>1980</v>
      </c>
      <c r="E260" s="11" t="s">
        <v>13</v>
      </c>
    </row>
    <row r="261">
      <c r="B261" s="62" t="s">
        <v>2997</v>
      </c>
      <c r="C261" s="45" t="s">
        <v>19</v>
      </c>
      <c r="D261" s="62" t="s">
        <v>2314</v>
      </c>
      <c r="E261" s="11" t="s">
        <v>9</v>
      </c>
    </row>
    <row r="262">
      <c r="B262" s="62" t="s">
        <v>2996</v>
      </c>
      <c r="C262" s="45" t="s">
        <v>18</v>
      </c>
      <c r="D262" s="62" t="s">
        <v>2017</v>
      </c>
      <c r="E262" s="11" t="s">
        <v>13</v>
      </c>
    </row>
    <row r="263">
      <c r="B263" s="62" t="s">
        <v>1980</v>
      </c>
      <c r="C263" s="45" t="s">
        <v>433</v>
      </c>
      <c r="D263" s="62" t="s">
        <v>2314</v>
      </c>
      <c r="E263" s="11" t="s">
        <v>9</v>
      </c>
    </row>
    <row r="264">
      <c r="B264" s="62" t="s">
        <v>2997</v>
      </c>
      <c r="C264" s="45" t="s">
        <v>250</v>
      </c>
      <c r="D264" s="62" t="s">
        <v>2017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2998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2999</v>
      </c>
      <c r="C3" s="45" t="s">
        <v>158</v>
      </c>
      <c r="D3" s="62" t="s">
        <v>2842</v>
      </c>
      <c r="E3" s="11" t="s">
        <v>9</v>
      </c>
    </row>
    <row r="4">
      <c r="A4" s="90"/>
      <c r="B4" s="62" t="s">
        <v>235</v>
      </c>
      <c r="C4" s="45" t="s">
        <v>7</v>
      </c>
      <c r="D4" s="61" t="s">
        <v>3000</v>
      </c>
      <c r="E4" s="11" t="s">
        <v>13</v>
      </c>
    </row>
    <row r="5">
      <c r="A5" s="90"/>
      <c r="B5" s="62" t="s">
        <v>3001</v>
      </c>
      <c r="C5" s="45" t="s">
        <v>16</v>
      </c>
      <c r="D5" s="62" t="s">
        <v>2999</v>
      </c>
      <c r="E5" s="11" t="s">
        <v>9</v>
      </c>
    </row>
    <row r="6">
      <c r="A6" s="90"/>
      <c r="B6" s="62" t="s">
        <v>235</v>
      </c>
      <c r="C6" s="45" t="s">
        <v>181</v>
      </c>
      <c r="D6" s="62" t="s">
        <v>2842</v>
      </c>
      <c r="E6" s="11" t="s">
        <v>13</v>
      </c>
    </row>
    <row r="7">
      <c r="A7" s="90"/>
      <c r="B7" s="62" t="s">
        <v>3001</v>
      </c>
      <c r="C7" s="45" t="s">
        <v>162</v>
      </c>
      <c r="D7" s="61" t="s">
        <v>3000</v>
      </c>
      <c r="E7" s="11" t="s">
        <v>9</v>
      </c>
    </row>
    <row r="8">
      <c r="A8" s="90"/>
      <c r="B8" s="62" t="s">
        <v>235</v>
      </c>
      <c r="C8" s="45" t="s">
        <v>193</v>
      </c>
      <c r="D8" s="62" t="s">
        <v>2999</v>
      </c>
      <c r="E8" s="11" t="s">
        <v>13</v>
      </c>
    </row>
    <row r="9">
      <c r="A9" s="90"/>
      <c r="B9" s="62" t="s">
        <v>3001</v>
      </c>
      <c r="C9" s="45" t="s">
        <v>20</v>
      </c>
      <c r="D9" s="62" t="s">
        <v>2842</v>
      </c>
      <c r="E9" s="11" t="s">
        <v>9</v>
      </c>
    </row>
    <row r="10">
      <c r="A10" s="90"/>
      <c r="B10" s="61" t="s">
        <v>3000</v>
      </c>
      <c r="C10" s="45" t="s">
        <v>220</v>
      </c>
      <c r="D10" s="62" t="s">
        <v>2999</v>
      </c>
      <c r="E10" s="11" t="s">
        <v>13</v>
      </c>
    </row>
    <row r="11">
      <c r="A11" s="90"/>
      <c r="B11" s="62" t="s">
        <v>3001</v>
      </c>
      <c r="C11" s="45" t="s">
        <v>7</v>
      </c>
      <c r="D11" s="62" t="s">
        <v>235</v>
      </c>
      <c r="E11" s="11" t="s">
        <v>9</v>
      </c>
    </row>
    <row r="12">
      <c r="A12" s="90"/>
      <c r="B12" s="61" t="s">
        <v>3000</v>
      </c>
      <c r="C12" s="45" t="s">
        <v>547</v>
      </c>
      <c r="D12" s="62" t="s">
        <v>2842</v>
      </c>
      <c r="E12" s="11" t="s">
        <v>13</v>
      </c>
    </row>
    <row r="13">
      <c r="A13" s="90"/>
      <c r="B13" s="62" t="s">
        <v>2842</v>
      </c>
      <c r="C13" s="45" t="s">
        <v>216</v>
      </c>
      <c r="D13" s="62" t="s">
        <v>2999</v>
      </c>
      <c r="E13" s="11" t="s">
        <v>9</v>
      </c>
    </row>
    <row r="14">
      <c r="A14" s="90"/>
      <c r="B14" s="61" t="s">
        <v>3000</v>
      </c>
      <c r="C14" s="45" t="s">
        <v>208</v>
      </c>
      <c r="D14" s="62" t="s">
        <v>235</v>
      </c>
      <c r="E14" s="11" t="s">
        <v>13</v>
      </c>
    </row>
    <row r="15">
      <c r="A15" s="90"/>
      <c r="B15" s="62" t="s">
        <v>2999</v>
      </c>
      <c r="C15" s="45" t="s">
        <v>161</v>
      </c>
      <c r="D15" s="62" t="s">
        <v>3001</v>
      </c>
      <c r="E15" s="11" t="s">
        <v>9</v>
      </c>
    </row>
    <row r="16">
      <c r="A16" s="90"/>
      <c r="B16" s="62" t="s">
        <v>2842</v>
      </c>
      <c r="C16" s="45" t="s">
        <v>14</v>
      </c>
      <c r="D16" s="62" t="s">
        <v>235</v>
      </c>
      <c r="E16" s="11" t="s">
        <v>13</v>
      </c>
    </row>
    <row r="17">
      <c r="A17" s="90"/>
      <c r="B17" s="61" t="s">
        <v>3000</v>
      </c>
      <c r="C17" s="45" t="s">
        <v>21</v>
      </c>
      <c r="D17" s="62" t="s">
        <v>3001</v>
      </c>
      <c r="E17" s="11" t="s">
        <v>9</v>
      </c>
    </row>
    <row r="18">
      <c r="A18" s="90"/>
      <c r="B18" s="62" t="s">
        <v>2999</v>
      </c>
      <c r="C18" s="45" t="s">
        <v>20</v>
      </c>
      <c r="D18" s="62" t="s">
        <v>235</v>
      </c>
      <c r="E18" s="11" t="s">
        <v>13</v>
      </c>
    </row>
    <row r="19">
      <c r="A19" s="90"/>
      <c r="B19" s="62" t="s">
        <v>2842</v>
      </c>
      <c r="C19" s="45" t="s">
        <v>209</v>
      </c>
      <c r="D19" s="62" t="s">
        <v>3001</v>
      </c>
      <c r="E19" s="11" t="s">
        <v>9</v>
      </c>
    </row>
    <row r="20">
      <c r="A20" s="90"/>
      <c r="B20" s="62" t="s">
        <v>2999</v>
      </c>
      <c r="C20" s="45" t="s">
        <v>610</v>
      </c>
      <c r="D20" s="61" t="s">
        <v>3000</v>
      </c>
      <c r="E20" s="11" t="s">
        <v>13</v>
      </c>
    </row>
    <row r="21">
      <c r="A21" s="90"/>
      <c r="B21" s="62" t="s">
        <v>235</v>
      </c>
      <c r="C21" s="45" t="s">
        <v>16</v>
      </c>
      <c r="D21" s="62" t="s">
        <v>3001</v>
      </c>
      <c r="E21" s="11" t="s">
        <v>9</v>
      </c>
    </row>
    <row r="22">
      <c r="A22" s="90"/>
      <c r="B22" s="62" t="s">
        <v>2842</v>
      </c>
      <c r="C22" s="45" t="s">
        <v>193</v>
      </c>
      <c r="D22" s="61" t="s">
        <v>3000</v>
      </c>
      <c r="E22" s="11" t="s">
        <v>13</v>
      </c>
    </row>
    <row r="23">
      <c r="A23" s="90"/>
      <c r="B23" s="96" t="s">
        <v>2410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1142</v>
      </c>
      <c r="C25" s="45" t="s">
        <v>173</v>
      </c>
      <c r="D25" s="62" t="s">
        <v>3002</v>
      </c>
      <c r="E25" s="11" t="s">
        <v>9</v>
      </c>
    </row>
    <row r="26">
      <c r="A26" s="90"/>
      <c r="B26" s="62" t="s">
        <v>832</v>
      </c>
      <c r="C26" s="45" t="s">
        <v>251</v>
      </c>
      <c r="D26" s="61" t="s">
        <v>1143</v>
      </c>
      <c r="E26" s="11" t="s">
        <v>13</v>
      </c>
    </row>
    <row r="27">
      <c r="A27" s="90"/>
      <c r="B27" s="62" t="s">
        <v>3003</v>
      </c>
      <c r="C27" s="45" t="s">
        <v>264</v>
      </c>
      <c r="D27" s="62" t="s">
        <v>1142</v>
      </c>
      <c r="E27" s="11" t="s">
        <v>9</v>
      </c>
    </row>
    <row r="28">
      <c r="A28" s="90"/>
      <c r="B28" s="62" t="s">
        <v>832</v>
      </c>
      <c r="C28" s="45" t="s">
        <v>155</v>
      </c>
      <c r="D28" s="62" t="s">
        <v>3002</v>
      </c>
      <c r="E28" s="11" t="s">
        <v>13</v>
      </c>
    </row>
    <row r="29">
      <c r="A29" s="90"/>
      <c r="B29" s="62" t="s">
        <v>3003</v>
      </c>
      <c r="C29" s="45" t="s">
        <v>7</v>
      </c>
      <c r="D29" s="61" t="s">
        <v>1143</v>
      </c>
      <c r="E29" s="11" t="s">
        <v>9</v>
      </c>
    </row>
    <row r="30">
      <c r="A30" s="90"/>
      <c r="B30" s="62" t="s">
        <v>832</v>
      </c>
      <c r="C30" s="45" t="s">
        <v>16</v>
      </c>
      <c r="D30" s="62" t="s">
        <v>1142</v>
      </c>
      <c r="E30" s="11" t="s">
        <v>13</v>
      </c>
    </row>
    <row r="31">
      <c r="A31" s="90"/>
      <c r="B31" s="62" t="s">
        <v>3003</v>
      </c>
      <c r="C31" s="45" t="s">
        <v>173</v>
      </c>
      <c r="D31" s="62" t="s">
        <v>3002</v>
      </c>
      <c r="E31" s="11" t="s">
        <v>9</v>
      </c>
    </row>
    <row r="32">
      <c r="A32" s="90"/>
      <c r="B32" s="61" t="s">
        <v>1143</v>
      </c>
      <c r="C32" s="45" t="s">
        <v>248</v>
      </c>
      <c r="D32" s="62" t="s">
        <v>1142</v>
      </c>
      <c r="E32" s="11" t="s">
        <v>13</v>
      </c>
    </row>
    <row r="33">
      <c r="A33" s="90"/>
      <c r="B33" s="62" t="s">
        <v>3003</v>
      </c>
      <c r="C33" s="45" t="s">
        <v>37</v>
      </c>
      <c r="D33" s="62" t="s">
        <v>832</v>
      </c>
      <c r="E33" s="11" t="s">
        <v>9</v>
      </c>
    </row>
    <row r="34">
      <c r="A34" s="90"/>
      <c r="B34" s="61" t="s">
        <v>1143</v>
      </c>
      <c r="C34" s="45" t="s">
        <v>640</v>
      </c>
      <c r="D34" s="62" t="s">
        <v>3002</v>
      </c>
      <c r="E34" s="11" t="s">
        <v>13</v>
      </c>
    </row>
    <row r="35">
      <c r="A35" s="90"/>
      <c r="B35" s="62" t="s">
        <v>3002</v>
      </c>
      <c r="C35" s="45" t="s">
        <v>336</v>
      </c>
      <c r="D35" s="62" t="s">
        <v>1142</v>
      </c>
      <c r="E35" s="11" t="s">
        <v>9</v>
      </c>
    </row>
    <row r="36">
      <c r="A36" s="90"/>
      <c r="B36" s="61" t="s">
        <v>1143</v>
      </c>
      <c r="C36" s="45" t="s">
        <v>640</v>
      </c>
      <c r="D36" s="62" t="s">
        <v>832</v>
      </c>
      <c r="E36" s="11" t="s">
        <v>13</v>
      </c>
    </row>
    <row r="37">
      <c r="A37" s="90"/>
      <c r="B37" s="62" t="s">
        <v>1142</v>
      </c>
      <c r="C37" s="45" t="s">
        <v>244</v>
      </c>
      <c r="D37" s="62" t="s">
        <v>3003</v>
      </c>
      <c r="E37" s="11" t="s">
        <v>9</v>
      </c>
    </row>
    <row r="38">
      <c r="A38" s="90"/>
      <c r="B38" s="62" t="s">
        <v>3002</v>
      </c>
      <c r="C38" s="45" t="s">
        <v>279</v>
      </c>
      <c r="D38" s="62" t="s">
        <v>832</v>
      </c>
      <c r="E38" s="11" t="s">
        <v>13</v>
      </c>
    </row>
    <row r="39">
      <c r="A39" s="90"/>
      <c r="B39" s="61" t="s">
        <v>1143</v>
      </c>
      <c r="C39" s="45" t="s">
        <v>161</v>
      </c>
      <c r="D39" s="62" t="s">
        <v>3003</v>
      </c>
      <c r="E39" s="11" t="s">
        <v>9</v>
      </c>
    </row>
    <row r="40">
      <c r="A40" s="90"/>
      <c r="B40" s="62" t="s">
        <v>1142</v>
      </c>
      <c r="C40" s="45" t="s">
        <v>442</v>
      </c>
      <c r="D40" s="62" t="s">
        <v>832</v>
      </c>
      <c r="E40" s="11" t="s">
        <v>13</v>
      </c>
    </row>
    <row r="41">
      <c r="A41" s="90"/>
      <c r="B41" s="62" t="s">
        <v>3002</v>
      </c>
      <c r="C41" s="45" t="s">
        <v>19</v>
      </c>
      <c r="D41" s="62" t="s">
        <v>3003</v>
      </c>
      <c r="E41" s="11" t="s">
        <v>9</v>
      </c>
    </row>
    <row r="42">
      <c r="A42" s="90"/>
      <c r="B42" s="62" t="s">
        <v>1142</v>
      </c>
      <c r="C42" s="45" t="s">
        <v>225</v>
      </c>
      <c r="D42" s="61" t="s">
        <v>1143</v>
      </c>
      <c r="E42" s="11" t="s">
        <v>13</v>
      </c>
    </row>
    <row r="43">
      <c r="A43" s="90"/>
      <c r="B43" s="62" t="s">
        <v>832</v>
      </c>
      <c r="C43" s="45" t="s">
        <v>257</v>
      </c>
      <c r="D43" s="62" t="s">
        <v>3003</v>
      </c>
      <c r="E43" s="11" t="s">
        <v>9</v>
      </c>
    </row>
    <row r="44">
      <c r="A44" s="91"/>
      <c r="B44" s="62" t="s">
        <v>3002</v>
      </c>
      <c r="C44" s="45" t="s">
        <v>16</v>
      </c>
      <c r="D44" s="61" t="s">
        <v>1143</v>
      </c>
      <c r="E44" s="11" t="s">
        <v>13</v>
      </c>
    </row>
    <row r="45">
      <c r="B45" s="96" t="s">
        <v>2646</v>
      </c>
      <c r="C45" s="2"/>
      <c r="D45" s="3"/>
      <c r="E45" s="107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61" t="s">
        <v>2353</v>
      </c>
      <c r="C47" s="45" t="s">
        <v>248</v>
      </c>
      <c r="D47" s="61" t="s">
        <v>2613</v>
      </c>
      <c r="E47" s="33" t="s">
        <v>29</v>
      </c>
    </row>
    <row r="48">
      <c r="B48" s="61" t="s">
        <v>3004</v>
      </c>
      <c r="C48" s="45" t="s">
        <v>41</v>
      </c>
      <c r="D48" s="61" t="s">
        <v>3005</v>
      </c>
      <c r="E48" s="33" t="s">
        <v>33</v>
      </c>
    </row>
    <row r="49">
      <c r="B49" s="61" t="s">
        <v>2827</v>
      </c>
      <c r="C49" s="45" t="s">
        <v>264</v>
      </c>
      <c r="D49" s="61" t="s">
        <v>2353</v>
      </c>
      <c r="E49" s="33" t="s">
        <v>29</v>
      </c>
    </row>
    <row r="50">
      <c r="B50" s="61" t="s">
        <v>3004</v>
      </c>
      <c r="C50" s="45" t="s">
        <v>573</v>
      </c>
      <c r="D50" s="61" t="s">
        <v>2613</v>
      </c>
      <c r="E50" s="33" t="s">
        <v>33</v>
      </c>
    </row>
    <row r="51">
      <c r="B51" s="61" t="s">
        <v>2827</v>
      </c>
      <c r="C51" s="45" t="s">
        <v>783</v>
      </c>
      <c r="D51" s="61" t="s">
        <v>3005</v>
      </c>
      <c r="E51" s="33" t="s">
        <v>29</v>
      </c>
    </row>
    <row r="52">
      <c r="B52" s="61" t="s">
        <v>3004</v>
      </c>
      <c r="C52" s="45" t="s">
        <v>957</v>
      </c>
      <c r="D52" s="61" t="s">
        <v>2353</v>
      </c>
      <c r="E52" s="33" t="s">
        <v>33</v>
      </c>
    </row>
    <row r="53">
      <c r="B53" s="61" t="s">
        <v>2827</v>
      </c>
      <c r="C53" s="45" t="s">
        <v>1188</v>
      </c>
      <c r="D53" s="61" t="s">
        <v>2613</v>
      </c>
      <c r="E53" s="33" t="s">
        <v>29</v>
      </c>
    </row>
    <row r="54">
      <c r="B54" s="61" t="s">
        <v>3005</v>
      </c>
      <c r="C54" s="45" t="s">
        <v>418</v>
      </c>
      <c r="D54" s="61" t="s">
        <v>2353</v>
      </c>
      <c r="E54" s="33" t="s">
        <v>33</v>
      </c>
    </row>
    <row r="55">
      <c r="B55" s="61" t="s">
        <v>2827</v>
      </c>
      <c r="C55" s="45" t="s">
        <v>426</v>
      </c>
      <c r="D55" s="61" t="s">
        <v>3004</v>
      </c>
      <c r="E55" s="33" t="s">
        <v>29</v>
      </c>
    </row>
    <row r="56">
      <c r="B56" s="61" t="s">
        <v>3005</v>
      </c>
      <c r="C56" s="45" t="s">
        <v>3006</v>
      </c>
      <c r="D56" s="61" t="s">
        <v>2613</v>
      </c>
      <c r="E56" s="33" t="s">
        <v>33</v>
      </c>
    </row>
    <row r="57">
      <c r="B57" s="61" t="s">
        <v>2613</v>
      </c>
      <c r="C57" s="45" t="s">
        <v>1553</v>
      </c>
      <c r="D57" s="61" t="s">
        <v>2353</v>
      </c>
      <c r="E57" s="33" t="s">
        <v>29</v>
      </c>
    </row>
    <row r="58">
      <c r="B58" s="61" t="s">
        <v>3005</v>
      </c>
      <c r="C58" s="45" t="s">
        <v>165</v>
      </c>
      <c r="D58" s="61" t="s">
        <v>3004</v>
      </c>
      <c r="E58" s="33" t="s">
        <v>33</v>
      </c>
    </row>
    <row r="59">
      <c r="B59" s="61" t="s">
        <v>2353</v>
      </c>
      <c r="C59" s="45" t="s">
        <v>248</v>
      </c>
      <c r="D59" s="61" t="s">
        <v>2827</v>
      </c>
      <c r="E59" s="33" t="s">
        <v>29</v>
      </c>
    </row>
    <row r="60">
      <c r="B60" s="61" t="s">
        <v>2613</v>
      </c>
      <c r="C60" s="45" t="s">
        <v>324</v>
      </c>
      <c r="D60" s="61" t="s">
        <v>3004</v>
      </c>
      <c r="E60" s="33" t="s">
        <v>33</v>
      </c>
    </row>
    <row r="61">
      <c r="B61" s="61" t="s">
        <v>3005</v>
      </c>
      <c r="C61" s="45" t="s">
        <v>279</v>
      </c>
      <c r="D61" s="61" t="s">
        <v>2827</v>
      </c>
      <c r="E61" s="33" t="s">
        <v>29</v>
      </c>
    </row>
    <row r="62">
      <c r="B62" s="61" t="s">
        <v>2353</v>
      </c>
      <c r="C62" s="45" t="s">
        <v>352</v>
      </c>
      <c r="D62" s="61" t="s">
        <v>3004</v>
      </c>
      <c r="E62" s="33" t="s">
        <v>33</v>
      </c>
    </row>
    <row r="63">
      <c r="B63" s="61" t="s">
        <v>2613</v>
      </c>
      <c r="C63" s="45" t="s">
        <v>281</v>
      </c>
      <c r="D63" s="61" t="s">
        <v>2827</v>
      </c>
      <c r="E63" s="33" t="s">
        <v>29</v>
      </c>
    </row>
    <row r="64">
      <c r="B64" s="61" t="s">
        <v>2353</v>
      </c>
      <c r="C64" s="45" t="s">
        <v>440</v>
      </c>
      <c r="D64" s="61" t="s">
        <v>3005</v>
      </c>
      <c r="E64" s="33" t="s">
        <v>33</v>
      </c>
    </row>
    <row r="65">
      <c r="B65" s="61" t="s">
        <v>3004</v>
      </c>
      <c r="C65" s="45" t="s">
        <v>216</v>
      </c>
      <c r="D65" s="61" t="s">
        <v>2827</v>
      </c>
      <c r="E65" s="33" t="s">
        <v>29</v>
      </c>
    </row>
    <row r="66">
      <c r="B66" s="61" t="s">
        <v>2613</v>
      </c>
      <c r="C66" s="45" t="s">
        <v>289</v>
      </c>
      <c r="D66" s="61" t="s">
        <v>3005</v>
      </c>
      <c r="E66" s="33" t="s">
        <v>33</v>
      </c>
    </row>
    <row r="67">
      <c r="B67" s="96" t="s">
        <v>2741</v>
      </c>
      <c r="C67" s="2"/>
      <c r="D67" s="3"/>
      <c r="E67" s="107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110" t="s">
        <v>1439</v>
      </c>
      <c r="C69" s="111" t="s">
        <v>219</v>
      </c>
      <c r="D69" s="112" t="s">
        <v>2253</v>
      </c>
      <c r="E69" s="33" t="s">
        <v>29</v>
      </c>
    </row>
    <row r="70">
      <c r="B70" s="110" t="s">
        <v>1176</v>
      </c>
      <c r="C70" s="111" t="s">
        <v>2360</v>
      </c>
      <c r="D70" s="112" t="s">
        <v>2894</v>
      </c>
      <c r="E70" s="33" t="s">
        <v>33</v>
      </c>
    </row>
    <row r="71">
      <c r="B71" s="110" t="s">
        <v>2895</v>
      </c>
      <c r="C71" s="111" t="s">
        <v>278</v>
      </c>
      <c r="D71" s="112" t="s">
        <v>1439</v>
      </c>
      <c r="E71" s="33" t="s">
        <v>29</v>
      </c>
    </row>
    <row r="72">
      <c r="B72" s="110" t="s">
        <v>1176</v>
      </c>
      <c r="C72" s="111" t="s">
        <v>338</v>
      </c>
      <c r="D72" s="112" t="s">
        <v>2253</v>
      </c>
      <c r="E72" s="33" t="s">
        <v>33</v>
      </c>
    </row>
    <row r="73">
      <c r="B73" s="110" t="s">
        <v>2895</v>
      </c>
      <c r="C73" s="111" t="s">
        <v>208</v>
      </c>
      <c r="D73" s="112" t="s">
        <v>2894</v>
      </c>
      <c r="E73" s="33" t="s">
        <v>29</v>
      </c>
    </row>
    <row r="74">
      <c r="B74" s="110" t="s">
        <v>1176</v>
      </c>
      <c r="C74" s="111" t="s">
        <v>163</v>
      </c>
      <c r="D74" s="112" t="s">
        <v>1439</v>
      </c>
      <c r="E74" s="33" t="s">
        <v>33</v>
      </c>
    </row>
    <row r="75">
      <c r="B75" s="110" t="s">
        <v>2895</v>
      </c>
      <c r="C75" s="111" t="s">
        <v>279</v>
      </c>
      <c r="D75" s="112" t="s">
        <v>2253</v>
      </c>
      <c r="E75" s="33" t="s">
        <v>29</v>
      </c>
    </row>
    <row r="76">
      <c r="B76" s="110" t="s">
        <v>2894</v>
      </c>
      <c r="C76" s="111" t="s">
        <v>189</v>
      </c>
      <c r="D76" s="112" t="s">
        <v>1439</v>
      </c>
      <c r="E76" s="33" t="s">
        <v>33</v>
      </c>
    </row>
    <row r="77">
      <c r="B77" s="110" t="s">
        <v>2895</v>
      </c>
      <c r="C77" s="111" t="s">
        <v>193</v>
      </c>
      <c r="D77" s="112" t="s">
        <v>1176</v>
      </c>
      <c r="E77" s="33" t="s">
        <v>29</v>
      </c>
    </row>
    <row r="78">
      <c r="B78" s="110" t="s">
        <v>2894</v>
      </c>
      <c r="C78" s="111" t="s">
        <v>219</v>
      </c>
      <c r="D78" s="112" t="s">
        <v>2253</v>
      </c>
      <c r="E78" s="33" t="s">
        <v>33</v>
      </c>
    </row>
    <row r="79">
      <c r="B79" s="110" t="s">
        <v>2253</v>
      </c>
      <c r="C79" s="111" t="s">
        <v>210</v>
      </c>
      <c r="D79" s="112" t="s">
        <v>1439</v>
      </c>
      <c r="E79" s="33" t="s">
        <v>29</v>
      </c>
    </row>
    <row r="80">
      <c r="B80" s="110" t="s">
        <v>2894</v>
      </c>
      <c r="C80" s="111" t="s">
        <v>38</v>
      </c>
      <c r="D80" s="112" t="s">
        <v>1176</v>
      </c>
      <c r="E80" s="33" t="s">
        <v>33</v>
      </c>
    </row>
    <row r="81">
      <c r="B81" s="110" t="s">
        <v>1439</v>
      </c>
      <c r="C81" s="111" t="s">
        <v>185</v>
      </c>
      <c r="D81" s="110" t="s">
        <v>2895</v>
      </c>
      <c r="E81" s="33" t="s">
        <v>29</v>
      </c>
      <c r="H81" s="50" t="s">
        <v>514</v>
      </c>
    </row>
    <row r="82">
      <c r="B82" s="110" t="s">
        <v>2253</v>
      </c>
      <c r="C82" s="111" t="s">
        <v>549</v>
      </c>
      <c r="D82" s="112" t="s">
        <v>1176</v>
      </c>
      <c r="E82" s="33" t="s">
        <v>33</v>
      </c>
    </row>
    <row r="83">
      <c r="B83" s="110" t="s">
        <v>2894</v>
      </c>
      <c r="C83" s="111" t="s">
        <v>194</v>
      </c>
      <c r="D83" s="110" t="s">
        <v>2895</v>
      </c>
      <c r="E83" s="33" t="s">
        <v>29</v>
      </c>
    </row>
    <row r="84">
      <c r="B84" s="110" t="s">
        <v>1439</v>
      </c>
      <c r="C84" s="111" t="s">
        <v>163</v>
      </c>
      <c r="D84" s="112" t="s">
        <v>1176</v>
      </c>
      <c r="E84" s="33" t="s">
        <v>33</v>
      </c>
    </row>
    <row r="85">
      <c r="B85" s="110" t="s">
        <v>2253</v>
      </c>
      <c r="C85" s="111" t="s">
        <v>3007</v>
      </c>
      <c r="D85" s="110" t="s">
        <v>2895</v>
      </c>
      <c r="E85" s="33" t="s">
        <v>29</v>
      </c>
    </row>
    <row r="86">
      <c r="B86" s="110" t="s">
        <v>1439</v>
      </c>
      <c r="C86" s="111" t="s">
        <v>1419</v>
      </c>
      <c r="D86" s="112" t="s">
        <v>2894</v>
      </c>
      <c r="E86" s="33" t="s">
        <v>33</v>
      </c>
    </row>
    <row r="87">
      <c r="B87" s="110" t="s">
        <v>1176</v>
      </c>
      <c r="C87" s="111" t="s">
        <v>225</v>
      </c>
      <c r="D87" s="110" t="s">
        <v>2895</v>
      </c>
      <c r="E87" s="33" t="s">
        <v>29</v>
      </c>
    </row>
    <row r="88">
      <c r="B88" s="110" t="s">
        <v>2253</v>
      </c>
      <c r="C88" s="111" t="s">
        <v>582</v>
      </c>
      <c r="D88" s="112" t="s">
        <v>2894</v>
      </c>
      <c r="E88" s="33" t="s">
        <v>33</v>
      </c>
    </row>
    <row r="89">
      <c r="B89" s="96" t="s">
        <v>3008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2245</v>
      </c>
      <c r="C91" s="45" t="s">
        <v>17</v>
      </c>
      <c r="D91" s="62" t="s">
        <v>1094</v>
      </c>
      <c r="E91" s="11" t="s">
        <v>9</v>
      </c>
    </row>
    <row r="92">
      <c r="B92" s="62" t="s">
        <v>3009</v>
      </c>
      <c r="C92" s="45" t="s">
        <v>158</v>
      </c>
      <c r="D92" s="56" t="s">
        <v>456</v>
      </c>
      <c r="E92" s="11" t="s">
        <v>13</v>
      </c>
    </row>
    <row r="93">
      <c r="B93" s="62" t="s">
        <v>3010</v>
      </c>
      <c r="C93" s="45" t="s">
        <v>158</v>
      </c>
      <c r="D93" s="62" t="s">
        <v>2245</v>
      </c>
      <c r="E93" s="11" t="s">
        <v>9</v>
      </c>
    </row>
    <row r="94">
      <c r="B94" s="62" t="s">
        <v>3009</v>
      </c>
      <c r="C94" s="45" t="s">
        <v>194</v>
      </c>
      <c r="D94" s="62" t="s">
        <v>1094</v>
      </c>
      <c r="E94" s="11" t="s">
        <v>13</v>
      </c>
    </row>
    <row r="95">
      <c r="B95" s="62" t="s">
        <v>3010</v>
      </c>
      <c r="C95" s="45" t="s">
        <v>185</v>
      </c>
      <c r="D95" s="56" t="s">
        <v>456</v>
      </c>
      <c r="E95" s="11" t="s">
        <v>9</v>
      </c>
    </row>
    <row r="96">
      <c r="B96" s="62" t="s">
        <v>3009</v>
      </c>
      <c r="C96" s="45" t="s">
        <v>189</v>
      </c>
      <c r="D96" s="62" t="s">
        <v>2245</v>
      </c>
      <c r="E96" s="11" t="s">
        <v>13</v>
      </c>
    </row>
    <row r="97">
      <c r="B97" s="62" t="s">
        <v>3010</v>
      </c>
      <c r="C97" s="45" t="s">
        <v>181</v>
      </c>
      <c r="D97" s="62" t="s">
        <v>1094</v>
      </c>
      <c r="E97" s="11" t="s">
        <v>9</v>
      </c>
    </row>
    <row r="98">
      <c r="B98" s="56" t="s">
        <v>456</v>
      </c>
      <c r="C98" s="45" t="s">
        <v>27</v>
      </c>
      <c r="D98" s="62" t="s">
        <v>2245</v>
      </c>
      <c r="E98" s="11" t="s">
        <v>13</v>
      </c>
    </row>
    <row r="99">
      <c r="B99" s="62" t="s">
        <v>3010</v>
      </c>
      <c r="C99" s="45" t="s">
        <v>19</v>
      </c>
      <c r="D99" s="62" t="s">
        <v>3009</v>
      </c>
      <c r="E99" s="11" t="s">
        <v>9</v>
      </c>
    </row>
    <row r="100">
      <c r="B100" s="56" t="s">
        <v>456</v>
      </c>
      <c r="C100" s="45" t="s">
        <v>218</v>
      </c>
      <c r="D100" s="62" t="s">
        <v>1094</v>
      </c>
      <c r="E100" s="11" t="s">
        <v>13</v>
      </c>
    </row>
    <row r="101">
      <c r="B101" s="62" t="s">
        <v>1094</v>
      </c>
      <c r="C101" s="45" t="s">
        <v>219</v>
      </c>
      <c r="D101" s="62" t="s">
        <v>2245</v>
      </c>
      <c r="E101" s="11" t="s">
        <v>9</v>
      </c>
    </row>
    <row r="102">
      <c r="B102" s="56" t="s">
        <v>456</v>
      </c>
      <c r="C102" s="45" t="s">
        <v>14</v>
      </c>
      <c r="D102" s="62" t="s">
        <v>3009</v>
      </c>
      <c r="E102" s="11" t="s">
        <v>13</v>
      </c>
    </row>
    <row r="103">
      <c r="B103" s="62" t="s">
        <v>2245</v>
      </c>
      <c r="C103" s="45" t="s">
        <v>316</v>
      </c>
      <c r="D103" s="62" t="s">
        <v>3010</v>
      </c>
      <c r="E103" s="11" t="s">
        <v>9</v>
      </c>
    </row>
    <row r="104">
      <c r="B104" s="62" t="s">
        <v>1094</v>
      </c>
      <c r="C104" s="45" t="s">
        <v>193</v>
      </c>
      <c r="D104" s="62" t="s">
        <v>3009</v>
      </c>
      <c r="E104" s="11" t="s">
        <v>13</v>
      </c>
    </row>
    <row r="105">
      <c r="B105" s="56" t="s">
        <v>456</v>
      </c>
      <c r="C105" s="45" t="s">
        <v>216</v>
      </c>
      <c r="D105" s="62" t="s">
        <v>3010</v>
      </c>
      <c r="E105" s="11" t="s">
        <v>9</v>
      </c>
    </row>
    <row r="106">
      <c r="B106" s="62" t="s">
        <v>2245</v>
      </c>
      <c r="C106" s="45" t="s">
        <v>42</v>
      </c>
      <c r="D106" s="62" t="s">
        <v>3009</v>
      </c>
      <c r="E106" s="11" t="s">
        <v>13</v>
      </c>
    </row>
    <row r="107">
      <c r="B107" s="62" t="s">
        <v>1094</v>
      </c>
      <c r="C107" s="45" t="s">
        <v>219</v>
      </c>
      <c r="D107" s="62" t="s">
        <v>3010</v>
      </c>
      <c r="E107" s="11" t="s">
        <v>9</v>
      </c>
    </row>
    <row r="108">
      <c r="B108" s="62" t="s">
        <v>2245</v>
      </c>
      <c r="C108" s="45" t="s">
        <v>640</v>
      </c>
      <c r="D108" s="56" t="s">
        <v>456</v>
      </c>
      <c r="E108" s="11" t="s">
        <v>13</v>
      </c>
    </row>
    <row r="109">
      <c r="B109" s="62" t="s">
        <v>3009</v>
      </c>
      <c r="C109" s="45" t="s">
        <v>176</v>
      </c>
      <c r="D109" s="62" t="s">
        <v>3010</v>
      </c>
      <c r="E109" s="11" t="s">
        <v>9</v>
      </c>
    </row>
    <row r="110">
      <c r="B110" s="62" t="s">
        <v>1094</v>
      </c>
      <c r="C110" s="45" t="s">
        <v>158</v>
      </c>
      <c r="D110" s="56" t="s">
        <v>456</v>
      </c>
      <c r="E110" s="11" t="s">
        <v>13</v>
      </c>
    </row>
    <row r="111">
      <c r="B111" s="96" t="s">
        <v>3011</v>
      </c>
      <c r="C111" s="2"/>
      <c r="D111" s="3"/>
      <c r="E111" s="5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1771</v>
      </c>
      <c r="C113" s="45" t="s">
        <v>161</v>
      </c>
      <c r="D113" s="62" t="s">
        <v>2774</v>
      </c>
      <c r="E113" s="11" t="s">
        <v>9</v>
      </c>
    </row>
    <row r="114">
      <c r="B114" s="62" t="s">
        <v>3012</v>
      </c>
      <c r="C114" s="45" t="s">
        <v>219</v>
      </c>
      <c r="D114" s="56" t="s">
        <v>1840</v>
      </c>
      <c r="E114" s="11" t="s">
        <v>13</v>
      </c>
    </row>
    <row r="115">
      <c r="B115" s="62" t="s">
        <v>3013</v>
      </c>
      <c r="C115" s="45" t="s">
        <v>19</v>
      </c>
      <c r="D115" s="62" t="s">
        <v>1771</v>
      </c>
      <c r="E115" s="11" t="s">
        <v>9</v>
      </c>
    </row>
    <row r="116">
      <c r="B116" s="62" t="s">
        <v>3012</v>
      </c>
      <c r="C116" s="45" t="s">
        <v>18</v>
      </c>
      <c r="D116" s="62" t="s">
        <v>2774</v>
      </c>
      <c r="E116" s="11" t="s">
        <v>13</v>
      </c>
    </row>
    <row r="117">
      <c r="B117" s="62" t="s">
        <v>3013</v>
      </c>
      <c r="C117" s="45" t="s">
        <v>419</v>
      </c>
      <c r="D117" s="56" t="s">
        <v>1840</v>
      </c>
      <c r="E117" s="11" t="s">
        <v>9</v>
      </c>
    </row>
    <row r="118">
      <c r="B118" s="62" t="s">
        <v>3012</v>
      </c>
      <c r="C118" s="45" t="s">
        <v>393</v>
      </c>
      <c r="D118" s="62" t="s">
        <v>1771</v>
      </c>
      <c r="E118" s="11" t="s">
        <v>13</v>
      </c>
    </row>
    <row r="119">
      <c r="B119" s="62" t="s">
        <v>3013</v>
      </c>
      <c r="C119" s="45" t="s">
        <v>173</v>
      </c>
      <c r="D119" s="62" t="s">
        <v>2774</v>
      </c>
      <c r="E119" s="11" t="s">
        <v>9</v>
      </c>
    </row>
    <row r="120">
      <c r="B120" s="56" t="s">
        <v>1840</v>
      </c>
      <c r="C120" s="45" t="s">
        <v>218</v>
      </c>
      <c r="D120" s="62" t="s">
        <v>1771</v>
      </c>
      <c r="E120" s="11" t="s">
        <v>13</v>
      </c>
    </row>
    <row r="121">
      <c r="B121" s="62" t="s">
        <v>3013</v>
      </c>
      <c r="C121" s="45" t="s">
        <v>17</v>
      </c>
      <c r="D121" s="62" t="s">
        <v>3012</v>
      </c>
      <c r="E121" s="11" t="s">
        <v>9</v>
      </c>
    </row>
    <row r="122">
      <c r="B122" s="56" t="s">
        <v>1840</v>
      </c>
      <c r="C122" s="45" t="s">
        <v>164</v>
      </c>
      <c r="D122" s="62" t="s">
        <v>2774</v>
      </c>
      <c r="E122" s="11" t="s">
        <v>13</v>
      </c>
    </row>
    <row r="123">
      <c r="B123" s="62" t="s">
        <v>2774</v>
      </c>
      <c r="C123" s="45" t="s">
        <v>209</v>
      </c>
      <c r="D123" s="62" t="s">
        <v>1771</v>
      </c>
      <c r="E123" s="11" t="s">
        <v>9</v>
      </c>
    </row>
    <row r="124">
      <c r="B124" s="56" t="s">
        <v>1840</v>
      </c>
      <c r="C124" s="45" t="s">
        <v>19</v>
      </c>
      <c r="D124" s="62" t="s">
        <v>3012</v>
      </c>
      <c r="E124" s="11" t="s">
        <v>13</v>
      </c>
    </row>
    <row r="125">
      <c r="B125" s="62" t="s">
        <v>1771</v>
      </c>
      <c r="C125" s="45" t="s">
        <v>222</v>
      </c>
      <c r="D125" s="62" t="s">
        <v>3013</v>
      </c>
      <c r="E125" s="11" t="s">
        <v>9</v>
      </c>
    </row>
    <row r="126">
      <c r="B126" s="62" t="s">
        <v>2774</v>
      </c>
      <c r="C126" s="45" t="s">
        <v>158</v>
      </c>
      <c r="D126" s="62" t="s">
        <v>3012</v>
      </c>
      <c r="E126" s="11" t="s">
        <v>13</v>
      </c>
    </row>
    <row r="127">
      <c r="B127" s="56" t="s">
        <v>1840</v>
      </c>
      <c r="C127" s="45" t="s">
        <v>640</v>
      </c>
      <c r="D127" s="62" t="s">
        <v>3013</v>
      </c>
      <c r="E127" s="11" t="s">
        <v>9</v>
      </c>
    </row>
    <row r="128">
      <c r="B128" s="62" t="s">
        <v>1771</v>
      </c>
      <c r="C128" s="45" t="s">
        <v>17</v>
      </c>
      <c r="D128" s="62" t="s">
        <v>3012</v>
      </c>
      <c r="E128" s="11" t="s">
        <v>13</v>
      </c>
    </row>
    <row r="129">
      <c r="B129" s="62" t="s">
        <v>2774</v>
      </c>
      <c r="C129" s="45" t="s">
        <v>220</v>
      </c>
      <c r="D129" s="62" t="s">
        <v>3013</v>
      </c>
      <c r="E129" s="11" t="s">
        <v>9</v>
      </c>
    </row>
    <row r="130">
      <c r="B130" s="62" t="s">
        <v>1771</v>
      </c>
      <c r="C130" s="45" t="s">
        <v>209</v>
      </c>
      <c r="D130" s="56" t="s">
        <v>1840</v>
      </c>
      <c r="E130" s="11" t="s">
        <v>13</v>
      </c>
    </row>
    <row r="131">
      <c r="B131" s="62" t="s">
        <v>3012</v>
      </c>
      <c r="C131" s="45" t="s">
        <v>14</v>
      </c>
      <c r="D131" s="62" t="s">
        <v>3013</v>
      </c>
      <c r="E131" s="11" t="s">
        <v>9</v>
      </c>
    </row>
    <row r="132">
      <c r="B132" s="62" t="s">
        <v>2774</v>
      </c>
      <c r="C132" s="45" t="s">
        <v>173</v>
      </c>
      <c r="D132" s="56" t="s">
        <v>1840</v>
      </c>
      <c r="E132" s="11" t="s">
        <v>13</v>
      </c>
    </row>
    <row r="133">
      <c r="B133" s="96" t="s">
        <v>2748</v>
      </c>
      <c r="C133" s="2"/>
      <c r="D133" s="3"/>
      <c r="E133" s="107"/>
    </row>
    <row r="134">
      <c r="B134" s="108" t="s">
        <v>2</v>
      </c>
      <c r="C134" s="109" t="s">
        <v>3</v>
      </c>
      <c r="D134" s="109" t="s">
        <v>4</v>
      </c>
      <c r="E134" s="109" t="s">
        <v>5</v>
      </c>
    </row>
    <row r="135">
      <c r="B135" s="110" t="s">
        <v>2825</v>
      </c>
      <c r="C135" s="111" t="s">
        <v>325</v>
      </c>
      <c r="D135" s="112" t="s">
        <v>3014</v>
      </c>
      <c r="E135" s="33" t="s">
        <v>29</v>
      </c>
    </row>
    <row r="136">
      <c r="B136" s="110" t="s">
        <v>2352</v>
      </c>
      <c r="C136" s="111" t="s">
        <v>250</v>
      </c>
      <c r="D136" s="112" t="s">
        <v>2694</v>
      </c>
      <c r="E136" s="33" t="s">
        <v>33</v>
      </c>
    </row>
    <row r="137">
      <c r="B137" s="110" t="s">
        <v>3015</v>
      </c>
      <c r="C137" s="111" t="s">
        <v>463</v>
      </c>
      <c r="D137" s="112" t="s">
        <v>2825</v>
      </c>
      <c r="E137" s="33" t="s">
        <v>29</v>
      </c>
    </row>
    <row r="138">
      <c r="B138" s="110" t="s">
        <v>2352</v>
      </c>
      <c r="C138" s="111" t="s">
        <v>573</v>
      </c>
      <c r="D138" s="112" t="s">
        <v>3014</v>
      </c>
      <c r="E138" s="33" t="s">
        <v>33</v>
      </c>
    </row>
    <row r="139">
      <c r="B139" s="110" t="s">
        <v>3015</v>
      </c>
      <c r="C139" s="111" t="s">
        <v>18</v>
      </c>
      <c r="D139" s="112" t="s">
        <v>2694</v>
      </c>
      <c r="E139" s="33" t="s">
        <v>29</v>
      </c>
    </row>
    <row r="140">
      <c r="B140" s="110" t="s">
        <v>2352</v>
      </c>
      <c r="C140" s="111" t="s">
        <v>245</v>
      </c>
      <c r="D140" s="112" t="s">
        <v>2825</v>
      </c>
      <c r="E140" s="33" t="s">
        <v>33</v>
      </c>
    </row>
    <row r="141">
      <c r="B141" s="110" t="s">
        <v>3015</v>
      </c>
      <c r="C141" s="111" t="s">
        <v>195</v>
      </c>
      <c r="D141" s="112" t="s">
        <v>3014</v>
      </c>
      <c r="E141" s="33" t="s">
        <v>29</v>
      </c>
    </row>
    <row r="142">
      <c r="B142" s="110" t="s">
        <v>2694</v>
      </c>
      <c r="C142" s="111" t="s">
        <v>7</v>
      </c>
      <c r="D142" s="112" t="s">
        <v>2825</v>
      </c>
      <c r="E142" s="33" t="s">
        <v>33</v>
      </c>
    </row>
    <row r="143">
      <c r="B143" s="110" t="s">
        <v>3015</v>
      </c>
      <c r="C143" s="111" t="s">
        <v>198</v>
      </c>
      <c r="D143" s="112" t="s">
        <v>2352</v>
      </c>
      <c r="E143" s="33" t="s">
        <v>29</v>
      </c>
    </row>
    <row r="144">
      <c r="B144" s="110" t="s">
        <v>2694</v>
      </c>
      <c r="C144" s="111" t="s">
        <v>208</v>
      </c>
      <c r="D144" s="112" t="s">
        <v>3014</v>
      </c>
      <c r="E144" s="33" t="s">
        <v>33</v>
      </c>
    </row>
    <row r="145">
      <c r="B145" s="110" t="s">
        <v>3014</v>
      </c>
      <c r="C145" s="111" t="s">
        <v>14</v>
      </c>
      <c r="D145" s="112" t="s">
        <v>2825</v>
      </c>
      <c r="E145" s="33" t="s">
        <v>29</v>
      </c>
    </row>
    <row r="146">
      <c r="B146" s="110" t="s">
        <v>2694</v>
      </c>
      <c r="C146" s="111" t="s">
        <v>290</v>
      </c>
      <c r="D146" s="112" t="s">
        <v>2352</v>
      </c>
      <c r="E146" s="33" t="s">
        <v>33</v>
      </c>
    </row>
    <row r="147">
      <c r="B147" s="110" t="s">
        <v>2825</v>
      </c>
      <c r="C147" s="111" t="s">
        <v>173</v>
      </c>
      <c r="D147" s="110" t="s">
        <v>3015</v>
      </c>
      <c r="E147" s="33" t="s">
        <v>29</v>
      </c>
    </row>
    <row r="148">
      <c r="B148" s="110" t="s">
        <v>3014</v>
      </c>
      <c r="C148" s="111" t="s">
        <v>162</v>
      </c>
      <c r="D148" s="112" t="s">
        <v>2352</v>
      </c>
      <c r="E148" s="33" t="s">
        <v>33</v>
      </c>
    </row>
    <row r="149">
      <c r="B149" s="110" t="s">
        <v>2694</v>
      </c>
      <c r="C149" s="111" t="s">
        <v>24</v>
      </c>
      <c r="D149" s="110" t="s">
        <v>3015</v>
      </c>
      <c r="E149" s="33" t="s">
        <v>29</v>
      </c>
    </row>
    <row r="150">
      <c r="B150" s="110" t="s">
        <v>2825</v>
      </c>
      <c r="C150" s="111" t="s">
        <v>239</v>
      </c>
      <c r="D150" s="112" t="s">
        <v>2352</v>
      </c>
      <c r="E150" s="33" t="s">
        <v>33</v>
      </c>
    </row>
    <row r="151">
      <c r="B151" s="110" t="s">
        <v>3014</v>
      </c>
      <c r="C151" s="111" t="s">
        <v>181</v>
      </c>
      <c r="D151" s="110" t="s">
        <v>3015</v>
      </c>
      <c r="E151" s="33" t="s">
        <v>29</v>
      </c>
    </row>
    <row r="152">
      <c r="B152" s="110" t="s">
        <v>2825</v>
      </c>
      <c r="C152" s="111" t="s">
        <v>41</v>
      </c>
      <c r="D152" s="112" t="s">
        <v>2694</v>
      </c>
      <c r="E152" s="33" t="s">
        <v>33</v>
      </c>
    </row>
    <row r="153">
      <c r="B153" s="110" t="s">
        <v>2352</v>
      </c>
      <c r="C153" s="111" t="s">
        <v>16</v>
      </c>
      <c r="D153" s="110" t="s">
        <v>3015</v>
      </c>
      <c r="E153" s="33" t="s">
        <v>29</v>
      </c>
    </row>
    <row r="154">
      <c r="B154" s="110" t="s">
        <v>3014</v>
      </c>
      <c r="C154" s="111" t="s">
        <v>220</v>
      </c>
      <c r="D154" s="112" t="s">
        <v>2694</v>
      </c>
      <c r="E154" s="33" t="s">
        <v>33</v>
      </c>
    </row>
    <row r="155">
      <c r="B155" s="96" t="s">
        <v>3016</v>
      </c>
      <c r="C155" s="2"/>
      <c r="D155" s="3"/>
      <c r="E155" s="107"/>
    </row>
    <row r="156">
      <c r="B156" s="108" t="s">
        <v>2</v>
      </c>
      <c r="C156" s="109" t="s">
        <v>3</v>
      </c>
      <c r="D156" s="109" t="s">
        <v>4</v>
      </c>
      <c r="E156" s="109" t="s">
        <v>5</v>
      </c>
    </row>
    <row r="157">
      <c r="B157" s="110" t="s">
        <v>3017</v>
      </c>
      <c r="C157" s="111" t="s">
        <v>232</v>
      </c>
      <c r="D157" s="112" t="s">
        <v>3018</v>
      </c>
      <c r="E157" s="33" t="s">
        <v>29</v>
      </c>
    </row>
    <row r="158">
      <c r="B158" s="110" t="s">
        <v>3019</v>
      </c>
      <c r="C158" s="111" t="s">
        <v>278</v>
      </c>
      <c r="D158" s="112" t="s">
        <v>3020</v>
      </c>
      <c r="E158" s="33" t="s">
        <v>33</v>
      </c>
    </row>
    <row r="159">
      <c r="B159" s="110" t="s">
        <v>3021</v>
      </c>
      <c r="C159" s="111" t="s">
        <v>14</v>
      </c>
      <c r="D159" s="112" t="s">
        <v>3017</v>
      </c>
      <c r="E159" s="33" t="s">
        <v>29</v>
      </c>
      <c r="I159" s="113" t="s">
        <v>33</v>
      </c>
    </row>
    <row r="160">
      <c r="B160" s="110" t="s">
        <v>3019</v>
      </c>
      <c r="C160" s="111" t="s">
        <v>301</v>
      </c>
      <c r="D160" s="112" t="s">
        <v>3018</v>
      </c>
      <c r="E160" s="33" t="s">
        <v>33</v>
      </c>
    </row>
    <row r="161">
      <c r="B161" s="110" t="s">
        <v>3021</v>
      </c>
      <c r="C161" s="111" t="s">
        <v>610</v>
      </c>
      <c r="D161" s="112" t="s">
        <v>3020</v>
      </c>
      <c r="E161" s="33" t="s">
        <v>29</v>
      </c>
    </row>
    <row r="162">
      <c r="B162" s="110" t="s">
        <v>3019</v>
      </c>
      <c r="C162" s="111" t="s">
        <v>425</v>
      </c>
      <c r="D162" s="112" t="s">
        <v>3017</v>
      </c>
      <c r="E162" s="33" t="s">
        <v>33</v>
      </c>
    </row>
    <row r="163">
      <c r="B163" s="110" t="s">
        <v>3021</v>
      </c>
      <c r="C163" s="111" t="s">
        <v>185</v>
      </c>
      <c r="D163" s="112" t="s">
        <v>3018</v>
      </c>
      <c r="E163" s="33" t="s">
        <v>29</v>
      </c>
    </row>
    <row r="164">
      <c r="B164" s="110" t="s">
        <v>3020</v>
      </c>
      <c r="C164" s="111" t="s">
        <v>940</v>
      </c>
      <c r="D164" s="112" t="s">
        <v>3017</v>
      </c>
      <c r="E164" s="33" t="s">
        <v>33</v>
      </c>
    </row>
    <row r="165">
      <c r="B165" s="110" t="s">
        <v>3021</v>
      </c>
      <c r="C165" s="111" t="s">
        <v>354</v>
      </c>
      <c r="D165" s="112" t="s">
        <v>3019</v>
      </c>
      <c r="E165" s="33" t="s">
        <v>29</v>
      </c>
    </row>
    <row r="166">
      <c r="B166" s="110" t="s">
        <v>3020</v>
      </c>
      <c r="C166" s="111" t="s">
        <v>257</v>
      </c>
      <c r="D166" s="112" t="s">
        <v>3018</v>
      </c>
      <c r="E166" s="33" t="s">
        <v>33</v>
      </c>
    </row>
    <row r="167">
      <c r="B167" s="110" t="s">
        <v>3018</v>
      </c>
      <c r="C167" s="111" t="s">
        <v>220</v>
      </c>
      <c r="D167" s="112" t="s">
        <v>3017</v>
      </c>
      <c r="E167" s="33" t="s">
        <v>29</v>
      </c>
    </row>
    <row r="168">
      <c r="B168" s="110" t="s">
        <v>3020</v>
      </c>
      <c r="C168" s="111" t="s">
        <v>452</v>
      </c>
      <c r="D168" s="112" t="s">
        <v>3019</v>
      </c>
      <c r="E168" s="33" t="s">
        <v>33</v>
      </c>
    </row>
    <row r="169">
      <c r="B169" s="110" t="s">
        <v>3017</v>
      </c>
      <c r="C169" s="111" t="s">
        <v>440</v>
      </c>
      <c r="D169" s="110" t="s">
        <v>3021</v>
      </c>
      <c r="E169" s="33" t="s">
        <v>29</v>
      </c>
    </row>
    <row r="170">
      <c r="B170" s="110" t="s">
        <v>3018</v>
      </c>
      <c r="C170" s="111" t="s">
        <v>289</v>
      </c>
      <c r="D170" s="112" t="s">
        <v>3019</v>
      </c>
      <c r="E170" s="33" t="s">
        <v>33</v>
      </c>
    </row>
    <row r="171">
      <c r="B171" s="110" t="s">
        <v>3020</v>
      </c>
      <c r="C171" s="111" t="s">
        <v>314</v>
      </c>
      <c r="D171" s="110" t="s">
        <v>3021</v>
      </c>
      <c r="E171" s="33" t="s">
        <v>29</v>
      </c>
    </row>
    <row r="172">
      <c r="B172" s="110" t="s">
        <v>3017</v>
      </c>
      <c r="C172" s="111" t="s">
        <v>155</v>
      </c>
      <c r="D172" s="112" t="s">
        <v>3019</v>
      </c>
      <c r="E172" s="33" t="s">
        <v>33</v>
      </c>
    </row>
    <row r="173">
      <c r="B173" s="110" t="s">
        <v>3018</v>
      </c>
      <c r="C173" s="111" t="s">
        <v>16</v>
      </c>
      <c r="D173" s="110" t="s">
        <v>3021</v>
      </c>
      <c r="E173" s="33" t="s">
        <v>29</v>
      </c>
    </row>
    <row r="174">
      <c r="B174" s="110" t="s">
        <v>3017</v>
      </c>
      <c r="C174" s="111" t="s">
        <v>237</v>
      </c>
      <c r="D174" s="112" t="s">
        <v>3020</v>
      </c>
      <c r="E174" s="33" t="s">
        <v>33</v>
      </c>
    </row>
    <row r="175">
      <c r="B175" s="110" t="s">
        <v>3019</v>
      </c>
      <c r="C175" s="111" t="s">
        <v>271</v>
      </c>
      <c r="D175" s="110" t="s">
        <v>3021</v>
      </c>
      <c r="E175" s="33" t="s">
        <v>29</v>
      </c>
    </row>
    <row r="176">
      <c r="B176" s="110" t="s">
        <v>3018</v>
      </c>
      <c r="C176" s="111" t="s">
        <v>34</v>
      </c>
      <c r="D176" s="112" t="s">
        <v>3020</v>
      </c>
      <c r="E176" s="33" t="s">
        <v>33</v>
      </c>
    </row>
    <row r="177">
      <c r="B177" s="96" t="s">
        <v>2674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3022</v>
      </c>
      <c r="C179" s="45" t="s">
        <v>279</v>
      </c>
      <c r="D179" s="62" t="s">
        <v>3023</v>
      </c>
      <c r="E179" s="11" t="s">
        <v>9</v>
      </c>
    </row>
    <row r="180">
      <c r="B180" s="62" t="s">
        <v>2726</v>
      </c>
      <c r="C180" s="45" t="s">
        <v>36</v>
      </c>
      <c r="D180" s="61" t="s">
        <v>3024</v>
      </c>
      <c r="E180" s="11" t="s">
        <v>13</v>
      </c>
    </row>
    <row r="181">
      <c r="B181" s="62" t="s">
        <v>3025</v>
      </c>
      <c r="C181" s="45" t="s">
        <v>195</v>
      </c>
      <c r="D181" s="62" t="s">
        <v>3022</v>
      </c>
      <c r="E181" s="11" t="s">
        <v>9</v>
      </c>
    </row>
    <row r="182">
      <c r="B182" s="62" t="s">
        <v>2726</v>
      </c>
      <c r="C182" s="45" t="s">
        <v>19</v>
      </c>
      <c r="D182" s="62" t="s">
        <v>3023</v>
      </c>
      <c r="E182" s="11" t="s">
        <v>13</v>
      </c>
    </row>
    <row r="183">
      <c r="B183" s="62" t="s">
        <v>3025</v>
      </c>
      <c r="C183" s="45" t="s">
        <v>314</v>
      </c>
      <c r="D183" s="61" t="s">
        <v>3024</v>
      </c>
      <c r="E183" s="11" t="s">
        <v>9</v>
      </c>
    </row>
    <row r="184">
      <c r="B184" s="62" t="s">
        <v>2726</v>
      </c>
      <c r="C184" s="45" t="s">
        <v>41</v>
      </c>
      <c r="D184" s="62" t="s">
        <v>3022</v>
      </c>
      <c r="E184" s="11" t="s">
        <v>13</v>
      </c>
    </row>
    <row r="185">
      <c r="B185" s="62" t="s">
        <v>3025</v>
      </c>
      <c r="C185" s="45" t="s">
        <v>23</v>
      </c>
      <c r="D185" s="62" t="s">
        <v>3023</v>
      </c>
      <c r="E185" s="11" t="s">
        <v>9</v>
      </c>
    </row>
    <row r="186">
      <c r="B186" s="61" t="s">
        <v>3024</v>
      </c>
      <c r="C186" s="45" t="s">
        <v>256</v>
      </c>
      <c r="D186" s="62" t="s">
        <v>3022</v>
      </c>
      <c r="E186" s="11" t="s">
        <v>13</v>
      </c>
    </row>
    <row r="187">
      <c r="B187" s="62" t="s">
        <v>3025</v>
      </c>
      <c r="C187" s="45" t="s">
        <v>173</v>
      </c>
      <c r="D187" s="62" t="s">
        <v>2726</v>
      </c>
      <c r="E187" s="11" t="s">
        <v>9</v>
      </c>
    </row>
    <row r="188">
      <c r="B188" s="61" t="s">
        <v>3024</v>
      </c>
      <c r="C188" s="45" t="s">
        <v>258</v>
      </c>
      <c r="D188" s="62" t="s">
        <v>3023</v>
      </c>
      <c r="E188" s="11" t="s">
        <v>13</v>
      </c>
    </row>
    <row r="189">
      <c r="B189" s="62" t="s">
        <v>3023</v>
      </c>
      <c r="C189" s="45" t="s">
        <v>302</v>
      </c>
      <c r="D189" s="62" t="s">
        <v>3022</v>
      </c>
      <c r="E189" s="11" t="s">
        <v>9</v>
      </c>
    </row>
    <row r="190">
      <c r="B190" s="61" t="s">
        <v>3024</v>
      </c>
      <c r="C190" s="45" t="s">
        <v>225</v>
      </c>
      <c r="D190" s="62" t="s">
        <v>2726</v>
      </c>
      <c r="E190" s="11" t="s">
        <v>13</v>
      </c>
    </row>
    <row r="191">
      <c r="B191" s="62" t="s">
        <v>3022</v>
      </c>
      <c r="C191" s="45" t="s">
        <v>19</v>
      </c>
      <c r="D191" s="62" t="s">
        <v>3025</v>
      </c>
      <c r="E191" s="11" t="s">
        <v>9</v>
      </c>
    </row>
    <row r="192">
      <c r="B192" s="62" t="s">
        <v>3023</v>
      </c>
      <c r="C192" s="45" t="s">
        <v>42</v>
      </c>
      <c r="D192" s="62" t="s">
        <v>2726</v>
      </c>
      <c r="E192" s="11" t="s">
        <v>13</v>
      </c>
    </row>
    <row r="193">
      <c r="B193" s="61" t="s">
        <v>3024</v>
      </c>
      <c r="C193" s="45" t="s">
        <v>366</v>
      </c>
      <c r="D193" s="62" t="s">
        <v>3025</v>
      </c>
      <c r="E193" s="11" t="s">
        <v>9</v>
      </c>
    </row>
    <row r="194">
      <c r="B194" s="62" t="s">
        <v>3022</v>
      </c>
      <c r="C194" s="45" t="s">
        <v>181</v>
      </c>
      <c r="D194" s="62" t="s">
        <v>2726</v>
      </c>
      <c r="E194" s="11" t="s">
        <v>13</v>
      </c>
    </row>
    <row r="195">
      <c r="B195" s="62" t="s">
        <v>3023</v>
      </c>
      <c r="C195" s="45" t="s">
        <v>354</v>
      </c>
      <c r="D195" s="62" t="s">
        <v>3025</v>
      </c>
      <c r="E195" s="11" t="s">
        <v>9</v>
      </c>
    </row>
    <row r="196">
      <c r="B196" s="62" t="s">
        <v>3022</v>
      </c>
      <c r="C196" s="45" t="s">
        <v>357</v>
      </c>
      <c r="D196" s="61" t="s">
        <v>3024</v>
      </c>
      <c r="E196" s="11" t="s">
        <v>13</v>
      </c>
    </row>
    <row r="197">
      <c r="B197" s="62" t="s">
        <v>2726</v>
      </c>
      <c r="C197" s="45" t="s">
        <v>298</v>
      </c>
      <c r="D197" s="62" t="s">
        <v>3025</v>
      </c>
      <c r="E197" s="11" t="s">
        <v>9</v>
      </c>
    </row>
    <row r="198">
      <c r="B198" s="62" t="s">
        <v>3023</v>
      </c>
      <c r="C198" s="45" t="s">
        <v>279</v>
      </c>
      <c r="D198" s="61" t="s">
        <v>3024</v>
      </c>
      <c r="E198" s="11" t="s">
        <v>13</v>
      </c>
    </row>
    <row r="199">
      <c r="B199" s="96" t="s">
        <v>3026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2933</v>
      </c>
      <c r="C201" s="45" t="s">
        <v>7</v>
      </c>
      <c r="D201" s="62" t="s">
        <v>1428</v>
      </c>
      <c r="E201" s="11" t="s">
        <v>9</v>
      </c>
    </row>
    <row r="202">
      <c r="B202" s="62" t="s">
        <v>2635</v>
      </c>
      <c r="C202" s="45" t="s">
        <v>1226</v>
      </c>
      <c r="D202" s="61" t="s">
        <v>3027</v>
      </c>
      <c r="E202" s="11" t="s">
        <v>13</v>
      </c>
    </row>
    <row r="203">
      <c r="B203" s="62" t="s">
        <v>3028</v>
      </c>
      <c r="C203" s="45" t="s">
        <v>196</v>
      </c>
      <c r="D203" s="62" t="s">
        <v>2933</v>
      </c>
      <c r="E203" s="11" t="s">
        <v>9</v>
      </c>
    </row>
    <row r="204">
      <c r="B204" s="62" t="s">
        <v>2635</v>
      </c>
      <c r="C204" s="45" t="s">
        <v>209</v>
      </c>
      <c r="D204" s="62" t="s">
        <v>1428</v>
      </c>
      <c r="E204" s="11" t="s">
        <v>13</v>
      </c>
    </row>
    <row r="205">
      <c r="B205" s="62" t="s">
        <v>3028</v>
      </c>
      <c r="C205" s="45" t="s">
        <v>189</v>
      </c>
      <c r="D205" s="61" t="s">
        <v>3027</v>
      </c>
      <c r="E205" s="11" t="s">
        <v>9</v>
      </c>
    </row>
    <row r="206">
      <c r="B206" s="62" t="s">
        <v>2635</v>
      </c>
      <c r="C206" s="45" t="s">
        <v>39</v>
      </c>
      <c r="D206" s="62" t="s">
        <v>2933</v>
      </c>
      <c r="E206" s="11" t="s">
        <v>13</v>
      </c>
    </row>
    <row r="207">
      <c r="B207" s="62" t="s">
        <v>3028</v>
      </c>
      <c r="C207" s="45" t="s">
        <v>408</v>
      </c>
      <c r="D207" s="62" t="s">
        <v>1428</v>
      </c>
      <c r="E207" s="11" t="s">
        <v>9</v>
      </c>
    </row>
    <row r="208">
      <c r="B208" s="61" t="s">
        <v>3027</v>
      </c>
      <c r="C208" s="45" t="s">
        <v>426</v>
      </c>
      <c r="D208" s="62" t="s">
        <v>2933</v>
      </c>
      <c r="E208" s="11" t="s">
        <v>13</v>
      </c>
    </row>
    <row r="209">
      <c r="B209" s="62" t="s">
        <v>3028</v>
      </c>
      <c r="C209" s="45" t="s">
        <v>216</v>
      </c>
      <c r="D209" s="62" t="s">
        <v>2635</v>
      </c>
      <c r="E209" s="11" t="s">
        <v>9</v>
      </c>
    </row>
    <row r="210">
      <c r="B210" s="61" t="s">
        <v>3027</v>
      </c>
      <c r="C210" s="45" t="s">
        <v>175</v>
      </c>
      <c r="D210" s="62" t="s">
        <v>1428</v>
      </c>
      <c r="E210" s="11" t="s">
        <v>13</v>
      </c>
    </row>
    <row r="211">
      <c r="B211" s="62" t="s">
        <v>1428</v>
      </c>
      <c r="C211" s="45" t="s">
        <v>278</v>
      </c>
      <c r="D211" s="62" t="s">
        <v>2933</v>
      </c>
      <c r="E211" s="11" t="s">
        <v>9</v>
      </c>
    </row>
    <row r="212">
      <c r="B212" s="61" t="s">
        <v>3027</v>
      </c>
      <c r="C212" s="45" t="s">
        <v>316</v>
      </c>
      <c r="D212" s="62" t="s">
        <v>2635</v>
      </c>
      <c r="E212" s="11" t="s">
        <v>13</v>
      </c>
    </row>
    <row r="213">
      <c r="B213" s="62" t="s">
        <v>2933</v>
      </c>
      <c r="C213" s="45" t="s">
        <v>158</v>
      </c>
      <c r="D213" s="62" t="s">
        <v>3028</v>
      </c>
      <c r="E213" s="11" t="s">
        <v>9</v>
      </c>
    </row>
    <row r="214">
      <c r="B214" s="62" t="s">
        <v>1428</v>
      </c>
      <c r="C214" s="45" t="s">
        <v>336</v>
      </c>
      <c r="D214" s="62" t="s">
        <v>2635</v>
      </c>
      <c r="E214" s="11" t="s">
        <v>13</v>
      </c>
    </row>
    <row r="215">
      <c r="B215" s="61" t="s">
        <v>3027</v>
      </c>
      <c r="C215" s="45" t="s">
        <v>3029</v>
      </c>
      <c r="D215" s="62" t="s">
        <v>3028</v>
      </c>
      <c r="E215" s="11" t="s">
        <v>9</v>
      </c>
    </row>
    <row r="216">
      <c r="B216" s="62" t="s">
        <v>2933</v>
      </c>
      <c r="C216" s="45" t="s">
        <v>3030</v>
      </c>
      <c r="D216" s="62" t="s">
        <v>2635</v>
      </c>
      <c r="E216" s="11" t="s">
        <v>13</v>
      </c>
    </row>
    <row r="217">
      <c r="B217" s="62" t="s">
        <v>1428</v>
      </c>
      <c r="C217" s="45" t="s">
        <v>163</v>
      </c>
      <c r="D217" s="62" t="s">
        <v>3028</v>
      </c>
      <c r="E217" s="11" t="s">
        <v>9</v>
      </c>
    </row>
    <row r="218">
      <c r="B218" s="62" t="s">
        <v>2933</v>
      </c>
      <c r="C218" s="45" t="s">
        <v>165</v>
      </c>
      <c r="D218" s="61" t="s">
        <v>3027</v>
      </c>
      <c r="E218" s="11" t="s">
        <v>13</v>
      </c>
    </row>
    <row r="219">
      <c r="B219" s="62" t="s">
        <v>2635</v>
      </c>
      <c r="C219" s="45" t="s">
        <v>442</v>
      </c>
      <c r="D219" s="62" t="s">
        <v>3028</v>
      </c>
      <c r="E219" s="11" t="s">
        <v>9</v>
      </c>
    </row>
    <row r="220">
      <c r="B220" s="62" t="s">
        <v>1428</v>
      </c>
      <c r="C220" s="45" t="s">
        <v>638</v>
      </c>
      <c r="D220" s="61" t="s">
        <v>3027</v>
      </c>
      <c r="E220" s="11" t="s">
        <v>13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3031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3032</v>
      </c>
      <c r="C3" s="45" t="s">
        <v>23</v>
      </c>
      <c r="D3" s="62" t="s">
        <v>2328</v>
      </c>
      <c r="E3" s="33" t="s">
        <v>9</v>
      </c>
    </row>
    <row r="4">
      <c r="A4" s="90"/>
      <c r="B4" s="62" t="s">
        <v>3033</v>
      </c>
      <c r="C4" s="45" t="s">
        <v>163</v>
      </c>
      <c r="D4" s="61" t="s">
        <v>3034</v>
      </c>
      <c r="E4" s="33" t="s">
        <v>13</v>
      </c>
    </row>
    <row r="5">
      <c r="A5" s="90"/>
      <c r="B5" s="62" t="s">
        <v>2675</v>
      </c>
      <c r="C5" s="45" t="s">
        <v>293</v>
      </c>
      <c r="D5" s="62" t="s">
        <v>3032</v>
      </c>
      <c r="E5" s="33" t="s">
        <v>9</v>
      </c>
    </row>
    <row r="6">
      <c r="A6" s="90"/>
      <c r="B6" s="62" t="s">
        <v>3033</v>
      </c>
      <c r="C6" s="45" t="s">
        <v>155</v>
      </c>
      <c r="D6" s="62" t="s">
        <v>2328</v>
      </c>
      <c r="E6" s="33" t="s">
        <v>13</v>
      </c>
    </row>
    <row r="7">
      <c r="A7" s="90"/>
      <c r="B7" s="62" t="s">
        <v>2675</v>
      </c>
      <c r="C7" s="45" t="s">
        <v>162</v>
      </c>
      <c r="D7" s="61" t="s">
        <v>3034</v>
      </c>
      <c r="E7" s="33" t="s">
        <v>9</v>
      </c>
    </row>
    <row r="8">
      <c r="A8" s="90"/>
      <c r="B8" s="62" t="s">
        <v>3033</v>
      </c>
      <c r="C8" s="45" t="s">
        <v>248</v>
      </c>
      <c r="D8" s="62" t="s">
        <v>3032</v>
      </c>
      <c r="E8" s="33" t="s">
        <v>13</v>
      </c>
    </row>
    <row r="9">
      <c r="A9" s="90"/>
      <c r="B9" s="62" t="s">
        <v>2675</v>
      </c>
      <c r="C9" s="45" t="s">
        <v>155</v>
      </c>
      <c r="D9" s="62" t="s">
        <v>2328</v>
      </c>
      <c r="E9" s="33" t="s">
        <v>9</v>
      </c>
    </row>
    <row r="10">
      <c r="A10" s="90"/>
      <c r="B10" s="61" t="s">
        <v>3034</v>
      </c>
      <c r="C10" s="45" t="s">
        <v>177</v>
      </c>
      <c r="D10" s="62" t="s">
        <v>3032</v>
      </c>
      <c r="E10" s="33" t="s">
        <v>13</v>
      </c>
    </row>
    <row r="11">
      <c r="A11" s="90"/>
      <c r="B11" s="62" t="s">
        <v>2675</v>
      </c>
      <c r="C11" s="45" t="s">
        <v>856</v>
      </c>
      <c r="D11" s="62" t="s">
        <v>3033</v>
      </c>
      <c r="E11" s="33" t="s">
        <v>9</v>
      </c>
    </row>
    <row r="12">
      <c r="A12" s="90"/>
      <c r="B12" s="61" t="s">
        <v>3034</v>
      </c>
      <c r="C12" s="45" t="s">
        <v>1188</v>
      </c>
      <c r="D12" s="62" t="s">
        <v>2328</v>
      </c>
      <c r="E12" s="33" t="s">
        <v>13</v>
      </c>
    </row>
    <row r="13">
      <c r="A13" s="90"/>
      <c r="B13" s="62" t="s">
        <v>2328</v>
      </c>
      <c r="C13" s="45" t="s">
        <v>181</v>
      </c>
      <c r="D13" s="62" t="s">
        <v>3032</v>
      </c>
      <c r="E13" s="33" t="s">
        <v>9</v>
      </c>
    </row>
    <row r="14">
      <c r="A14" s="90"/>
      <c r="B14" s="61" t="s">
        <v>3034</v>
      </c>
      <c r="C14" s="45" t="s">
        <v>14</v>
      </c>
      <c r="D14" s="62" t="s">
        <v>3033</v>
      </c>
      <c r="E14" s="33" t="s">
        <v>13</v>
      </c>
    </row>
    <row r="15">
      <c r="A15" s="90"/>
      <c r="B15" s="62" t="s">
        <v>3032</v>
      </c>
      <c r="C15" s="45" t="s">
        <v>338</v>
      </c>
      <c r="D15" s="62" t="s">
        <v>2675</v>
      </c>
      <c r="E15" s="33" t="s">
        <v>9</v>
      </c>
    </row>
    <row r="16">
      <c r="A16" s="90"/>
      <c r="B16" s="62" t="s">
        <v>2328</v>
      </c>
      <c r="C16" s="45" t="s">
        <v>37</v>
      </c>
      <c r="D16" s="62" t="s">
        <v>3033</v>
      </c>
      <c r="E16" s="33" t="s">
        <v>13</v>
      </c>
    </row>
    <row r="17">
      <c r="A17" s="90"/>
      <c r="B17" s="61" t="s">
        <v>3034</v>
      </c>
      <c r="C17" s="45" t="s">
        <v>196</v>
      </c>
      <c r="D17" s="62" t="s">
        <v>2675</v>
      </c>
      <c r="E17" s="33" t="s">
        <v>9</v>
      </c>
    </row>
    <row r="18">
      <c r="A18" s="90"/>
      <c r="B18" s="62" t="s">
        <v>3032</v>
      </c>
      <c r="C18" s="45" t="s">
        <v>18</v>
      </c>
      <c r="D18" s="62" t="s">
        <v>3033</v>
      </c>
      <c r="E18" s="33" t="s">
        <v>13</v>
      </c>
    </row>
    <row r="19">
      <c r="A19" s="90"/>
      <c r="B19" s="62" t="s">
        <v>2328</v>
      </c>
      <c r="C19" s="45" t="s">
        <v>220</v>
      </c>
      <c r="D19" s="62" t="s">
        <v>2675</v>
      </c>
      <c r="E19" s="33" t="s">
        <v>9</v>
      </c>
    </row>
    <row r="20">
      <c r="A20" s="90"/>
      <c r="B20" s="62" t="s">
        <v>3032</v>
      </c>
      <c r="C20" s="45" t="s">
        <v>16</v>
      </c>
      <c r="D20" s="61" t="s">
        <v>3034</v>
      </c>
      <c r="E20" s="33" t="s">
        <v>13</v>
      </c>
    </row>
    <row r="21">
      <c r="A21" s="90"/>
      <c r="B21" s="62" t="s">
        <v>3033</v>
      </c>
      <c r="C21" s="45" t="s">
        <v>271</v>
      </c>
      <c r="D21" s="62" t="s">
        <v>2675</v>
      </c>
      <c r="E21" s="33" t="s">
        <v>9</v>
      </c>
    </row>
    <row r="22">
      <c r="A22" s="90"/>
      <c r="B22" s="62" t="s">
        <v>2328</v>
      </c>
      <c r="C22" s="45" t="s">
        <v>166</v>
      </c>
      <c r="D22" s="61" t="s">
        <v>3034</v>
      </c>
      <c r="E22" s="33" t="s">
        <v>13</v>
      </c>
    </row>
    <row r="23">
      <c r="A23" s="90"/>
      <c r="B23" s="96" t="s">
        <v>1461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3035</v>
      </c>
      <c r="C25" s="45" t="s">
        <v>292</v>
      </c>
      <c r="D25" s="62" t="s">
        <v>3036</v>
      </c>
      <c r="E25" s="11" t="s">
        <v>9</v>
      </c>
    </row>
    <row r="26">
      <c r="A26" s="90"/>
      <c r="B26" s="62" t="s">
        <v>3037</v>
      </c>
      <c r="C26" s="45" t="s">
        <v>250</v>
      </c>
      <c r="D26" s="61" t="s">
        <v>3038</v>
      </c>
      <c r="E26" s="11" t="s">
        <v>13</v>
      </c>
    </row>
    <row r="27">
      <c r="A27" s="90"/>
      <c r="B27" s="62" t="s">
        <v>3039</v>
      </c>
      <c r="C27" s="45" t="s">
        <v>244</v>
      </c>
      <c r="D27" s="62" t="s">
        <v>3035</v>
      </c>
      <c r="E27" s="11" t="s">
        <v>9</v>
      </c>
    </row>
    <row r="28">
      <c r="A28" s="90"/>
      <c r="B28" s="62" t="s">
        <v>3037</v>
      </c>
      <c r="C28" s="45" t="s">
        <v>248</v>
      </c>
      <c r="D28" s="62" t="s">
        <v>3036</v>
      </c>
      <c r="E28" s="11" t="s">
        <v>13</v>
      </c>
    </row>
    <row r="29">
      <c r="A29" s="90"/>
      <c r="B29" s="62" t="s">
        <v>3039</v>
      </c>
      <c r="C29" s="45" t="s">
        <v>477</v>
      </c>
      <c r="D29" s="61" t="s">
        <v>3038</v>
      </c>
      <c r="E29" s="11" t="s">
        <v>9</v>
      </c>
    </row>
    <row r="30">
      <c r="A30" s="90"/>
      <c r="B30" s="62" t="s">
        <v>3037</v>
      </c>
      <c r="C30" s="45" t="s">
        <v>16</v>
      </c>
      <c r="D30" s="62" t="s">
        <v>3035</v>
      </c>
      <c r="E30" s="11" t="s">
        <v>13</v>
      </c>
    </row>
    <row r="31">
      <c r="A31" s="90"/>
      <c r="B31" s="62" t="s">
        <v>3039</v>
      </c>
      <c r="C31" s="45" t="s">
        <v>185</v>
      </c>
      <c r="D31" s="62" t="s">
        <v>3036</v>
      </c>
      <c r="E31" s="11" t="s">
        <v>9</v>
      </c>
    </row>
    <row r="32">
      <c r="A32" s="90"/>
      <c r="B32" s="61" t="s">
        <v>3038</v>
      </c>
      <c r="C32" s="45" t="s">
        <v>229</v>
      </c>
      <c r="D32" s="62" t="s">
        <v>3035</v>
      </c>
      <c r="E32" s="11" t="s">
        <v>13</v>
      </c>
    </row>
    <row r="33">
      <c r="A33" s="90"/>
      <c r="B33" s="62" t="s">
        <v>3039</v>
      </c>
      <c r="C33" s="45" t="s">
        <v>18</v>
      </c>
      <c r="D33" s="62" t="s">
        <v>3037</v>
      </c>
      <c r="E33" s="11" t="s">
        <v>9</v>
      </c>
    </row>
    <row r="34">
      <c r="A34" s="90"/>
      <c r="B34" s="61" t="s">
        <v>3038</v>
      </c>
      <c r="C34" s="45" t="s">
        <v>1739</v>
      </c>
      <c r="D34" s="62" t="s">
        <v>3036</v>
      </c>
      <c r="E34" s="11" t="s">
        <v>13</v>
      </c>
    </row>
    <row r="35">
      <c r="A35" s="90"/>
      <c r="B35" s="62" t="s">
        <v>3036</v>
      </c>
      <c r="C35" s="45" t="s">
        <v>184</v>
      </c>
      <c r="D35" s="62" t="s">
        <v>3035</v>
      </c>
      <c r="E35" s="11" t="s">
        <v>9</v>
      </c>
    </row>
    <row r="36">
      <c r="A36" s="90"/>
      <c r="B36" s="61" t="s">
        <v>3038</v>
      </c>
      <c r="C36" s="45" t="s">
        <v>23</v>
      </c>
      <c r="D36" s="62" t="s">
        <v>3037</v>
      </c>
      <c r="E36" s="11" t="s">
        <v>13</v>
      </c>
    </row>
    <row r="37">
      <c r="A37" s="90"/>
      <c r="B37" s="62" t="s">
        <v>3035</v>
      </c>
      <c r="C37" s="45" t="s">
        <v>1948</v>
      </c>
      <c r="D37" s="62" t="s">
        <v>3039</v>
      </c>
      <c r="E37" s="11" t="s">
        <v>9</v>
      </c>
    </row>
    <row r="38">
      <c r="A38" s="90"/>
      <c r="B38" s="62" t="s">
        <v>3036</v>
      </c>
      <c r="C38" s="45" t="s">
        <v>18</v>
      </c>
      <c r="D38" s="62" t="s">
        <v>3037</v>
      </c>
      <c r="E38" s="11" t="s">
        <v>13</v>
      </c>
    </row>
    <row r="39">
      <c r="A39" s="90"/>
      <c r="B39" s="61" t="s">
        <v>3038</v>
      </c>
      <c r="C39" s="45" t="s">
        <v>449</v>
      </c>
      <c r="D39" s="62" t="s">
        <v>3039</v>
      </c>
      <c r="E39" s="11" t="s">
        <v>9</v>
      </c>
    </row>
    <row r="40">
      <c r="A40" s="90"/>
      <c r="B40" s="62" t="s">
        <v>3035</v>
      </c>
      <c r="C40" s="45" t="s">
        <v>256</v>
      </c>
      <c r="D40" s="62" t="s">
        <v>3037</v>
      </c>
      <c r="E40" s="11" t="s">
        <v>13</v>
      </c>
    </row>
    <row r="41">
      <c r="A41" s="90"/>
      <c r="B41" s="62" t="s">
        <v>3036</v>
      </c>
      <c r="C41" s="45" t="s">
        <v>162</v>
      </c>
      <c r="D41" s="62" t="s">
        <v>3039</v>
      </c>
      <c r="E41" s="11" t="s">
        <v>9</v>
      </c>
    </row>
    <row r="42">
      <c r="A42" s="90"/>
      <c r="B42" s="62" t="s">
        <v>3035</v>
      </c>
      <c r="C42" s="45" t="s">
        <v>210</v>
      </c>
      <c r="D42" s="61" t="s">
        <v>3038</v>
      </c>
      <c r="E42" s="11" t="s">
        <v>13</v>
      </c>
    </row>
    <row r="43">
      <c r="A43" s="90"/>
      <c r="B43" s="62" t="s">
        <v>3037</v>
      </c>
      <c r="C43" s="45" t="s">
        <v>250</v>
      </c>
      <c r="D43" s="62" t="s">
        <v>3039</v>
      </c>
      <c r="E43" s="11" t="s">
        <v>9</v>
      </c>
    </row>
    <row r="44">
      <c r="A44" s="91"/>
      <c r="B44" s="62" t="s">
        <v>3036</v>
      </c>
      <c r="C44" s="45" t="s">
        <v>38</v>
      </c>
      <c r="D44" s="61" t="s">
        <v>3038</v>
      </c>
      <c r="E44" s="11" t="s">
        <v>13</v>
      </c>
    </row>
    <row r="45">
      <c r="B45" s="96" t="s">
        <v>3040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1785</v>
      </c>
      <c r="C47" s="45" t="s">
        <v>302</v>
      </c>
      <c r="D47" s="62" t="s">
        <v>3041</v>
      </c>
      <c r="E47" s="11" t="s">
        <v>9</v>
      </c>
    </row>
    <row r="48">
      <c r="B48" s="62" t="s">
        <v>3042</v>
      </c>
      <c r="C48" s="45" t="s">
        <v>1964</v>
      </c>
      <c r="D48" s="61" t="s">
        <v>2067</v>
      </c>
      <c r="E48" s="11" t="s">
        <v>13</v>
      </c>
    </row>
    <row r="49">
      <c r="B49" s="62" t="s">
        <v>1787</v>
      </c>
      <c r="C49" s="45" t="s">
        <v>43</v>
      </c>
      <c r="D49" s="62" t="s">
        <v>1785</v>
      </c>
      <c r="E49" s="11" t="s">
        <v>9</v>
      </c>
    </row>
    <row r="50">
      <c r="B50" s="62" t="s">
        <v>3042</v>
      </c>
      <c r="C50" s="45" t="s">
        <v>18</v>
      </c>
      <c r="D50" s="62" t="s">
        <v>3041</v>
      </c>
      <c r="E50" s="11" t="s">
        <v>13</v>
      </c>
    </row>
    <row r="51">
      <c r="B51" s="62" t="s">
        <v>1787</v>
      </c>
      <c r="C51" s="45" t="s">
        <v>31</v>
      </c>
      <c r="D51" s="61" t="s">
        <v>2067</v>
      </c>
      <c r="E51" s="11" t="s">
        <v>9</v>
      </c>
    </row>
    <row r="52">
      <c r="B52" s="62" t="s">
        <v>3042</v>
      </c>
      <c r="C52" s="45" t="s">
        <v>41</v>
      </c>
      <c r="D52" s="62" t="s">
        <v>1785</v>
      </c>
      <c r="E52" s="11" t="s">
        <v>13</v>
      </c>
    </row>
    <row r="53">
      <c r="B53" s="62" t="s">
        <v>1787</v>
      </c>
      <c r="C53" s="45" t="s">
        <v>173</v>
      </c>
      <c r="D53" s="62" t="s">
        <v>3041</v>
      </c>
      <c r="E53" s="11" t="s">
        <v>9</v>
      </c>
    </row>
    <row r="54">
      <c r="B54" s="61" t="s">
        <v>2067</v>
      </c>
      <c r="C54" s="45" t="s">
        <v>177</v>
      </c>
      <c r="D54" s="62" t="s">
        <v>1785</v>
      </c>
      <c r="E54" s="11" t="s">
        <v>13</v>
      </c>
    </row>
    <row r="55">
      <c r="B55" s="62" t="s">
        <v>1787</v>
      </c>
      <c r="C55" s="45" t="s">
        <v>193</v>
      </c>
      <c r="D55" s="62" t="s">
        <v>3042</v>
      </c>
      <c r="E55" s="11" t="s">
        <v>9</v>
      </c>
    </row>
    <row r="56">
      <c r="B56" s="61" t="s">
        <v>2067</v>
      </c>
      <c r="C56" s="45" t="s">
        <v>279</v>
      </c>
      <c r="D56" s="62" t="s">
        <v>3041</v>
      </c>
      <c r="E56" s="11" t="s">
        <v>13</v>
      </c>
    </row>
    <row r="57">
      <c r="B57" s="62" t="s">
        <v>3041</v>
      </c>
      <c r="C57" s="45" t="s">
        <v>289</v>
      </c>
      <c r="D57" s="62" t="s">
        <v>1785</v>
      </c>
      <c r="E57" s="11" t="s">
        <v>9</v>
      </c>
    </row>
    <row r="58">
      <c r="B58" s="61" t="s">
        <v>2067</v>
      </c>
      <c r="C58" s="45" t="s">
        <v>23</v>
      </c>
      <c r="D58" s="62" t="s">
        <v>3042</v>
      </c>
      <c r="E58" s="11" t="s">
        <v>13</v>
      </c>
    </row>
    <row r="59">
      <c r="B59" s="62" t="s">
        <v>1785</v>
      </c>
      <c r="C59" s="45" t="s">
        <v>16</v>
      </c>
      <c r="D59" s="62" t="s">
        <v>1787</v>
      </c>
      <c r="E59" s="11" t="s">
        <v>9</v>
      </c>
    </row>
    <row r="60">
      <c r="B60" s="62" t="s">
        <v>3041</v>
      </c>
      <c r="C60" s="45" t="s">
        <v>16</v>
      </c>
      <c r="D60" s="62" t="s">
        <v>3042</v>
      </c>
      <c r="E60" s="11" t="s">
        <v>13</v>
      </c>
    </row>
    <row r="61">
      <c r="B61" s="61" t="s">
        <v>2067</v>
      </c>
      <c r="C61" s="45" t="s">
        <v>7</v>
      </c>
      <c r="D61" s="62" t="s">
        <v>1787</v>
      </c>
      <c r="E61" s="11" t="s">
        <v>9</v>
      </c>
    </row>
    <row r="62">
      <c r="B62" s="62" t="s">
        <v>1785</v>
      </c>
      <c r="C62" s="45" t="s">
        <v>16</v>
      </c>
      <c r="D62" s="62" t="s">
        <v>3042</v>
      </c>
      <c r="E62" s="11" t="s">
        <v>13</v>
      </c>
    </row>
    <row r="63">
      <c r="B63" s="62" t="s">
        <v>3041</v>
      </c>
      <c r="C63" s="45" t="s">
        <v>856</v>
      </c>
      <c r="D63" s="62" t="s">
        <v>1787</v>
      </c>
      <c r="E63" s="11" t="s">
        <v>9</v>
      </c>
    </row>
    <row r="64">
      <c r="B64" s="62" t="s">
        <v>1785</v>
      </c>
      <c r="C64" s="45" t="s">
        <v>17</v>
      </c>
      <c r="D64" s="61" t="s">
        <v>2067</v>
      </c>
      <c r="E64" s="11" t="s">
        <v>13</v>
      </c>
    </row>
    <row r="65">
      <c r="B65" s="62" t="s">
        <v>3042</v>
      </c>
      <c r="C65" s="45" t="s">
        <v>442</v>
      </c>
      <c r="D65" s="62" t="s">
        <v>1787</v>
      </c>
      <c r="E65" s="11" t="s">
        <v>9</v>
      </c>
    </row>
    <row r="66">
      <c r="B66" s="62" t="s">
        <v>3041</v>
      </c>
      <c r="C66" s="45" t="s">
        <v>570</v>
      </c>
      <c r="D66" s="61" t="s">
        <v>2067</v>
      </c>
      <c r="E66" s="11" t="s">
        <v>13</v>
      </c>
    </row>
    <row r="67">
      <c r="B67" s="96" t="s">
        <v>2207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2733</v>
      </c>
      <c r="C69" s="45" t="s">
        <v>185</v>
      </c>
      <c r="D69" s="62" t="s">
        <v>3043</v>
      </c>
      <c r="E69" s="11" t="s">
        <v>9</v>
      </c>
    </row>
    <row r="70">
      <c r="B70" s="62" t="s">
        <v>2731</v>
      </c>
      <c r="C70" s="45" t="s">
        <v>17</v>
      </c>
      <c r="D70" s="61" t="s">
        <v>2595</v>
      </c>
      <c r="E70" s="11" t="s">
        <v>13</v>
      </c>
    </row>
    <row r="71">
      <c r="B71" s="62" t="s">
        <v>2946</v>
      </c>
      <c r="C71" s="45" t="s">
        <v>24</v>
      </c>
      <c r="D71" s="62" t="s">
        <v>2733</v>
      </c>
      <c r="E71" s="11" t="s">
        <v>9</v>
      </c>
    </row>
    <row r="72">
      <c r="B72" s="62" t="s">
        <v>2731</v>
      </c>
      <c r="C72" s="45" t="s">
        <v>195</v>
      </c>
      <c r="D72" s="62" t="s">
        <v>3043</v>
      </c>
      <c r="E72" s="11" t="s">
        <v>13</v>
      </c>
    </row>
    <row r="73">
      <c r="B73" s="62" t="s">
        <v>2946</v>
      </c>
      <c r="C73" s="45" t="s">
        <v>181</v>
      </c>
      <c r="D73" s="61" t="s">
        <v>2595</v>
      </c>
      <c r="E73" s="11" t="s">
        <v>9</v>
      </c>
    </row>
    <row r="74">
      <c r="B74" s="62" t="s">
        <v>2731</v>
      </c>
      <c r="C74" s="45" t="s">
        <v>39</v>
      </c>
      <c r="D74" s="62" t="s">
        <v>2733</v>
      </c>
      <c r="E74" s="11" t="s">
        <v>13</v>
      </c>
    </row>
    <row r="75">
      <c r="B75" s="62" t="s">
        <v>2946</v>
      </c>
      <c r="C75" s="45" t="s">
        <v>20</v>
      </c>
      <c r="D75" s="62" t="s">
        <v>3043</v>
      </c>
      <c r="E75" s="11" t="s">
        <v>9</v>
      </c>
    </row>
    <row r="76">
      <c r="B76" s="61" t="s">
        <v>2595</v>
      </c>
      <c r="C76" s="45" t="s">
        <v>14</v>
      </c>
      <c r="D76" s="62" t="s">
        <v>2733</v>
      </c>
      <c r="E76" s="11" t="s">
        <v>13</v>
      </c>
    </row>
    <row r="77">
      <c r="B77" s="62" t="s">
        <v>2946</v>
      </c>
      <c r="C77" s="45" t="s">
        <v>155</v>
      </c>
      <c r="D77" s="62" t="s">
        <v>2731</v>
      </c>
      <c r="E77" s="11" t="s">
        <v>9</v>
      </c>
    </row>
    <row r="78">
      <c r="B78" s="61" t="s">
        <v>2595</v>
      </c>
      <c r="C78" s="45" t="s">
        <v>41</v>
      </c>
      <c r="D78" s="62" t="s">
        <v>3043</v>
      </c>
      <c r="E78" s="11" t="s">
        <v>13</v>
      </c>
    </row>
    <row r="79">
      <c r="B79" s="62" t="s">
        <v>3043</v>
      </c>
      <c r="C79" s="45" t="s">
        <v>219</v>
      </c>
      <c r="D79" s="62" t="s">
        <v>2733</v>
      </c>
      <c r="E79" s="11" t="s">
        <v>9</v>
      </c>
    </row>
    <row r="80">
      <c r="B80" s="61" t="s">
        <v>2595</v>
      </c>
      <c r="C80" s="45" t="s">
        <v>158</v>
      </c>
      <c r="D80" s="62" t="s">
        <v>2731</v>
      </c>
      <c r="E80" s="11" t="s">
        <v>13</v>
      </c>
    </row>
    <row r="81">
      <c r="B81" s="62" t="s">
        <v>2733</v>
      </c>
      <c r="C81" s="45" t="s">
        <v>163</v>
      </c>
      <c r="D81" s="62" t="s">
        <v>2946</v>
      </c>
      <c r="E81" s="11" t="s">
        <v>9</v>
      </c>
    </row>
    <row r="82">
      <c r="B82" s="62" t="s">
        <v>3043</v>
      </c>
      <c r="C82" s="45" t="s">
        <v>442</v>
      </c>
      <c r="D82" s="62" t="s">
        <v>2731</v>
      </c>
      <c r="E82" s="11" t="s">
        <v>13</v>
      </c>
    </row>
    <row r="83">
      <c r="B83" s="61" t="s">
        <v>2595</v>
      </c>
      <c r="C83" s="45" t="s">
        <v>18</v>
      </c>
      <c r="D83" s="62" t="s">
        <v>2946</v>
      </c>
      <c r="E83" s="11" t="s">
        <v>9</v>
      </c>
    </row>
    <row r="84">
      <c r="B84" s="62" t="s">
        <v>2733</v>
      </c>
      <c r="C84" s="45" t="s">
        <v>433</v>
      </c>
      <c r="D84" s="62" t="s">
        <v>2731</v>
      </c>
      <c r="E84" s="11" t="s">
        <v>13</v>
      </c>
    </row>
    <row r="85">
      <c r="B85" s="62" t="s">
        <v>3043</v>
      </c>
      <c r="C85" s="45" t="s">
        <v>220</v>
      </c>
      <c r="D85" s="62" t="s">
        <v>2946</v>
      </c>
      <c r="E85" s="11" t="s">
        <v>9</v>
      </c>
    </row>
    <row r="86">
      <c r="B86" s="62" t="s">
        <v>2733</v>
      </c>
      <c r="C86" s="45" t="s">
        <v>16</v>
      </c>
      <c r="D86" s="61" t="s">
        <v>2595</v>
      </c>
      <c r="E86" s="11" t="s">
        <v>13</v>
      </c>
    </row>
    <row r="87">
      <c r="B87" s="62" t="s">
        <v>2731</v>
      </c>
      <c r="C87" s="45" t="s">
        <v>232</v>
      </c>
      <c r="D87" s="62" t="s">
        <v>2946</v>
      </c>
      <c r="E87" s="11" t="s">
        <v>9</v>
      </c>
    </row>
    <row r="88">
      <c r="B88" s="62" t="s">
        <v>3043</v>
      </c>
      <c r="C88" s="45" t="s">
        <v>23</v>
      </c>
      <c r="D88" s="61" t="s">
        <v>2595</v>
      </c>
      <c r="E88" s="11" t="s">
        <v>13</v>
      </c>
    </row>
    <row r="89">
      <c r="B89" s="96" t="s">
        <v>2919</v>
      </c>
      <c r="C89" s="2"/>
      <c r="D89" s="3"/>
      <c r="E89" s="107"/>
    </row>
    <row r="90">
      <c r="B90" s="108" t="s">
        <v>2</v>
      </c>
      <c r="C90" s="109" t="s">
        <v>3</v>
      </c>
      <c r="D90" s="109" t="s">
        <v>4</v>
      </c>
      <c r="E90" s="109" t="s">
        <v>5</v>
      </c>
    </row>
    <row r="91">
      <c r="B91" s="61" t="s">
        <v>328</v>
      </c>
      <c r="C91" s="45" t="s">
        <v>517</v>
      </c>
      <c r="D91" s="61" t="s">
        <v>2738</v>
      </c>
      <c r="E91" s="33" t="s">
        <v>29</v>
      </c>
    </row>
    <row r="92">
      <c r="B92" s="61" t="s">
        <v>2667</v>
      </c>
      <c r="C92" s="45" t="s">
        <v>302</v>
      </c>
      <c r="D92" s="61" t="s">
        <v>1699</v>
      </c>
      <c r="E92" s="33" t="s">
        <v>33</v>
      </c>
    </row>
    <row r="93">
      <c r="B93" s="61" t="s">
        <v>3044</v>
      </c>
      <c r="C93" s="45" t="s">
        <v>162</v>
      </c>
      <c r="D93" s="61" t="s">
        <v>328</v>
      </c>
      <c r="E93" s="33" t="s">
        <v>29</v>
      </c>
    </row>
    <row r="94">
      <c r="B94" s="61" t="s">
        <v>2667</v>
      </c>
      <c r="C94" s="45" t="s">
        <v>163</v>
      </c>
      <c r="D94" s="61" t="s">
        <v>2738</v>
      </c>
      <c r="E94" s="33" t="s">
        <v>33</v>
      </c>
      <c r="H94" s="50"/>
    </row>
    <row r="95">
      <c r="B95" s="114" t="s">
        <v>3044</v>
      </c>
      <c r="C95" s="115" t="s">
        <v>38</v>
      </c>
      <c r="D95" s="114" t="s">
        <v>1699</v>
      </c>
      <c r="E95" s="33" t="s">
        <v>29</v>
      </c>
    </row>
    <row r="96">
      <c r="B96" s="61" t="s">
        <v>2667</v>
      </c>
      <c r="C96" s="45" t="s">
        <v>517</v>
      </c>
      <c r="D96" s="61" t="s">
        <v>328</v>
      </c>
      <c r="E96" s="33" t="s">
        <v>33</v>
      </c>
    </row>
    <row r="97">
      <c r="B97" s="114" t="s">
        <v>3044</v>
      </c>
      <c r="C97" s="115" t="s">
        <v>334</v>
      </c>
      <c r="D97" s="114" t="s">
        <v>2738</v>
      </c>
      <c r="E97" s="33" t="s">
        <v>29</v>
      </c>
      <c r="H97" s="50"/>
    </row>
    <row r="98">
      <c r="B98" s="61" t="s">
        <v>1699</v>
      </c>
      <c r="C98" s="45" t="s">
        <v>159</v>
      </c>
      <c r="D98" s="61" t="s">
        <v>328</v>
      </c>
      <c r="E98" s="33" t="s">
        <v>33</v>
      </c>
    </row>
    <row r="99">
      <c r="B99" s="114" t="s">
        <v>3044</v>
      </c>
      <c r="C99" s="115" t="s">
        <v>2427</v>
      </c>
      <c r="D99" s="114" t="s">
        <v>2667</v>
      </c>
      <c r="E99" s="33" t="s">
        <v>29</v>
      </c>
    </row>
    <row r="100">
      <c r="B100" s="61" t="s">
        <v>1699</v>
      </c>
      <c r="C100" s="45" t="s">
        <v>158</v>
      </c>
      <c r="D100" s="61" t="s">
        <v>2738</v>
      </c>
      <c r="E100" s="33" t="s">
        <v>33</v>
      </c>
    </row>
    <row r="101">
      <c r="B101" s="114" t="s">
        <v>2738</v>
      </c>
      <c r="C101" s="115" t="s">
        <v>19</v>
      </c>
      <c r="D101" s="114" t="s">
        <v>328</v>
      </c>
      <c r="E101" s="33" t="s">
        <v>29</v>
      </c>
    </row>
    <row r="102">
      <c r="B102" s="61" t="s">
        <v>1699</v>
      </c>
      <c r="C102" s="45" t="s">
        <v>19</v>
      </c>
      <c r="D102" s="61" t="s">
        <v>2667</v>
      </c>
      <c r="E102" s="33" t="s">
        <v>33</v>
      </c>
    </row>
    <row r="103">
      <c r="B103" s="114" t="s">
        <v>328</v>
      </c>
      <c r="C103" s="115" t="s">
        <v>3045</v>
      </c>
      <c r="D103" s="114" t="s">
        <v>3044</v>
      </c>
      <c r="E103" s="33" t="s">
        <v>29</v>
      </c>
    </row>
    <row r="104">
      <c r="B104" s="61" t="s">
        <v>2738</v>
      </c>
      <c r="C104" s="45" t="s">
        <v>302</v>
      </c>
      <c r="D104" s="61" t="s">
        <v>2667</v>
      </c>
      <c r="E104" s="33" t="s">
        <v>33</v>
      </c>
    </row>
    <row r="105">
      <c r="B105" s="114" t="s">
        <v>1699</v>
      </c>
      <c r="C105" s="115" t="s">
        <v>856</v>
      </c>
      <c r="D105" s="114" t="s">
        <v>3044</v>
      </c>
      <c r="E105" s="33" t="s">
        <v>29</v>
      </c>
    </row>
    <row r="106">
      <c r="B106" s="61" t="s">
        <v>328</v>
      </c>
      <c r="C106" s="45" t="s">
        <v>194</v>
      </c>
      <c r="D106" s="61" t="s">
        <v>2667</v>
      </c>
      <c r="E106" s="33" t="s">
        <v>33</v>
      </c>
    </row>
    <row r="107">
      <c r="B107" s="114" t="s">
        <v>2738</v>
      </c>
      <c r="C107" s="115" t="s">
        <v>576</v>
      </c>
      <c r="D107" s="114" t="s">
        <v>3044</v>
      </c>
      <c r="E107" s="33" t="s">
        <v>29</v>
      </c>
    </row>
    <row r="108">
      <c r="B108" s="61" t="s">
        <v>328</v>
      </c>
      <c r="C108" s="45" t="s">
        <v>3046</v>
      </c>
      <c r="D108" s="61" t="s">
        <v>1699</v>
      </c>
      <c r="E108" s="33" t="s">
        <v>33</v>
      </c>
    </row>
    <row r="109">
      <c r="B109" s="114" t="s">
        <v>2667</v>
      </c>
      <c r="C109" s="115" t="s">
        <v>477</v>
      </c>
      <c r="D109" s="114" t="s">
        <v>3044</v>
      </c>
      <c r="E109" s="33" t="s">
        <v>29</v>
      </c>
    </row>
    <row r="110">
      <c r="B110" s="61" t="s">
        <v>2738</v>
      </c>
      <c r="C110" s="45" t="s">
        <v>163</v>
      </c>
      <c r="D110" s="61" t="s">
        <v>1699</v>
      </c>
      <c r="E110" s="33" t="s">
        <v>33</v>
      </c>
      <c r="H110" s="50" t="s">
        <v>514</v>
      </c>
    </row>
    <row r="111">
      <c r="B111" s="96" t="s">
        <v>3047</v>
      </c>
      <c r="C111" s="2"/>
      <c r="D111" s="3"/>
      <c r="E111" s="107"/>
    </row>
    <row r="112">
      <c r="B112" s="108" t="s">
        <v>2</v>
      </c>
      <c r="C112" s="109" t="s">
        <v>3</v>
      </c>
      <c r="D112" s="109" t="s">
        <v>4</v>
      </c>
      <c r="E112" s="109" t="s">
        <v>5</v>
      </c>
    </row>
    <row r="113">
      <c r="B113" s="116" t="s">
        <v>1653</v>
      </c>
      <c r="C113" s="115" t="s">
        <v>222</v>
      </c>
      <c r="D113" s="117" t="s">
        <v>2617</v>
      </c>
      <c r="E113" s="33" t="s">
        <v>29</v>
      </c>
    </row>
    <row r="114">
      <c r="B114" s="110" t="s">
        <v>3048</v>
      </c>
      <c r="C114" s="45" t="s">
        <v>20</v>
      </c>
      <c r="D114" s="112" t="s">
        <v>146</v>
      </c>
      <c r="E114" s="33" t="s">
        <v>33</v>
      </c>
    </row>
    <row r="115">
      <c r="B115" s="116" t="s">
        <v>3049</v>
      </c>
      <c r="C115" s="115" t="s">
        <v>383</v>
      </c>
      <c r="D115" s="117" t="s">
        <v>1653</v>
      </c>
      <c r="E115" s="33" t="s">
        <v>29</v>
      </c>
    </row>
    <row r="116">
      <c r="B116" s="110" t="s">
        <v>3048</v>
      </c>
      <c r="C116" s="45" t="s">
        <v>1079</v>
      </c>
      <c r="D116" s="112" t="s">
        <v>2617</v>
      </c>
      <c r="E116" s="33" t="s">
        <v>33</v>
      </c>
    </row>
    <row r="117">
      <c r="B117" s="116" t="s">
        <v>3049</v>
      </c>
      <c r="C117" s="115" t="s">
        <v>27</v>
      </c>
      <c r="D117" s="117" t="s">
        <v>146</v>
      </c>
      <c r="E117" s="33" t="s">
        <v>29</v>
      </c>
    </row>
    <row r="118">
      <c r="B118" s="110" t="s">
        <v>3048</v>
      </c>
      <c r="C118" s="45" t="s">
        <v>227</v>
      </c>
      <c r="D118" s="112" t="s">
        <v>1653</v>
      </c>
      <c r="E118" s="33" t="s">
        <v>33</v>
      </c>
    </row>
    <row r="119">
      <c r="B119" s="116" t="s">
        <v>3049</v>
      </c>
      <c r="C119" s="115" t="s">
        <v>22</v>
      </c>
      <c r="D119" s="117" t="s">
        <v>2617</v>
      </c>
      <c r="E119" s="33" t="s">
        <v>29</v>
      </c>
    </row>
    <row r="120">
      <c r="B120" s="110" t="s">
        <v>146</v>
      </c>
      <c r="C120" s="45" t="s">
        <v>41</v>
      </c>
      <c r="D120" s="112" t="s">
        <v>1653</v>
      </c>
      <c r="E120" s="33" t="s">
        <v>33</v>
      </c>
      <c r="I120" s="50" t="s">
        <v>514</v>
      </c>
    </row>
    <row r="121">
      <c r="B121" s="116" t="s">
        <v>3049</v>
      </c>
      <c r="C121" s="115" t="s">
        <v>158</v>
      </c>
      <c r="D121" s="117" t="s">
        <v>3048</v>
      </c>
      <c r="E121" s="33" t="s">
        <v>29</v>
      </c>
    </row>
    <row r="122">
      <c r="B122" s="110" t="s">
        <v>146</v>
      </c>
      <c r="C122" s="45" t="s">
        <v>159</v>
      </c>
      <c r="D122" s="112" t="s">
        <v>2617</v>
      </c>
      <c r="E122" s="33" t="s">
        <v>33</v>
      </c>
    </row>
    <row r="123">
      <c r="B123" s="116" t="s">
        <v>2617</v>
      </c>
      <c r="C123" s="115" t="s">
        <v>203</v>
      </c>
      <c r="D123" s="117" t="s">
        <v>1653</v>
      </c>
      <c r="E123" s="33" t="s">
        <v>29</v>
      </c>
      <c r="H123" s="50" t="s">
        <v>861</v>
      </c>
    </row>
    <row r="124">
      <c r="B124" s="110" t="s">
        <v>146</v>
      </c>
      <c r="C124" s="45" t="s">
        <v>2064</v>
      </c>
      <c r="D124" s="112" t="s">
        <v>3048</v>
      </c>
      <c r="E124" s="33" t="s">
        <v>33</v>
      </c>
    </row>
    <row r="125">
      <c r="B125" s="116" t="s">
        <v>1653</v>
      </c>
      <c r="C125" s="115" t="s">
        <v>313</v>
      </c>
      <c r="D125" s="116" t="s">
        <v>3049</v>
      </c>
      <c r="E125" s="33" t="s">
        <v>29</v>
      </c>
    </row>
    <row r="126">
      <c r="B126" s="110" t="s">
        <v>2617</v>
      </c>
      <c r="C126" s="45" t="s">
        <v>352</v>
      </c>
      <c r="D126" s="112" t="s">
        <v>3048</v>
      </c>
      <c r="E126" s="33" t="s">
        <v>33</v>
      </c>
    </row>
    <row r="127">
      <c r="B127" s="116" t="s">
        <v>146</v>
      </c>
      <c r="C127" s="115" t="s">
        <v>195</v>
      </c>
      <c r="D127" s="116" t="s">
        <v>3049</v>
      </c>
      <c r="E127" s="33" t="s">
        <v>29</v>
      </c>
    </row>
    <row r="128">
      <c r="B128" s="116" t="s">
        <v>1653</v>
      </c>
      <c r="C128" s="115" t="s">
        <v>549</v>
      </c>
      <c r="D128" s="117" t="s">
        <v>3048</v>
      </c>
      <c r="E128" s="33" t="s">
        <v>33</v>
      </c>
    </row>
    <row r="129">
      <c r="B129" s="116" t="s">
        <v>2617</v>
      </c>
      <c r="C129" s="115" t="s">
        <v>193</v>
      </c>
      <c r="D129" s="116" t="s">
        <v>3049</v>
      </c>
      <c r="E129" s="33" t="s">
        <v>29</v>
      </c>
    </row>
    <row r="130">
      <c r="B130" s="110" t="s">
        <v>1653</v>
      </c>
      <c r="C130" s="45" t="s">
        <v>958</v>
      </c>
      <c r="D130" s="112" t="s">
        <v>146</v>
      </c>
      <c r="E130" s="33" t="s">
        <v>33</v>
      </c>
    </row>
    <row r="131">
      <c r="B131" s="116" t="s">
        <v>3048</v>
      </c>
      <c r="C131" s="115" t="s">
        <v>380</v>
      </c>
      <c r="D131" s="116" t="s">
        <v>3049</v>
      </c>
      <c r="E131" s="33" t="s">
        <v>29</v>
      </c>
    </row>
    <row r="132">
      <c r="B132" s="110" t="s">
        <v>2617</v>
      </c>
      <c r="C132" s="45" t="s">
        <v>248</v>
      </c>
      <c r="D132" s="112" t="s">
        <v>146</v>
      </c>
      <c r="E132" s="33" t="s">
        <v>33</v>
      </c>
    </row>
    <row r="133">
      <c r="B133" s="96" t="s">
        <v>2152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3050</v>
      </c>
      <c r="C135" s="45" t="s">
        <v>16</v>
      </c>
      <c r="D135" s="62" t="s">
        <v>3051</v>
      </c>
      <c r="E135" s="11" t="s">
        <v>9</v>
      </c>
    </row>
    <row r="136">
      <c r="B136" s="62" t="s">
        <v>3052</v>
      </c>
      <c r="C136" s="45" t="s">
        <v>164</v>
      </c>
      <c r="D136" s="61" t="s">
        <v>1607</v>
      </c>
      <c r="E136" s="11" t="s">
        <v>13</v>
      </c>
    </row>
    <row r="137">
      <c r="B137" s="62" t="s">
        <v>1605</v>
      </c>
      <c r="C137" s="45" t="s">
        <v>17</v>
      </c>
      <c r="D137" s="62" t="s">
        <v>3050</v>
      </c>
      <c r="E137" s="11" t="s">
        <v>9</v>
      </c>
    </row>
    <row r="138">
      <c r="B138" s="62" t="s">
        <v>3052</v>
      </c>
      <c r="C138" s="45" t="s">
        <v>158</v>
      </c>
      <c r="D138" s="62" t="s">
        <v>3051</v>
      </c>
      <c r="E138" s="11" t="s">
        <v>13</v>
      </c>
    </row>
    <row r="139">
      <c r="B139" s="62" t="s">
        <v>1605</v>
      </c>
      <c r="C139" s="45" t="s">
        <v>162</v>
      </c>
      <c r="D139" s="61" t="s">
        <v>1607</v>
      </c>
      <c r="E139" s="11" t="s">
        <v>9</v>
      </c>
    </row>
    <row r="140">
      <c r="B140" s="62" t="s">
        <v>3052</v>
      </c>
      <c r="C140" s="45" t="s">
        <v>41</v>
      </c>
      <c r="D140" s="62" t="s">
        <v>3050</v>
      </c>
      <c r="E140" s="11" t="s">
        <v>13</v>
      </c>
    </row>
    <row r="141">
      <c r="B141" s="62" t="s">
        <v>1605</v>
      </c>
      <c r="C141" s="45" t="s">
        <v>301</v>
      </c>
      <c r="D141" s="62" t="s">
        <v>3051</v>
      </c>
      <c r="E141" s="11" t="s">
        <v>9</v>
      </c>
    </row>
    <row r="142">
      <c r="B142" s="61" t="s">
        <v>1607</v>
      </c>
      <c r="C142" s="45" t="s">
        <v>177</v>
      </c>
      <c r="D142" s="62" t="s">
        <v>3050</v>
      </c>
      <c r="E142" s="11" t="s">
        <v>13</v>
      </c>
    </row>
    <row r="143">
      <c r="B143" s="62" t="s">
        <v>1605</v>
      </c>
      <c r="C143" s="45" t="s">
        <v>362</v>
      </c>
      <c r="D143" s="62" t="s">
        <v>3052</v>
      </c>
      <c r="E143" s="11" t="s">
        <v>9</v>
      </c>
    </row>
    <row r="144">
      <c r="B144" s="61" t="s">
        <v>1607</v>
      </c>
      <c r="C144" s="45" t="s">
        <v>426</v>
      </c>
      <c r="D144" s="62" t="s">
        <v>3051</v>
      </c>
      <c r="E144" s="11" t="s">
        <v>13</v>
      </c>
    </row>
    <row r="145">
      <c r="B145" s="62" t="s">
        <v>3051</v>
      </c>
      <c r="C145" s="45" t="s">
        <v>856</v>
      </c>
      <c r="D145" s="62" t="s">
        <v>3050</v>
      </c>
      <c r="E145" s="11" t="s">
        <v>9</v>
      </c>
    </row>
    <row r="146">
      <c r="B146" s="61" t="s">
        <v>1607</v>
      </c>
      <c r="C146" s="45" t="s">
        <v>290</v>
      </c>
      <c r="D146" s="62" t="s">
        <v>3052</v>
      </c>
      <c r="E146" s="11" t="s">
        <v>13</v>
      </c>
    </row>
    <row r="147">
      <c r="B147" s="62" t="s">
        <v>3050</v>
      </c>
      <c r="C147" s="45" t="s">
        <v>195</v>
      </c>
      <c r="D147" s="62" t="s">
        <v>1605</v>
      </c>
      <c r="E147" s="11" t="s">
        <v>9</v>
      </c>
    </row>
    <row r="148">
      <c r="B148" s="62" t="s">
        <v>3051</v>
      </c>
      <c r="C148" s="45" t="s">
        <v>418</v>
      </c>
      <c r="D148" s="62" t="s">
        <v>3052</v>
      </c>
      <c r="E148" s="11" t="s">
        <v>13</v>
      </c>
    </row>
    <row r="149">
      <c r="B149" s="61" t="s">
        <v>1607</v>
      </c>
      <c r="C149" s="45" t="s">
        <v>229</v>
      </c>
      <c r="D149" s="62" t="s">
        <v>1605</v>
      </c>
      <c r="E149" s="11" t="s">
        <v>9</v>
      </c>
    </row>
    <row r="150">
      <c r="B150" s="62" t="s">
        <v>3050</v>
      </c>
      <c r="C150" s="45" t="s">
        <v>357</v>
      </c>
      <c r="D150" s="62" t="s">
        <v>3052</v>
      </c>
      <c r="E150" s="11" t="s">
        <v>13</v>
      </c>
    </row>
    <row r="151">
      <c r="B151" s="62" t="s">
        <v>3051</v>
      </c>
      <c r="C151" s="45" t="s">
        <v>218</v>
      </c>
      <c r="D151" s="62" t="s">
        <v>1605</v>
      </c>
      <c r="E151" s="11" t="s">
        <v>9</v>
      </c>
    </row>
    <row r="152">
      <c r="B152" s="62" t="s">
        <v>3050</v>
      </c>
      <c r="C152" s="45" t="s">
        <v>16</v>
      </c>
      <c r="D152" s="61" t="s">
        <v>1607</v>
      </c>
      <c r="E152" s="11" t="s">
        <v>13</v>
      </c>
    </row>
    <row r="153">
      <c r="B153" s="62" t="s">
        <v>3052</v>
      </c>
      <c r="C153" s="45" t="s">
        <v>177</v>
      </c>
      <c r="D153" s="62" t="s">
        <v>1605</v>
      </c>
      <c r="E153" s="11" t="s">
        <v>9</v>
      </c>
    </row>
    <row r="154">
      <c r="B154" s="62" t="s">
        <v>3051</v>
      </c>
      <c r="C154" s="45" t="s">
        <v>208</v>
      </c>
      <c r="D154" s="61" t="s">
        <v>1607</v>
      </c>
      <c r="E154" s="11" t="s">
        <v>13</v>
      </c>
    </row>
    <row r="155">
      <c r="B155" s="96" t="s">
        <v>1803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3053</v>
      </c>
      <c r="C157" s="45" t="s">
        <v>582</v>
      </c>
      <c r="D157" s="62" t="s">
        <v>3054</v>
      </c>
      <c r="E157" s="11" t="s">
        <v>9</v>
      </c>
    </row>
    <row r="158">
      <c r="B158" s="62" t="s">
        <v>3055</v>
      </c>
      <c r="C158" s="45" t="s">
        <v>177</v>
      </c>
      <c r="D158" s="61" t="s">
        <v>3056</v>
      </c>
      <c r="E158" s="11" t="s">
        <v>13</v>
      </c>
    </row>
    <row r="159">
      <c r="B159" s="62" t="s">
        <v>3057</v>
      </c>
      <c r="C159" s="45" t="s">
        <v>23</v>
      </c>
      <c r="D159" s="62" t="s">
        <v>3053</v>
      </c>
      <c r="E159" s="11" t="s">
        <v>9</v>
      </c>
    </row>
    <row r="160">
      <c r="B160" s="62" t="s">
        <v>3055</v>
      </c>
      <c r="C160" s="45" t="s">
        <v>11</v>
      </c>
      <c r="D160" s="62" t="s">
        <v>3054</v>
      </c>
      <c r="E160" s="11" t="s">
        <v>13</v>
      </c>
    </row>
    <row r="161">
      <c r="B161" s="62" t="s">
        <v>3057</v>
      </c>
      <c r="C161" s="45" t="s">
        <v>342</v>
      </c>
      <c r="D161" s="61" t="s">
        <v>3056</v>
      </c>
      <c r="E161" s="11" t="s">
        <v>9</v>
      </c>
    </row>
    <row r="162">
      <c r="B162" s="62" t="s">
        <v>3055</v>
      </c>
      <c r="C162" s="45" t="s">
        <v>195</v>
      </c>
      <c r="D162" s="62" t="s">
        <v>3053</v>
      </c>
      <c r="E162" s="11" t="s">
        <v>13</v>
      </c>
    </row>
    <row r="163">
      <c r="B163" s="62" t="s">
        <v>3057</v>
      </c>
      <c r="C163" s="45" t="s">
        <v>185</v>
      </c>
      <c r="D163" s="62" t="s">
        <v>3054</v>
      </c>
      <c r="E163" s="11" t="s">
        <v>9</v>
      </c>
    </row>
    <row r="164">
      <c r="B164" s="61" t="s">
        <v>3056</v>
      </c>
      <c r="C164" s="45" t="s">
        <v>177</v>
      </c>
      <c r="D164" s="62" t="s">
        <v>3053</v>
      </c>
      <c r="E164" s="11" t="s">
        <v>13</v>
      </c>
    </row>
    <row r="165">
      <c r="B165" s="62" t="s">
        <v>3057</v>
      </c>
      <c r="C165" s="45" t="s">
        <v>248</v>
      </c>
      <c r="D165" s="62" t="s">
        <v>3055</v>
      </c>
      <c r="E165" s="11" t="s">
        <v>9</v>
      </c>
    </row>
    <row r="166">
      <c r="B166" s="61" t="s">
        <v>3056</v>
      </c>
      <c r="C166" s="45" t="s">
        <v>185</v>
      </c>
      <c r="D166" s="62" t="s">
        <v>3054</v>
      </c>
      <c r="E166" s="11" t="s">
        <v>13</v>
      </c>
    </row>
    <row r="167">
      <c r="B167" s="62" t="s">
        <v>3054</v>
      </c>
      <c r="C167" s="45" t="s">
        <v>185</v>
      </c>
      <c r="D167" s="62" t="s">
        <v>3053</v>
      </c>
      <c r="E167" s="11" t="s">
        <v>9</v>
      </c>
    </row>
    <row r="168">
      <c r="B168" s="61" t="s">
        <v>3056</v>
      </c>
      <c r="C168" s="45" t="s">
        <v>210</v>
      </c>
      <c r="D168" s="62" t="s">
        <v>3055</v>
      </c>
      <c r="E168" s="11" t="s">
        <v>13</v>
      </c>
    </row>
    <row r="169">
      <c r="B169" s="62" t="s">
        <v>3053</v>
      </c>
      <c r="C169" s="45" t="s">
        <v>177</v>
      </c>
      <c r="D169" s="62" t="s">
        <v>3057</v>
      </c>
      <c r="E169" s="11" t="s">
        <v>9</v>
      </c>
    </row>
    <row r="170">
      <c r="B170" s="62" t="s">
        <v>3054</v>
      </c>
      <c r="C170" s="45" t="s">
        <v>42</v>
      </c>
      <c r="D170" s="62" t="s">
        <v>3055</v>
      </c>
      <c r="E170" s="11" t="s">
        <v>13</v>
      </c>
    </row>
    <row r="171">
      <c r="B171" s="61" t="s">
        <v>3056</v>
      </c>
      <c r="C171" s="45" t="s">
        <v>23</v>
      </c>
      <c r="D171" s="62" t="s">
        <v>3057</v>
      </c>
      <c r="E171" s="11" t="s">
        <v>9</v>
      </c>
    </row>
    <row r="172">
      <c r="B172" s="62" t="s">
        <v>3053</v>
      </c>
      <c r="C172" s="45" t="s">
        <v>291</v>
      </c>
      <c r="D172" s="62" t="s">
        <v>3055</v>
      </c>
      <c r="E172" s="11" t="s">
        <v>13</v>
      </c>
    </row>
    <row r="173">
      <c r="B173" s="62" t="s">
        <v>3054</v>
      </c>
      <c r="C173" s="45" t="s">
        <v>7</v>
      </c>
      <c r="D173" s="62" t="s">
        <v>3057</v>
      </c>
      <c r="E173" s="11" t="s">
        <v>9</v>
      </c>
    </row>
    <row r="174">
      <c r="B174" s="62" t="s">
        <v>3053</v>
      </c>
      <c r="C174" s="45" t="s">
        <v>155</v>
      </c>
      <c r="D174" s="61" t="s">
        <v>3056</v>
      </c>
      <c r="E174" s="11" t="s">
        <v>13</v>
      </c>
    </row>
    <row r="175">
      <c r="B175" s="62" t="s">
        <v>3055</v>
      </c>
      <c r="C175" s="45" t="s">
        <v>165</v>
      </c>
      <c r="D175" s="62" t="s">
        <v>3057</v>
      </c>
      <c r="E175" s="11" t="s">
        <v>9</v>
      </c>
    </row>
    <row r="176">
      <c r="B176" s="62" t="s">
        <v>3054</v>
      </c>
      <c r="C176" s="45" t="s">
        <v>394</v>
      </c>
      <c r="D176" s="61" t="s">
        <v>3056</v>
      </c>
      <c r="E176" s="11" t="s">
        <v>13</v>
      </c>
    </row>
    <row r="177">
      <c r="B177" s="96" t="s">
        <v>2820</v>
      </c>
      <c r="C177" s="2"/>
      <c r="D177" s="3"/>
      <c r="E177" s="107"/>
    </row>
    <row r="178">
      <c r="B178" s="108" t="s">
        <v>2</v>
      </c>
      <c r="C178" s="109" t="s">
        <v>3</v>
      </c>
      <c r="D178" s="109" t="s">
        <v>4</v>
      </c>
      <c r="E178" s="109" t="s">
        <v>5</v>
      </c>
    </row>
    <row r="179">
      <c r="B179" s="116" t="s">
        <v>305</v>
      </c>
      <c r="C179" s="115" t="s">
        <v>166</v>
      </c>
      <c r="D179" s="117" t="s">
        <v>1440</v>
      </c>
      <c r="E179" s="33" t="s">
        <v>29</v>
      </c>
    </row>
    <row r="180">
      <c r="B180" s="110" t="s">
        <v>1099</v>
      </c>
      <c r="C180" s="45" t="s">
        <v>233</v>
      </c>
      <c r="D180" s="112" t="s">
        <v>1713</v>
      </c>
      <c r="E180" s="33" t="s">
        <v>33</v>
      </c>
    </row>
    <row r="181">
      <c r="B181" s="116" t="s">
        <v>3058</v>
      </c>
      <c r="C181" s="115" t="s">
        <v>17</v>
      </c>
      <c r="D181" s="117" t="s">
        <v>305</v>
      </c>
      <c r="E181" s="33" t="s">
        <v>29</v>
      </c>
    </row>
    <row r="182">
      <c r="B182" s="110" t="s">
        <v>1099</v>
      </c>
      <c r="C182" s="45" t="s">
        <v>292</v>
      </c>
      <c r="D182" s="112" t="s">
        <v>1440</v>
      </c>
      <c r="E182" s="33" t="s">
        <v>33</v>
      </c>
    </row>
    <row r="183">
      <c r="B183" s="116" t="s">
        <v>3058</v>
      </c>
      <c r="C183" s="115" t="s">
        <v>233</v>
      </c>
      <c r="D183" s="117" t="s">
        <v>1713</v>
      </c>
      <c r="E183" s="33" t="s">
        <v>29</v>
      </c>
    </row>
    <row r="184">
      <c r="B184" s="110" t="s">
        <v>1099</v>
      </c>
      <c r="C184" s="45" t="s">
        <v>158</v>
      </c>
      <c r="D184" s="112" t="s">
        <v>305</v>
      </c>
      <c r="E184" s="33" t="s">
        <v>33</v>
      </c>
    </row>
    <row r="185">
      <c r="B185" s="116" t="s">
        <v>3058</v>
      </c>
      <c r="C185" s="115" t="s">
        <v>155</v>
      </c>
      <c r="D185" s="117" t="s">
        <v>1440</v>
      </c>
      <c r="E185" s="33" t="s">
        <v>29</v>
      </c>
      <c r="I185" s="50" t="s">
        <v>514</v>
      </c>
    </row>
    <row r="186">
      <c r="B186" s="110" t="s">
        <v>1713</v>
      </c>
      <c r="C186" s="45" t="s">
        <v>709</v>
      </c>
      <c r="D186" s="112" t="s">
        <v>305</v>
      </c>
      <c r="E186" s="33" t="s">
        <v>33</v>
      </c>
    </row>
    <row r="187">
      <c r="B187" s="116" t="s">
        <v>3058</v>
      </c>
      <c r="C187" s="115" t="s">
        <v>216</v>
      </c>
      <c r="D187" s="117" t="s">
        <v>1099</v>
      </c>
      <c r="E187" s="33" t="s">
        <v>29</v>
      </c>
    </row>
    <row r="188">
      <c r="B188" s="110" t="s">
        <v>1713</v>
      </c>
      <c r="C188" s="45" t="s">
        <v>281</v>
      </c>
      <c r="D188" s="112" t="s">
        <v>1440</v>
      </c>
      <c r="E188" s="33" t="s">
        <v>33</v>
      </c>
    </row>
    <row r="189">
      <c r="B189" s="116" t="s">
        <v>1440</v>
      </c>
      <c r="C189" s="115" t="s">
        <v>352</v>
      </c>
      <c r="D189" s="117" t="s">
        <v>305</v>
      </c>
      <c r="E189" s="33" t="s">
        <v>29</v>
      </c>
    </row>
    <row r="190">
      <c r="B190" s="110" t="s">
        <v>1713</v>
      </c>
      <c r="C190" s="45" t="s">
        <v>264</v>
      </c>
      <c r="D190" s="112" t="s">
        <v>1099</v>
      </c>
      <c r="E190" s="33" t="s">
        <v>33</v>
      </c>
    </row>
    <row r="191">
      <c r="B191" s="116" t="s">
        <v>305</v>
      </c>
      <c r="C191" s="115" t="s">
        <v>7</v>
      </c>
      <c r="D191" s="116" t="s">
        <v>3058</v>
      </c>
      <c r="E191" s="33" t="s">
        <v>29</v>
      </c>
    </row>
    <row r="192">
      <c r="B192" s="110" t="s">
        <v>1440</v>
      </c>
      <c r="C192" s="45" t="s">
        <v>489</v>
      </c>
      <c r="D192" s="112" t="s">
        <v>1099</v>
      </c>
      <c r="E192" s="33" t="s">
        <v>33</v>
      </c>
    </row>
    <row r="193">
      <c r="B193" s="116" t="s">
        <v>1713</v>
      </c>
      <c r="C193" s="115" t="s">
        <v>790</v>
      </c>
      <c r="D193" s="116" t="s">
        <v>3058</v>
      </c>
      <c r="E193" s="33" t="s">
        <v>29</v>
      </c>
    </row>
    <row r="194">
      <c r="B194" s="110" t="s">
        <v>305</v>
      </c>
      <c r="C194" s="45" t="s">
        <v>166</v>
      </c>
      <c r="D194" s="112" t="s">
        <v>1099</v>
      </c>
      <c r="E194" s="33" t="s">
        <v>33</v>
      </c>
    </row>
    <row r="195">
      <c r="B195" s="116" t="s">
        <v>1440</v>
      </c>
      <c r="C195" s="115" t="s">
        <v>225</v>
      </c>
      <c r="D195" s="116" t="s">
        <v>3058</v>
      </c>
      <c r="E195" s="33" t="s">
        <v>29</v>
      </c>
    </row>
    <row r="196">
      <c r="B196" s="110" t="s">
        <v>305</v>
      </c>
      <c r="C196" s="45" t="s">
        <v>22</v>
      </c>
      <c r="D196" s="112" t="s">
        <v>1713</v>
      </c>
      <c r="E196" s="33" t="s">
        <v>33</v>
      </c>
    </row>
    <row r="197">
      <c r="B197" s="116" t="s">
        <v>1099</v>
      </c>
      <c r="C197" s="115" t="s">
        <v>7</v>
      </c>
      <c r="D197" s="116" t="s">
        <v>3058</v>
      </c>
      <c r="E197" s="33" t="s">
        <v>29</v>
      </c>
    </row>
    <row r="198">
      <c r="B198" s="110" t="s">
        <v>1440</v>
      </c>
      <c r="C198" s="45" t="s">
        <v>524</v>
      </c>
      <c r="D198" s="112" t="s">
        <v>1713</v>
      </c>
      <c r="E198" s="33" t="s">
        <v>33</v>
      </c>
    </row>
    <row r="199">
      <c r="B199" s="96" t="s">
        <v>2670</v>
      </c>
      <c r="C199" s="2"/>
      <c r="D199" s="3"/>
      <c r="E199" s="107"/>
    </row>
    <row r="200">
      <c r="B200" s="108" t="s">
        <v>2</v>
      </c>
      <c r="C200" s="109" t="s">
        <v>3</v>
      </c>
      <c r="D200" s="109" t="s">
        <v>4</v>
      </c>
      <c r="E200" s="109" t="s">
        <v>5</v>
      </c>
    </row>
    <row r="201">
      <c r="B201" s="116" t="s">
        <v>2024</v>
      </c>
      <c r="C201" s="115" t="s">
        <v>338</v>
      </c>
      <c r="D201" s="117" t="s">
        <v>1488</v>
      </c>
      <c r="E201" s="33" t="s">
        <v>29</v>
      </c>
    </row>
    <row r="202">
      <c r="B202" s="110" t="s">
        <v>420</v>
      </c>
      <c r="C202" s="45" t="s">
        <v>244</v>
      </c>
      <c r="D202" s="112" t="s">
        <v>3059</v>
      </c>
      <c r="E202" s="33" t="s">
        <v>33</v>
      </c>
    </row>
    <row r="203">
      <c r="B203" s="116" t="s">
        <v>2026</v>
      </c>
      <c r="C203" s="115" t="s">
        <v>256</v>
      </c>
      <c r="D203" s="117" t="s">
        <v>2024</v>
      </c>
      <c r="E203" s="33" t="s">
        <v>29</v>
      </c>
    </row>
    <row r="204">
      <c r="B204" s="110" t="s">
        <v>420</v>
      </c>
      <c r="C204" s="45" t="s">
        <v>601</v>
      </c>
      <c r="D204" s="112" t="s">
        <v>1488</v>
      </c>
      <c r="E204" s="33" t="s">
        <v>33</v>
      </c>
    </row>
    <row r="205">
      <c r="B205" s="116" t="s">
        <v>2026</v>
      </c>
      <c r="C205" s="115" t="s">
        <v>23</v>
      </c>
      <c r="D205" s="117" t="s">
        <v>3059</v>
      </c>
      <c r="E205" s="33" t="s">
        <v>29</v>
      </c>
    </row>
    <row r="206">
      <c r="B206" s="110" t="s">
        <v>420</v>
      </c>
      <c r="C206" s="45" t="s">
        <v>185</v>
      </c>
      <c r="D206" s="112" t="s">
        <v>2024</v>
      </c>
      <c r="E206" s="33" t="s">
        <v>33</v>
      </c>
    </row>
    <row r="207">
      <c r="B207" s="116" t="s">
        <v>2026</v>
      </c>
      <c r="C207" s="115" t="s">
        <v>14</v>
      </c>
      <c r="D207" s="117" t="s">
        <v>1488</v>
      </c>
      <c r="E207" s="33" t="s">
        <v>29</v>
      </c>
    </row>
    <row r="208">
      <c r="B208" s="110" t="s">
        <v>3059</v>
      </c>
      <c r="C208" s="45" t="s">
        <v>220</v>
      </c>
      <c r="D208" s="112" t="s">
        <v>2024</v>
      </c>
      <c r="E208" s="33" t="s">
        <v>33</v>
      </c>
    </row>
    <row r="209">
      <c r="B209" s="116" t="s">
        <v>2026</v>
      </c>
      <c r="C209" s="115" t="s">
        <v>258</v>
      </c>
      <c r="D209" s="117" t="s">
        <v>420</v>
      </c>
      <c r="E209" s="33" t="s">
        <v>29</v>
      </c>
    </row>
    <row r="210">
      <c r="B210" s="110" t="s">
        <v>3059</v>
      </c>
      <c r="C210" s="45" t="s">
        <v>185</v>
      </c>
      <c r="D210" s="112" t="s">
        <v>1488</v>
      </c>
      <c r="E210" s="33" t="s">
        <v>33</v>
      </c>
    </row>
    <row r="211">
      <c r="B211" s="116" t="s">
        <v>1488</v>
      </c>
      <c r="C211" s="115" t="s">
        <v>23</v>
      </c>
      <c r="D211" s="117" t="s">
        <v>2024</v>
      </c>
      <c r="E211" s="33" t="s">
        <v>29</v>
      </c>
    </row>
    <row r="212">
      <c r="B212" s="110" t="s">
        <v>3059</v>
      </c>
      <c r="C212" s="45" t="s">
        <v>289</v>
      </c>
      <c r="D212" s="112" t="s">
        <v>420</v>
      </c>
      <c r="E212" s="33" t="s">
        <v>33</v>
      </c>
      <c r="G212" s="50" t="s">
        <v>514</v>
      </c>
    </row>
    <row r="213">
      <c r="B213" s="116" t="s">
        <v>2024</v>
      </c>
      <c r="C213" s="115" t="s">
        <v>354</v>
      </c>
      <c r="D213" s="116" t="s">
        <v>2026</v>
      </c>
      <c r="E213" s="33" t="s">
        <v>29</v>
      </c>
    </row>
    <row r="214">
      <c r="B214" s="110" t="s">
        <v>1488</v>
      </c>
      <c r="C214" s="45" t="s">
        <v>38</v>
      </c>
      <c r="D214" s="112" t="s">
        <v>420</v>
      </c>
      <c r="E214" s="33" t="s">
        <v>33</v>
      </c>
    </row>
    <row r="215">
      <c r="B215" s="116" t="s">
        <v>3059</v>
      </c>
      <c r="C215" s="115" t="s">
        <v>7</v>
      </c>
      <c r="D215" s="116" t="s">
        <v>2026</v>
      </c>
      <c r="E215" s="33" t="s">
        <v>29</v>
      </c>
    </row>
    <row r="216">
      <c r="B216" s="110" t="s">
        <v>2024</v>
      </c>
      <c r="C216" s="45" t="s">
        <v>166</v>
      </c>
      <c r="D216" s="112" t="s">
        <v>420</v>
      </c>
      <c r="E216" s="33" t="s">
        <v>33</v>
      </c>
    </row>
    <row r="217">
      <c r="B217" s="116" t="s">
        <v>1488</v>
      </c>
      <c r="C217" s="115" t="s">
        <v>38</v>
      </c>
      <c r="D217" s="116" t="s">
        <v>2026</v>
      </c>
      <c r="E217" s="33" t="s">
        <v>29</v>
      </c>
    </row>
    <row r="218">
      <c r="B218" s="110" t="s">
        <v>2024</v>
      </c>
      <c r="C218" s="45" t="s">
        <v>173</v>
      </c>
      <c r="D218" s="112" t="s">
        <v>3059</v>
      </c>
      <c r="E218" s="33" t="s">
        <v>33</v>
      </c>
    </row>
    <row r="219">
      <c r="B219" s="116" t="s">
        <v>420</v>
      </c>
      <c r="C219" s="115" t="s">
        <v>426</v>
      </c>
      <c r="D219" s="116" t="s">
        <v>2026</v>
      </c>
      <c r="E219" s="33" t="s">
        <v>29</v>
      </c>
    </row>
    <row r="220">
      <c r="B220" s="110" t="s">
        <v>1488</v>
      </c>
      <c r="C220" s="45" t="s">
        <v>1620</v>
      </c>
      <c r="D220" s="112" t="s">
        <v>3059</v>
      </c>
      <c r="E220" s="33" t="s">
        <v>33</v>
      </c>
    </row>
    <row r="221">
      <c r="B221" s="96" t="s">
        <v>3060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2829</v>
      </c>
      <c r="C223" s="45" t="s">
        <v>250</v>
      </c>
      <c r="D223" s="62" t="s">
        <v>3061</v>
      </c>
      <c r="E223" s="11" t="s">
        <v>9</v>
      </c>
    </row>
    <row r="224">
      <c r="B224" s="62" t="s">
        <v>3062</v>
      </c>
      <c r="C224" s="45" t="s">
        <v>466</v>
      </c>
      <c r="D224" s="61" t="s">
        <v>3063</v>
      </c>
      <c r="E224" s="11" t="s">
        <v>13</v>
      </c>
    </row>
    <row r="225">
      <c r="B225" s="62" t="s">
        <v>2430</v>
      </c>
      <c r="C225" s="45" t="s">
        <v>477</v>
      </c>
      <c r="D225" s="62" t="s">
        <v>2829</v>
      </c>
      <c r="E225" s="11" t="s">
        <v>9</v>
      </c>
    </row>
    <row r="226">
      <c r="B226" s="62" t="s">
        <v>3062</v>
      </c>
      <c r="C226" s="45" t="s">
        <v>239</v>
      </c>
      <c r="D226" s="62" t="s">
        <v>3061</v>
      </c>
      <c r="E226" s="11" t="s">
        <v>13</v>
      </c>
    </row>
    <row r="227">
      <c r="B227" s="62" t="s">
        <v>2430</v>
      </c>
      <c r="C227" s="45" t="s">
        <v>17</v>
      </c>
      <c r="D227" s="61" t="s">
        <v>3063</v>
      </c>
      <c r="E227" s="11" t="s">
        <v>9</v>
      </c>
    </row>
    <row r="228">
      <c r="B228" s="62" t="s">
        <v>3062</v>
      </c>
      <c r="C228" s="45" t="s">
        <v>219</v>
      </c>
      <c r="D228" s="62" t="s">
        <v>2829</v>
      </c>
      <c r="E228" s="11" t="s">
        <v>13</v>
      </c>
    </row>
    <row r="229">
      <c r="B229" s="62" t="s">
        <v>2430</v>
      </c>
      <c r="C229" s="45" t="s">
        <v>158</v>
      </c>
      <c r="D229" s="62" t="s">
        <v>3061</v>
      </c>
      <c r="E229" s="11" t="s">
        <v>9</v>
      </c>
    </row>
    <row r="230">
      <c r="B230" s="61" t="s">
        <v>3063</v>
      </c>
      <c r="C230" s="45" t="s">
        <v>184</v>
      </c>
      <c r="D230" s="62" t="s">
        <v>2829</v>
      </c>
      <c r="E230" s="11" t="s">
        <v>13</v>
      </c>
    </row>
    <row r="231">
      <c r="B231" s="62" t="s">
        <v>2430</v>
      </c>
      <c r="C231" s="45" t="s">
        <v>43</v>
      </c>
      <c r="D231" s="62" t="s">
        <v>3062</v>
      </c>
      <c r="E231" s="11" t="s">
        <v>9</v>
      </c>
    </row>
    <row r="232">
      <c r="B232" s="61" t="s">
        <v>3063</v>
      </c>
      <c r="C232" s="45" t="s">
        <v>18</v>
      </c>
      <c r="D232" s="62" t="s">
        <v>3061</v>
      </c>
      <c r="E232" s="11" t="s">
        <v>13</v>
      </c>
    </row>
    <row r="233">
      <c r="B233" s="62" t="s">
        <v>3061</v>
      </c>
      <c r="C233" s="45" t="s">
        <v>41</v>
      </c>
      <c r="D233" s="62" t="s">
        <v>2829</v>
      </c>
      <c r="E233" s="11" t="s">
        <v>9</v>
      </c>
    </row>
    <row r="234">
      <c r="B234" s="61" t="s">
        <v>3063</v>
      </c>
      <c r="C234" s="45" t="s">
        <v>1015</v>
      </c>
      <c r="D234" s="62" t="s">
        <v>3062</v>
      </c>
      <c r="E234" s="11" t="s">
        <v>13</v>
      </c>
    </row>
    <row r="235">
      <c r="B235" s="62" t="s">
        <v>2829</v>
      </c>
      <c r="C235" s="45" t="s">
        <v>39</v>
      </c>
      <c r="D235" s="62" t="s">
        <v>2430</v>
      </c>
      <c r="E235" s="11" t="s">
        <v>9</v>
      </c>
    </row>
    <row r="236">
      <c r="B236" s="62" t="s">
        <v>3061</v>
      </c>
      <c r="C236" s="45" t="s">
        <v>1041</v>
      </c>
      <c r="D236" s="62" t="s">
        <v>3062</v>
      </c>
      <c r="E236" s="11" t="s">
        <v>13</v>
      </c>
    </row>
    <row r="237">
      <c r="B237" s="61" t="s">
        <v>3063</v>
      </c>
      <c r="C237" s="45" t="s">
        <v>194</v>
      </c>
      <c r="D237" s="62" t="s">
        <v>2430</v>
      </c>
      <c r="E237" s="11" t="s">
        <v>9</v>
      </c>
    </row>
    <row r="238">
      <c r="B238" s="62" t="s">
        <v>2829</v>
      </c>
      <c r="C238" s="45" t="s">
        <v>449</v>
      </c>
      <c r="D238" s="62" t="s">
        <v>3062</v>
      </c>
      <c r="E238" s="11" t="s">
        <v>13</v>
      </c>
    </row>
    <row r="239">
      <c r="B239" s="62" t="s">
        <v>3061</v>
      </c>
      <c r="C239" s="45" t="s">
        <v>271</v>
      </c>
      <c r="D239" s="62" t="s">
        <v>2430</v>
      </c>
      <c r="E239" s="11" t="s">
        <v>9</v>
      </c>
    </row>
    <row r="240">
      <c r="B240" s="62" t="s">
        <v>2829</v>
      </c>
      <c r="C240" s="45" t="s">
        <v>162</v>
      </c>
      <c r="D240" s="61" t="s">
        <v>3063</v>
      </c>
      <c r="E240" s="11" t="s">
        <v>13</v>
      </c>
    </row>
    <row r="241">
      <c r="B241" s="62" t="s">
        <v>3062</v>
      </c>
      <c r="C241" s="45" t="s">
        <v>209</v>
      </c>
      <c r="D241" s="62" t="s">
        <v>2430</v>
      </c>
      <c r="E241" s="11" t="s">
        <v>9</v>
      </c>
    </row>
    <row r="242">
      <c r="B242" s="62" t="s">
        <v>3061</v>
      </c>
      <c r="C242" s="45" t="s">
        <v>166</v>
      </c>
      <c r="D242" s="61" t="s">
        <v>3063</v>
      </c>
      <c r="E242" s="11" t="s">
        <v>13</v>
      </c>
    </row>
    <row r="243">
      <c r="B243" s="96" t="s">
        <v>3064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3065</v>
      </c>
      <c r="C245" s="45" t="s">
        <v>251</v>
      </c>
      <c r="D245" s="62" t="s">
        <v>3066</v>
      </c>
      <c r="E245" s="11" t="s">
        <v>9</v>
      </c>
    </row>
    <row r="246">
      <c r="B246" s="62" t="s">
        <v>3067</v>
      </c>
      <c r="C246" s="45" t="s">
        <v>173</v>
      </c>
      <c r="D246" s="61" t="s">
        <v>2425</v>
      </c>
      <c r="E246" s="11" t="s">
        <v>13</v>
      </c>
    </row>
    <row r="247">
      <c r="B247" s="62" t="s">
        <v>3068</v>
      </c>
      <c r="C247" s="45" t="s">
        <v>718</v>
      </c>
      <c r="D247" s="62" t="s">
        <v>3065</v>
      </c>
      <c r="E247" s="11" t="s">
        <v>9</v>
      </c>
    </row>
    <row r="248">
      <c r="B248" s="62" t="s">
        <v>3067</v>
      </c>
      <c r="C248" s="45" t="s">
        <v>216</v>
      </c>
      <c r="D248" s="62" t="s">
        <v>3066</v>
      </c>
      <c r="E248" s="11" t="s">
        <v>13</v>
      </c>
    </row>
    <row r="249">
      <c r="B249" s="62" t="s">
        <v>3068</v>
      </c>
      <c r="C249" s="45" t="s">
        <v>251</v>
      </c>
      <c r="D249" s="61" t="s">
        <v>2425</v>
      </c>
      <c r="E249" s="11" t="s">
        <v>9</v>
      </c>
    </row>
    <row r="250">
      <c r="B250" s="62" t="s">
        <v>3067</v>
      </c>
      <c r="C250" s="45" t="s">
        <v>2673</v>
      </c>
      <c r="D250" s="62" t="s">
        <v>3065</v>
      </c>
      <c r="E250" s="11" t="s">
        <v>13</v>
      </c>
    </row>
    <row r="251">
      <c r="B251" s="62" t="s">
        <v>3068</v>
      </c>
      <c r="C251" s="45" t="s">
        <v>185</v>
      </c>
      <c r="D251" s="62" t="s">
        <v>3066</v>
      </c>
      <c r="E251" s="11" t="s">
        <v>9</v>
      </c>
    </row>
    <row r="252">
      <c r="B252" s="61" t="s">
        <v>2425</v>
      </c>
      <c r="C252" s="45" t="s">
        <v>23</v>
      </c>
      <c r="D252" s="62" t="s">
        <v>3065</v>
      </c>
      <c r="E252" s="11" t="s">
        <v>13</v>
      </c>
    </row>
    <row r="253">
      <c r="B253" s="62" t="s">
        <v>3068</v>
      </c>
      <c r="C253" s="45" t="s">
        <v>166</v>
      </c>
      <c r="D253" s="62" t="s">
        <v>3067</v>
      </c>
      <c r="E253" s="11" t="s">
        <v>9</v>
      </c>
    </row>
    <row r="254">
      <c r="B254" s="61" t="s">
        <v>2425</v>
      </c>
      <c r="C254" s="45" t="s">
        <v>218</v>
      </c>
      <c r="D254" s="62" t="s">
        <v>3066</v>
      </c>
      <c r="E254" s="11" t="s">
        <v>13</v>
      </c>
    </row>
    <row r="255">
      <c r="B255" s="62" t="s">
        <v>3066</v>
      </c>
      <c r="C255" s="45" t="s">
        <v>18</v>
      </c>
      <c r="D255" s="62" t="s">
        <v>3065</v>
      </c>
      <c r="E255" s="11" t="s">
        <v>9</v>
      </c>
    </row>
    <row r="256">
      <c r="B256" s="61" t="s">
        <v>2425</v>
      </c>
      <c r="C256" s="45" t="s">
        <v>162</v>
      </c>
      <c r="D256" s="62" t="s">
        <v>3067</v>
      </c>
      <c r="E256" s="11" t="s">
        <v>13</v>
      </c>
    </row>
    <row r="257">
      <c r="B257" s="62" t="s">
        <v>3065</v>
      </c>
      <c r="C257" s="45" t="s">
        <v>19</v>
      </c>
      <c r="D257" s="62" t="s">
        <v>3068</v>
      </c>
      <c r="E257" s="11" t="s">
        <v>9</v>
      </c>
    </row>
    <row r="258">
      <c r="B258" s="62" t="s">
        <v>3066</v>
      </c>
      <c r="C258" s="45" t="s">
        <v>177</v>
      </c>
      <c r="D258" s="62" t="s">
        <v>3067</v>
      </c>
      <c r="E258" s="11" t="s">
        <v>13</v>
      </c>
    </row>
    <row r="259">
      <c r="B259" s="61" t="s">
        <v>2425</v>
      </c>
      <c r="C259" s="45" t="s">
        <v>443</v>
      </c>
      <c r="D259" s="62" t="s">
        <v>3068</v>
      </c>
      <c r="E259" s="11" t="s">
        <v>9</v>
      </c>
    </row>
    <row r="260">
      <c r="B260" s="62" t="s">
        <v>3065</v>
      </c>
      <c r="C260" s="45" t="s">
        <v>3069</v>
      </c>
      <c r="D260" s="62" t="s">
        <v>3067</v>
      </c>
      <c r="E260" s="11" t="s">
        <v>13</v>
      </c>
    </row>
    <row r="261">
      <c r="B261" s="62" t="s">
        <v>3066</v>
      </c>
      <c r="C261" s="45" t="s">
        <v>23</v>
      </c>
      <c r="D261" s="62" t="s">
        <v>3068</v>
      </c>
      <c r="E261" s="11" t="s">
        <v>9</v>
      </c>
    </row>
    <row r="262">
      <c r="B262" s="62" t="s">
        <v>3065</v>
      </c>
      <c r="C262" s="45" t="s">
        <v>229</v>
      </c>
      <c r="D262" s="61" t="s">
        <v>2425</v>
      </c>
      <c r="E262" s="11" t="s">
        <v>13</v>
      </c>
    </row>
    <row r="263">
      <c r="B263" s="62" t="s">
        <v>3067</v>
      </c>
      <c r="C263" s="45" t="s">
        <v>977</v>
      </c>
      <c r="D263" s="62" t="s">
        <v>3068</v>
      </c>
      <c r="E263" s="11" t="s">
        <v>9</v>
      </c>
    </row>
    <row r="264">
      <c r="B264" s="62" t="s">
        <v>3066</v>
      </c>
      <c r="C264" s="45" t="s">
        <v>158</v>
      </c>
      <c r="D264" s="61" t="s">
        <v>2425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2626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2183</v>
      </c>
      <c r="C3" s="45" t="s">
        <v>218</v>
      </c>
      <c r="D3" s="62" t="s">
        <v>2938</v>
      </c>
      <c r="E3" s="33" t="s">
        <v>9</v>
      </c>
    </row>
    <row r="4">
      <c r="A4" s="90"/>
      <c r="B4" s="62" t="s">
        <v>3070</v>
      </c>
      <c r="C4" s="45" t="s">
        <v>250</v>
      </c>
      <c r="D4" s="61" t="s">
        <v>1833</v>
      </c>
      <c r="E4" s="33" t="s">
        <v>13</v>
      </c>
    </row>
    <row r="5">
      <c r="A5" s="90"/>
      <c r="B5" s="62" t="s">
        <v>2394</v>
      </c>
      <c r="C5" s="45" t="s">
        <v>342</v>
      </c>
      <c r="D5" s="62" t="s">
        <v>2183</v>
      </c>
      <c r="E5" s="33" t="s">
        <v>9</v>
      </c>
    </row>
    <row r="6">
      <c r="A6" s="90"/>
      <c r="B6" s="62" t="s">
        <v>3070</v>
      </c>
      <c r="C6" s="45" t="s">
        <v>324</v>
      </c>
      <c r="D6" s="62" t="s">
        <v>2938</v>
      </c>
      <c r="E6" s="33" t="s">
        <v>13</v>
      </c>
    </row>
    <row r="7">
      <c r="A7" s="90"/>
      <c r="B7" s="62" t="s">
        <v>2394</v>
      </c>
      <c r="C7" s="45" t="s">
        <v>640</v>
      </c>
      <c r="D7" s="61" t="s">
        <v>1833</v>
      </c>
      <c r="E7" s="33" t="s">
        <v>9</v>
      </c>
    </row>
    <row r="8">
      <c r="A8" s="90"/>
      <c r="B8" s="62" t="s">
        <v>3070</v>
      </c>
      <c r="C8" s="45" t="s">
        <v>362</v>
      </c>
      <c r="D8" s="62" t="s">
        <v>2183</v>
      </c>
      <c r="E8" s="33" t="s">
        <v>13</v>
      </c>
    </row>
    <row r="9">
      <c r="A9" s="90"/>
      <c r="B9" s="62" t="s">
        <v>2394</v>
      </c>
      <c r="C9" s="45" t="s">
        <v>351</v>
      </c>
      <c r="D9" s="62" t="s">
        <v>2938</v>
      </c>
      <c r="E9" s="33" t="s">
        <v>9</v>
      </c>
    </row>
    <row r="10">
      <c r="A10" s="90"/>
      <c r="B10" s="61" t="s">
        <v>1833</v>
      </c>
      <c r="C10" s="45" t="s">
        <v>303</v>
      </c>
      <c r="D10" s="62" t="s">
        <v>2183</v>
      </c>
      <c r="E10" s="33" t="s">
        <v>13</v>
      </c>
    </row>
    <row r="11">
      <c r="A11" s="90"/>
      <c r="B11" s="62" t="s">
        <v>2394</v>
      </c>
      <c r="C11" s="45" t="s">
        <v>433</v>
      </c>
      <c r="D11" s="62" t="s">
        <v>3070</v>
      </c>
      <c r="E11" s="33" t="s">
        <v>9</v>
      </c>
    </row>
    <row r="12">
      <c r="A12" s="90"/>
      <c r="B12" s="61" t="s">
        <v>1833</v>
      </c>
      <c r="C12" s="45" t="s">
        <v>278</v>
      </c>
      <c r="D12" s="62" t="s">
        <v>2938</v>
      </c>
      <c r="E12" s="33" t="s">
        <v>13</v>
      </c>
    </row>
    <row r="13">
      <c r="A13" s="90"/>
      <c r="B13" s="62" t="s">
        <v>2938</v>
      </c>
      <c r="C13" s="45" t="s">
        <v>196</v>
      </c>
      <c r="D13" s="62" t="s">
        <v>2183</v>
      </c>
      <c r="E13" s="33" t="s">
        <v>9</v>
      </c>
    </row>
    <row r="14">
      <c r="A14" s="90"/>
      <c r="B14" s="61" t="s">
        <v>1833</v>
      </c>
      <c r="C14" s="45" t="s">
        <v>232</v>
      </c>
      <c r="D14" s="62" t="s">
        <v>3070</v>
      </c>
      <c r="E14" s="33" t="s">
        <v>13</v>
      </c>
    </row>
    <row r="15">
      <c r="A15" s="90"/>
      <c r="B15" s="62" t="s">
        <v>2183</v>
      </c>
      <c r="C15" s="45" t="s">
        <v>41</v>
      </c>
      <c r="D15" s="62" t="s">
        <v>2394</v>
      </c>
      <c r="E15" s="33" t="s">
        <v>9</v>
      </c>
    </row>
    <row r="16">
      <c r="A16" s="90"/>
      <c r="B16" s="62" t="s">
        <v>2938</v>
      </c>
      <c r="C16" s="45" t="s">
        <v>18</v>
      </c>
      <c r="D16" s="62" t="s">
        <v>3070</v>
      </c>
      <c r="E16" s="33" t="s">
        <v>13</v>
      </c>
    </row>
    <row r="17">
      <c r="A17" s="90"/>
      <c r="B17" s="61" t="s">
        <v>1833</v>
      </c>
      <c r="C17" s="45" t="s">
        <v>245</v>
      </c>
      <c r="D17" s="62" t="s">
        <v>2394</v>
      </c>
      <c r="E17" s="33" t="s">
        <v>9</v>
      </c>
    </row>
    <row r="18">
      <c r="A18" s="90"/>
      <c r="B18" s="62" t="s">
        <v>2183</v>
      </c>
      <c r="C18" s="45" t="s">
        <v>20</v>
      </c>
      <c r="D18" s="62" t="s">
        <v>3070</v>
      </c>
      <c r="E18" s="33" t="s">
        <v>13</v>
      </c>
    </row>
    <row r="19">
      <c r="A19" s="90"/>
      <c r="B19" s="62" t="s">
        <v>2938</v>
      </c>
      <c r="C19" s="45" t="s">
        <v>19</v>
      </c>
      <c r="D19" s="62" t="s">
        <v>2394</v>
      </c>
      <c r="E19" s="33" t="s">
        <v>9</v>
      </c>
    </row>
    <row r="20">
      <c r="A20" s="90"/>
      <c r="B20" s="62" t="s">
        <v>2183</v>
      </c>
      <c r="C20" s="45" t="s">
        <v>34</v>
      </c>
      <c r="D20" s="61" t="s">
        <v>1833</v>
      </c>
      <c r="E20" s="33" t="s">
        <v>13</v>
      </c>
    </row>
    <row r="21">
      <c r="A21" s="90"/>
      <c r="B21" s="62" t="s">
        <v>3070</v>
      </c>
      <c r="C21" s="45" t="s">
        <v>225</v>
      </c>
      <c r="D21" s="62" t="s">
        <v>2394</v>
      </c>
      <c r="E21" s="33" t="s">
        <v>9</v>
      </c>
    </row>
    <row r="22">
      <c r="A22" s="90"/>
      <c r="B22" s="62" t="s">
        <v>2938</v>
      </c>
      <c r="C22" s="45" t="s">
        <v>208</v>
      </c>
      <c r="D22" s="61" t="s">
        <v>1833</v>
      </c>
      <c r="E22" s="33" t="s">
        <v>13</v>
      </c>
    </row>
    <row r="23">
      <c r="A23" s="90"/>
      <c r="B23" s="96" t="s">
        <v>2685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3071</v>
      </c>
      <c r="C25" s="45" t="s">
        <v>219</v>
      </c>
      <c r="D25" s="62" t="s">
        <v>2971</v>
      </c>
      <c r="E25" s="11" t="s">
        <v>9</v>
      </c>
    </row>
    <row r="26">
      <c r="A26" s="90"/>
      <c r="B26" s="62" t="s">
        <v>3072</v>
      </c>
      <c r="C26" s="45" t="s">
        <v>477</v>
      </c>
      <c r="D26" s="61" t="s">
        <v>3073</v>
      </c>
      <c r="E26" s="11" t="s">
        <v>13</v>
      </c>
    </row>
    <row r="27">
      <c r="A27" s="90"/>
      <c r="B27" s="62" t="s">
        <v>1569</v>
      </c>
      <c r="C27" s="45" t="s">
        <v>208</v>
      </c>
      <c r="D27" s="62" t="s">
        <v>3071</v>
      </c>
      <c r="E27" s="11" t="s">
        <v>9</v>
      </c>
    </row>
    <row r="28">
      <c r="A28" s="90"/>
      <c r="B28" s="62" t="s">
        <v>3072</v>
      </c>
      <c r="C28" s="45" t="s">
        <v>250</v>
      </c>
      <c r="D28" s="62" t="s">
        <v>2971</v>
      </c>
      <c r="E28" s="11" t="s">
        <v>13</v>
      </c>
    </row>
    <row r="29">
      <c r="A29" s="90"/>
      <c r="B29" s="62" t="s">
        <v>1569</v>
      </c>
      <c r="C29" s="45" t="s">
        <v>209</v>
      </c>
      <c r="D29" s="61" t="s">
        <v>3073</v>
      </c>
      <c r="E29" s="11" t="s">
        <v>9</v>
      </c>
    </row>
    <row r="30">
      <c r="A30" s="90"/>
      <c r="B30" s="62" t="s">
        <v>3072</v>
      </c>
      <c r="C30" s="45" t="s">
        <v>744</v>
      </c>
      <c r="D30" s="62" t="s">
        <v>3071</v>
      </c>
      <c r="E30" s="11" t="s">
        <v>13</v>
      </c>
    </row>
    <row r="31">
      <c r="A31" s="90"/>
      <c r="B31" s="62" t="s">
        <v>1569</v>
      </c>
      <c r="C31" s="45" t="s">
        <v>292</v>
      </c>
      <c r="D31" s="62" t="s">
        <v>2971</v>
      </c>
      <c r="E31" s="11" t="s">
        <v>9</v>
      </c>
    </row>
    <row r="32">
      <c r="A32" s="90"/>
      <c r="B32" s="61" t="s">
        <v>3073</v>
      </c>
      <c r="C32" s="45" t="s">
        <v>256</v>
      </c>
      <c r="D32" s="62" t="s">
        <v>3071</v>
      </c>
      <c r="E32" s="11" t="s">
        <v>13</v>
      </c>
    </row>
    <row r="33">
      <c r="A33" s="90"/>
      <c r="B33" s="62" t="s">
        <v>1569</v>
      </c>
      <c r="C33" s="45" t="s">
        <v>162</v>
      </c>
      <c r="D33" s="62" t="s">
        <v>3072</v>
      </c>
      <c r="E33" s="11" t="s">
        <v>9</v>
      </c>
    </row>
    <row r="34">
      <c r="A34" s="90"/>
      <c r="B34" s="61" t="s">
        <v>3073</v>
      </c>
      <c r="C34" s="45" t="s">
        <v>251</v>
      </c>
      <c r="D34" s="62" t="s">
        <v>2971</v>
      </c>
      <c r="E34" s="11" t="s">
        <v>13</v>
      </c>
    </row>
    <row r="35">
      <c r="A35" s="90"/>
      <c r="B35" s="62" t="s">
        <v>2971</v>
      </c>
      <c r="C35" s="45" t="s">
        <v>162</v>
      </c>
      <c r="D35" s="62" t="s">
        <v>3071</v>
      </c>
      <c r="E35" s="11" t="s">
        <v>9</v>
      </c>
    </row>
    <row r="36">
      <c r="A36" s="90"/>
      <c r="B36" s="61" t="s">
        <v>3073</v>
      </c>
      <c r="C36" s="45" t="s">
        <v>425</v>
      </c>
      <c r="D36" s="62" t="s">
        <v>3072</v>
      </c>
      <c r="E36" s="11" t="s">
        <v>13</v>
      </c>
    </row>
    <row r="37">
      <c r="A37" s="90"/>
      <c r="B37" s="62" t="s">
        <v>3071</v>
      </c>
      <c r="C37" s="45" t="s">
        <v>366</v>
      </c>
      <c r="D37" s="62" t="s">
        <v>1569</v>
      </c>
      <c r="E37" s="11" t="s">
        <v>9</v>
      </c>
    </row>
    <row r="38">
      <c r="A38" s="90"/>
      <c r="B38" s="62" t="s">
        <v>2971</v>
      </c>
      <c r="C38" s="45" t="s">
        <v>14</v>
      </c>
      <c r="D38" s="62" t="s">
        <v>3072</v>
      </c>
      <c r="E38" s="11" t="s">
        <v>13</v>
      </c>
    </row>
    <row r="39">
      <c r="A39" s="90"/>
      <c r="B39" s="61" t="s">
        <v>3073</v>
      </c>
      <c r="C39" s="45" t="s">
        <v>3046</v>
      </c>
      <c r="D39" s="62" t="s">
        <v>1569</v>
      </c>
      <c r="E39" s="11" t="s">
        <v>9</v>
      </c>
    </row>
    <row r="40">
      <c r="A40" s="90"/>
      <c r="B40" s="62" t="s">
        <v>3071</v>
      </c>
      <c r="C40" s="45" t="s">
        <v>688</v>
      </c>
      <c r="D40" s="62" t="s">
        <v>3072</v>
      </c>
      <c r="E40" s="11" t="s">
        <v>13</v>
      </c>
    </row>
    <row r="41">
      <c r="A41" s="90"/>
      <c r="B41" s="62" t="s">
        <v>2971</v>
      </c>
      <c r="C41" s="45" t="s">
        <v>162</v>
      </c>
      <c r="D41" s="62" t="s">
        <v>1569</v>
      </c>
      <c r="E41" s="11" t="s">
        <v>9</v>
      </c>
    </row>
    <row r="42">
      <c r="A42" s="90"/>
      <c r="B42" s="62" t="s">
        <v>3071</v>
      </c>
      <c r="C42" s="45" t="s">
        <v>352</v>
      </c>
      <c r="D42" s="61" t="s">
        <v>3073</v>
      </c>
      <c r="E42" s="11" t="s">
        <v>13</v>
      </c>
    </row>
    <row r="43">
      <c r="A43" s="90"/>
      <c r="B43" s="62" t="s">
        <v>3072</v>
      </c>
      <c r="C43" s="45" t="s">
        <v>16</v>
      </c>
      <c r="D43" s="62" t="s">
        <v>1569</v>
      </c>
      <c r="E43" s="11" t="s">
        <v>9</v>
      </c>
    </row>
    <row r="44">
      <c r="A44" s="91"/>
      <c r="B44" s="62" t="s">
        <v>2971</v>
      </c>
      <c r="C44" s="45" t="s">
        <v>20</v>
      </c>
      <c r="D44" s="61" t="s">
        <v>3073</v>
      </c>
      <c r="E44" s="11" t="s">
        <v>13</v>
      </c>
    </row>
    <row r="45">
      <c r="B45" s="96" t="s">
        <v>3074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2433</v>
      </c>
      <c r="C47" s="45" t="s">
        <v>173</v>
      </c>
      <c r="D47" s="62" t="s">
        <v>642</v>
      </c>
      <c r="E47" s="11" t="s">
        <v>9</v>
      </c>
    </row>
    <row r="48">
      <c r="B48" s="62" t="s">
        <v>1158</v>
      </c>
      <c r="C48" s="45" t="s">
        <v>24</v>
      </c>
      <c r="D48" s="61" t="s">
        <v>3075</v>
      </c>
      <c r="E48" s="11" t="s">
        <v>13</v>
      </c>
    </row>
    <row r="49">
      <c r="B49" s="62" t="s">
        <v>1112</v>
      </c>
      <c r="C49" s="45" t="s">
        <v>940</v>
      </c>
      <c r="D49" s="62" t="s">
        <v>2433</v>
      </c>
      <c r="E49" s="11" t="s">
        <v>9</v>
      </c>
    </row>
    <row r="50">
      <c r="B50" s="62" t="s">
        <v>1158</v>
      </c>
      <c r="C50" s="45" t="s">
        <v>196</v>
      </c>
      <c r="D50" s="62" t="s">
        <v>642</v>
      </c>
      <c r="E50" s="11" t="s">
        <v>13</v>
      </c>
    </row>
    <row r="51">
      <c r="B51" s="62" t="s">
        <v>1112</v>
      </c>
      <c r="C51" s="45" t="s">
        <v>158</v>
      </c>
      <c r="D51" s="61" t="s">
        <v>3075</v>
      </c>
      <c r="E51" s="11" t="s">
        <v>9</v>
      </c>
    </row>
    <row r="52">
      <c r="B52" s="62" t="s">
        <v>1158</v>
      </c>
      <c r="C52" s="45" t="s">
        <v>289</v>
      </c>
      <c r="D52" s="62" t="s">
        <v>2433</v>
      </c>
      <c r="E52" s="11" t="s">
        <v>13</v>
      </c>
    </row>
    <row r="53">
      <c r="B53" s="62" t="s">
        <v>1112</v>
      </c>
      <c r="C53" s="45" t="s">
        <v>14</v>
      </c>
      <c r="D53" s="62" t="s">
        <v>642</v>
      </c>
      <c r="E53" s="11" t="s">
        <v>9</v>
      </c>
    </row>
    <row r="54">
      <c r="B54" s="61" t="s">
        <v>3075</v>
      </c>
      <c r="C54" s="45" t="s">
        <v>157</v>
      </c>
      <c r="D54" s="62" t="s">
        <v>2433</v>
      </c>
      <c r="E54" s="11" t="s">
        <v>13</v>
      </c>
    </row>
    <row r="55">
      <c r="B55" s="62" t="s">
        <v>1112</v>
      </c>
      <c r="C55" s="45" t="s">
        <v>324</v>
      </c>
      <c r="D55" s="62" t="s">
        <v>1158</v>
      </c>
      <c r="E55" s="11" t="s">
        <v>9</v>
      </c>
    </row>
    <row r="56">
      <c r="B56" s="61" t="s">
        <v>3075</v>
      </c>
      <c r="C56" s="45" t="s">
        <v>442</v>
      </c>
      <c r="D56" s="62" t="s">
        <v>642</v>
      </c>
      <c r="E56" s="11" t="s">
        <v>13</v>
      </c>
    </row>
    <row r="57">
      <c r="B57" s="62" t="s">
        <v>642</v>
      </c>
      <c r="C57" s="45" t="s">
        <v>182</v>
      </c>
      <c r="D57" s="62" t="s">
        <v>2433</v>
      </c>
      <c r="E57" s="11" t="s">
        <v>9</v>
      </c>
    </row>
    <row r="58">
      <c r="B58" s="61" t="s">
        <v>3075</v>
      </c>
      <c r="C58" s="45" t="s">
        <v>513</v>
      </c>
      <c r="D58" s="62" t="s">
        <v>1158</v>
      </c>
      <c r="E58" s="11" t="s">
        <v>13</v>
      </c>
    </row>
    <row r="59">
      <c r="B59" s="62" t="s">
        <v>2433</v>
      </c>
      <c r="C59" s="45" t="s">
        <v>209</v>
      </c>
      <c r="D59" s="62" t="s">
        <v>1112</v>
      </c>
      <c r="E59" s="11" t="s">
        <v>9</v>
      </c>
    </row>
    <row r="60">
      <c r="B60" s="62" t="s">
        <v>642</v>
      </c>
      <c r="C60" s="45" t="s">
        <v>442</v>
      </c>
      <c r="D60" s="62" t="s">
        <v>1158</v>
      </c>
      <c r="E60" s="11" t="s">
        <v>13</v>
      </c>
    </row>
    <row r="61">
      <c r="B61" s="61" t="s">
        <v>3075</v>
      </c>
      <c r="C61" s="45" t="s">
        <v>357</v>
      </c>
      <c r="D61" s="62" t="s">
        <v>1112</v>
      </c>
      <c r="E61" s="11" t="s">
        <v>9</v>
      </c>
    </row>
    <row r="62">
      <c r="B62" s="62" t="s">
        <v>2433</v>
      </c>
      <c r="C62" s="45" t="s">
        <v>20</v>
      </c>
      <c r="D62" s="62" t="s">
        <v>1158</v>
      </c>
      <c r="E62" s="11" t="s">
        <v>13</v>
      </c>
    </row>
    <row r="63">
      <c r="B63" s="62" t="s">
        <v>642</v>
      </c>
      <c r="C63" s="45" t="s">
        <v>248</v>
      </c>
      <c r="D63" s="62" t="s">
        <v>1112</v>
      </c>
      <c r="E63" s="11" t="s">
        <v>9</v>
      </c>
    </row>
    <row r="64">
      <c r="B64" s="62" t="s">
        <v>2433</v>
      </c>
      <c r="C64" s="45" t="s">
        <v>21</v>
      </c>
      <c r="D64" s="61" t="s">
        <v>3075</v>
      </c>
      <c r="E64" s="11" t="s">
        <v>13</v>
      </c>
    </row>
    <row r="65">
      <c r="B65" s="62" t="s">
        <v>1158</v>
      </c>
      <c r="C65" s="45" t="s">
        <v>302</v>
      </c>
      <c r="D65" s="62" t="s">
        <v>1112</v>
      </c>
      <c r="E65" s="11" t="s">
        <v>9</v>
      </c>
    </row>
    <row r="66">
      <c r="B66" s="62" t="s">
        <v>642</v>
      </c>
      <c r="C66" s="45" t="s">
        <v>166</v>
      </c>
      <c r="D66" s="61" t="s">
        <v>3075</v>
      </c>
      <c r="E66" s="11" t="s">
        <v>13</v>
      </c>
    </row>
    <row r="67">
      <c r="B67" s="96" t="s">
        <v>2410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1604</v>
      </c>
      <c r="C69" s="45" t="s">
        <v>375</v>
      </c>
      <c r="D69" s="62" t="s">
        <v>1529</v>
      </c>
      <c r="E69" s="11" t="s">
        <v>9</v>
      </c>
    </row>
    <row r="70">
      <c r="B70" s="62" t="s">
        <v>2663</v>
      </c>
      <c r="C70" s="45" t="s">
        <v>2360</v>
      </c>
      <c r="D70" s="61" t="s">
        <v>1667</v>
      </c>
      <c r="E70" s="11" t="s">
        <v>13</v>
      </c>
    </row>
    <row r="71">
      <c r="B71" s="62" t="s">
        <v>3076</v>
      </c>
      <c r="C71" s="45" t="s">
        <v>14</v>
      </c>
      <c r="D71" s="62" t="s">
        <v>1604</v>
      </c>
      <c r="E71" s="11" t="s">
        <v>9</v>
      </c>
    </row>
    <row r="72">
      <c r="B72" s="62" t="s">
        <v>2663</v>
      </c>
      <c r="C72" s="45" t="s">
        <v>22</v>
      </c>
      <c r="D72" s="62" t="s">
        <v>1529</v>
      </c>
      <c r="E72" s="11" t="s">
        <v>13</v>
      </c>
    </row>
    <row r="73">
      <c r="B73" s="62" t="s">
        <v>3076</v>
      </c>
      <c r="C73" s="45" t="s">
        <v>220</v>
      </c>
      <c r="D73" s="61" t="s">
        <v>1667</v>
      </c>
      <c r="E73" s="11" t="s">
        <v>9</v>
      </c>
    </row>
    <row r="74">
      <c r="B74" s="62" t="s">
        <v>2663</v>
      </c>
      <c r="C74" s="45" t="s">
        <v>219</v>
      </c>
      <c r="D74" s="62" t="s">
        <v>1604</v>
      </c>
      <c r="E74" s="11" t="s">
        <v>13</v>
      </c>
    </row>
    <row r="75">
      <c r="B75" s="62" t="s">
        <v>3076</v>
      </c>
      <c r="C75" s="45" t="s">
        <v>3077</v>
      </c>
      <c r="D75" s="62" t="s">
        <v>1529</v>
      </c>
      <c r="E75" s="11" t="s">
        <v>9</v>
      </c>
    </row>
    <row r="76">
      <c r="B76" s="61" t="s">
        <v>1667</v>
      </c>
      <c r="C76" s="45" t="s">
        <v>208</v>
      </c>
      <c r="D76" s="62" t="s">
        <v>1604</v>
      </c>
      <c r="E76" s="11" t="s">
        <v>13</v>
      </c>
    </row>
    <row r="77">
      <c r="B77" s="62" t="s">
        <v>3076</v>
      </c>
      <c r="C77" s="45" t="s">
        <v>42</v>
      </c>
      <c r="D77" s="62" t="s">
        <v>2663</v>
      </c>
      <c r="E77" s="11" t="s">
        <v>9</v>
      </c>
    </row>
    <row r="78">
      <c r="B78" s="61" t="s">
        <v>1667</v>
      </c>
      <c r="C78" s="45" t="s">
        <v>20</v>
      </c>
      <c r="D78" s="62" t="s">
        <v>1529</v>
      </c>
      <c r="E78" s="11" t="s">
        <v>13</v>
      </c>
    </row>
    <row r="79">
      <c r="B79" s="62" t="s">
        <v>1529</v>
      </c>
      <c r="C79" s="45" t="s">
        <v>230</v>
      </c>
      <c r="D79" s="62" t="s">
        <v>1604</v>
      </c>
      <c r="E79" s="11" t="s">
        <v>9</v>
      </c>
    </row>
    <row r="80">
      <c r="B80" s="61" t="s">
        <v>1667</v>
      </c>
      <c r="C80" s="45" t="s">
        <v>210</v>
      </c>
      <c r="D80" s="62" t="s">
        <v>2663</v>
      </c>
      <c r="E80" s="11" t="s">
        <v>13</v>
      </c>
    </row>
    <row r="81">
      <c r="B81" s="62" t="s">
        <v>1604</v>
      </c>
      <c r="C81" s="45" t="s">
        <v>352</v>
      </c>
      <c r="D81" s="62" t="s">
        <v>3076</v>
      </c>
      <c r="E81" s="11" t="s">
        <v>9</v>
      </c>
    </row>
    <row r="82">
      <c r="B82" s="62" t="s">
        <v>1529</v>
      </c>
      <c r="C82" s="45" t="s">
        <v>19</v>
      </c>
      <c r="D82" s="62" t="s">
        <v>2663</v>
      </c>
      <c r="E82" s="11" t="s">
        <v>13</v>
      </c>
    </row>
    <row r="83">
      <c r="B83" s="61" t="s">
        <v>1667</v>
      </c>
      <c r="C83" s="45" t="s">
        <v>158</v>
      </c>
      <c r="D83" s="62" t="s">
        <v>3076</v>
      </c>
      <c r="E83" s="11" t="s">
        <v>9</v>
      </c>
    </row>
    <row r="84">
      <c r="B84" s="62" t="s">
        <v>1604</v>
      </c>
      <c r="C84" s="45" t="s">
        <v>248</v>
      </c>
      <c r="D84" s="62" t="s">
        <v>2663</v>
      </c>
      <c r="E84" s="11" t="s">
        <v>13</v>
      </c>
    </row>
    <row r="85">
      <c r="B85" s="62" t="s">
        <v>1529</v>
      </c>
      <c r="C85" s="45" t="s">
        <v>163</v>
      </c>
      <c r="D85" s="62" t="s">
        <v>3076</v>
      </c>
      <c r="E85" s="11" t="s">
        <v>9</v>
      </c>
    </row>
    <row r="86">
      <c r="B86" s="62" t="s">
        <v>1604</v>
      </c>
      <c r="C86" s="45" t="s">
        <v>888</v>
      </c>
      <c r="D86" s="61" t="s">
        <v>1667</v>
      </c>
      <c r="E86" s="11" t="s">
        <v>13</v>
      </c>
    </row>
    <row r="87">
      <c r="B87" s="62" t="s">
        <v>2663</v>
      </c>
      <c r="C87" s="45" t="s">
        <v>248</v>
      </c>
      <c r="D87" s="62" t="s">
        <v>3076</v>
      </c>
      <c r="E87" s="11" t="s">
        <v>9</v>
      </c>
    </row>
    <row r="88">
      <c r="B88" s="62" t="s">
        <v>1529</v>
      </c>
      <c r="C88" s="45" t="s">
        <v>173</v>
      </c>
      <c r="D88" s="61" t="s">
        <v>1667</v>
      </c>
      <c r="E88" s="11" t="s">
        <v>13</v>
      </c>
    </row>
    <row r="89">
      <c r="B89" s="96" t="s">
        <v>2919</v>
      </c>
      <c r="C89" s="2"/>
      <c r="D89" s="3"/>
      <c r="E89" s="107"/>
    </row>
    <row r="90">
      <c r="B90" s="108" t="s">
        <v>2</v>
      </c>
      <c r="C90" s="109" t="s">
        <v>3</v>
      </c>
      <c r="D90" s="109" t="s">
        <v>4</v>
      </c>
      <c r="E90" s="109" t="s">
        <v>5</v>
      </c>
    </row>
    <row r="91">
      <c r="B91" s="110" t="s">
        <v>692</v>
      </c>
      <c r="C91" s="111" t="s">
        <v>222</v>
      </c>
      <c r="D91" s="112" t="s">
        <v>2123</v>
      </c>
      <c r="E91" s="33" t="s">
        <v>29</v>
      </c>
    </row>
    <row r="92">
      <c r="B92" s="110" t="s">
        <v>2815</v>
      </c>
      <c r="C92" s="111" t="s">
        <v>24</v>
      </c>
      <c r="D92" s="112" t="s">
        <v>2367</v>
      </c>
      <c r="E92" s="33" t="s">
        <v>33</v>
      </c>
    </row>
    <row r="93">
      <c r="B93" s="110" t="s">
        <v>3078</v>
      </c>
      <c r="C93" s="111" t="s">
        <v>195</v>
      </c>
      <c r="D93" s="112" t="s">
        <v>692</v>
      </c>
      <c r="E93" s="33" t="s">
        <v>29</v>
      </c>
    </row>
    <row r="94">
      <c r="B94" s="110" t="s">
        <v>2815</v>
      </c>
      <c r="C94" s="111" t="s">
        <v>3079</v>
      </c>
      <c r="D94" s="112" t="s">
        <v>2123</v>
      </c>
      <c r="E94" s="33" t="s">
        <v>33</v>
      </c>
    </row>
    <row r="95">
      <c r="B95" s="110" t="s">
        <v>3078</v>
      </c>
      <c r="C95" s="111" t="s">
        <v>375</v>
      </c>
      <c r="D95" s="112" t="s">
        <v>2367</v>
      </c>
      <c r="E95" s="33" t="s">
        <v>29</v>
      </c>
    </row>
    <row r="96">
      <c r="B96" s="110" t="s">
        <v>2815</v>
      </c>
      <c r="C96" s="111" t="s">
        <v>176</v>
      </c>
      <c r="D96" s="112" t="s">
        <v>692</v>
      </c>
      <c r="E96" s="33" t="s">
        <v>33</v>
      </c>
    </row>
    <row r="97">
      <c r="B97" s="110" t="s">
        <v>3078</v>
      </c>
      <c r="C97" s="111" t="s">
        <v>301</v>
      </c>
      <c r="D97" s="112" t="s">
        <v>2123</v>
      </c>
      <c r="E97" s="33" t="s">
        <v>29</v>
      </c>
    </row>
    <row r="98">
      <c r="B98" s="110" t="s">
        <v>2367</v>
      </c>
      <c r="C98" s="111" t="s">
        <v>43</v>
      </c>
      <c r="D98" s="112" t="s">
        <v>692</v>
      </c>
      <c r="E98" s="33" t="s">
        <v>33</v>
      </c>
    </row>
    <row r="99">
      <c r="B99" s="110" t="s">
        <v>3078</v>
      </c>
      <c r="C99" s="111" t="s">
        <v>426</v>
      </c>
      <c r="D99" s="112" t="s">
        <v>2815</v>
      </c>
      <c r="E99" s="33" t="s">
        <v>29</v>
      </c>
    </row>
    <row r="100">
      <c r="B100" s="110" t="s">
        <v>2367</v>
      </c>
      <c r="C100" s="111" t="s">
        <v>7</v>
      </c>
      <c r="D100" s="112" t="s">
        <v>2123</v>
      </c>
      <c r="E100" s="33" t="s">
        <v>33</v>
      </c>
    </row>
    <row r="101">
      <c r="B101" s="110" t="s">
        <v>2123</v>
      </c>
      <c r="C101" s="111" t="s">
        <v>882</v>
      </c>
      <c r="D101" s="112" t="s">
        <v>692</v>
      </c>
      <c r="E101" s="33" t="s">
        <v>29</v>
      </c>
    </row>
    <row r="102">
      <c r="B102" s="110" t="s">
        <v>2367</v>
      </c>
      <c r="C102" s="111" t="s">
        <v>203</v>
      </c>
      <c r="D102" s="112" t="s">
        <v>2815</v>
      </c>
      <c r="E102" s="33" t="s">
        <v>33</v>
      </c>
    </row>
    <row r="103">
      <c r="B103" s="110" t="s">
        <v>692</v>
      </c>
      <c r="C103" s="111" t="s">
        <v>419</v>
      </c>
      <c r="D103" s="110" t="s">
        <v>3078</v>
      </c>
      <c r="E103" s="33" t="s">
        <v>29</v>
      </c>
    </row>
    <row r="104">
      <c r="B104" s="110" t="s">
        <v>2123</v>
      </c>
      <c r="C104" s="111" t="s">
        <v>184</v>
      </c>
      <c r="D104" s="112" t="s">
        <v>2815</v>
      </c>
      <c r="E104" s="33" t="s">
        <v>33</v>
      </c>
    </row>
    <row r="105">
      <c r="B105" s="110" t="s">
        <v>2367</v>
      </c>
      <c r="C105" s="111" t="s">
        <v>219</v>
      </c>
      <c r="D105" s="110" t="s">
        <v>3078</v>
      </c>
      <c r="E105" s="33" t="s">
        <v>29</v>
      </c>
    </row>
    <row r="106">
      <c r="B106" s="110" t="s">
        <v>692</v>
      </c>
      <c r="C106" s="111" t="s">
        <v>433</v>
      </c>
      <c r="D106" s="112" t="s">
        <v>2815</v>
      </c>
      <c r="E106" s="33" t="s">
        <v>33</v>
      </c>
    </row>
    <row r="107">
      <c r="B107" s="110" t="s">
        <v>2123</v>
      </c>
      <c r="C107" s="111" t="s">
        <v>1602</v>
      </c>
      <c r="D107" s="110" t="s">
        <v>3078</v>
      </c>
      <c r="E107" s="33" t="s">
        <v>29</v>
      </c>
    </row>
    <row r="108">
      <c r="B108" s="110" t="s">
        <v>692</v>
      </c>
      <c r="C108" s="111" t="s">
        <v>315</v>
      </c>
      <c r="D108" s="112" t="s">
        <v>2367</v>
      </c>
      <c r="E108" s="33" t="s">
        <v>33</v>
      </c>
    </row>
    <row r="109">
      <c r="B109" s="110" t="s">
        <v>2815</v>
      </c>
      <c r="C109" s="111" t="s">
        <v>17</v>
      </c>
      <c r="D109" s="110" t="s">
        <v>3078</v>
      </c>
      <c r="E109" s="33" t="s">
        <v>29</v>
      </c>
    </row>
    <row r="110">
      <c r="B110" s="110" t="s">
        <v>2123</v>
      </c>
      <c r="C110" s="111" t="s">
        <v>271</v>
      </c>
      <c r="D110" s="112" t="s">
        <v>2367</v>
      </c>
      <c r="E110" s="33" t="s">
        <v>33</v>
      </c>
    </row>
    <row r="111">
      <c r="B111" s="96" t="s">
        <v>2741</v>
      </c>
      <c r="C111" s="2"/>
      <c r="D111" s="3"/>
      <c r="E111" s="107"/>
    </row>
    <row r="112">
      <c r="B112" s="108" t="s">
        <v>2</v>
      </c>
      <c r="C112" s="109" t="s">
        <v>3</v>
      </c>
      <c r="D112" s="109" t="s">
        <v>4</v>
      </c>
      <c r="E112" s="109" t="s">
        <v>5</v>
      </c>
    </row>
    <row r="113">
      <c r="B113" s="110" t="s">
        <v>1038</v>
      </c>
      <c r="C113" s="111" t="s">
        <v>210</v>
      </c>
      <c r="D113" s="112" t="s">
        <v>2171</v>
      </c>
      <c r="E113" s="33" t="s">
        <v>29</v>
      </c>
    </row>
    <row r="114">
      <c r="B114" s="110" t="s">
        <v>964</v>
      </c>
      <c r="C114" s="111" t="s">
        <v>165</v>
      </c>
      <c r="D114" s="112" t="s">
        <v>3080</v>
      </c>
      <c r="E114" s="33" t="s">
        <v>33</v>
      </c>
    </row>
    <row r="115">
      <c r="B115" s="110" t="s">
        <v>2824</v>
      </c>
      <c r="C115" s="111" t="s">
        <v>281</v>
      </c>
      <c r="D115" s="112" t="s">
        <v>1038</v>
      </c>
      <c r="E115" s="118" t="s">
        <v>29</v>
      </c>
    </row>
    <row r="116">
      <c r="B116" s="110" t="s">
        <v>964</v>
      </c>
      <c r="C116" s="111" t="s">
        <v>22</v>
      </c>
      <c r="D116" s="112" t="s">
        <v>2171</v>
      </c>
      <c r="E116" s="33" t="s">
        <v>33</v>
      </c>
    </row>
    <row r="117">
      <c r="B117" s="110" t="s">
        <v>2824</v>
      </c>
      <c r="C117" s="111" t="s">
        <v>37</v>
      </c>
      <c r="D117" s="112" t="s">
        <v>3080</v>
      </c>
      <c r="E117" s="118" t="s">
        <v>29</v>
      </c>
    </row>
    <row r="118">
      <c r="B118" s="110" t="s">
        <v>964</v>
      </c>
      <c r="C118" s="111" t="s">
        <v>216</v>
      </c>
      <c r="D118" s="112" t="s">
        <v>1038</v>
      </c>
      <c r="E118" s="33" t="s">
        <v>33</v>
      </c>
    </row>
    <row r="119">
      <c r="B119" s="110" t="s">
        <v>2824</v>
      </c>
      <c r="C119" s="111" t="s">
        <v>18</v>
      </c>
      <c r="D119" s="112" t="s">
        <v>2171</v>
      </c>
      <c r="E119" s="118" t="s">
        <v>29</v>
      </c>
    </row>
    <row r="120">
      <c r="B120" s="110" t="s">
        <v>3080</v>
      </c>
      <c r="C120" s="111" t="s">
        <v>433</v>
      </c>
      <c r="D120" s="112" t="s">
        <v>1038</v>
      </c>
      <c r="E120" s="33" t="s">
        <v>33</v>
      </c>
    </row>
    <row r="121">
      <c r="B121" s="110" t="s">
        <v>2824</v>
      </c>
      <c r="C121" s="111" t="s">
        <v>42</v>
      </c>
      <c r="D121" s="112" t="s">
        <v>964</v>
      </c>
      <c r="E121" s="118" t="s">
        <v>29</v>
      </c>
    </row>
    <row r="122">
      <c r="B122" s="110" t="s">
        <v>3080</v>
      </c>
      <c r="C122" s="111" t="s">
        <v>229</v>
      </c>
      <c r="D122" s="112" t="s">
        <v>2171</v>
      </c>
      <c r="E122" s="33" t="s">
        <v>33</v>
      </c>
      <c r="I122" s="50"/>
    </row>
    <row r="123">
      <c r="B123" s="110" t="s">
        <v>2171</v>
      </c>
      <c r="C123" s="111" t="s">
        <v>291</v>
      </c>
      <c r="D123" s="112" t="s">
        <v>1038</v>
      </c>
      <c r="E123" s="118" t="s">
        <v>29</v>
      </c>
    </row>
    <row r="124">
      <c r="B124" s="110" t="s">
        <v>3080</v>
      </c>
      <c r="C124" s="111" t="s">
        <v>394</v>
      </c>
      <c r="D124" s="112" t="s">
        <v>964</v>
      </c>
      <c r="E124" s="33" t="s">
        <v>33</v>
      </c>
      <c r="I124" s="50"/>
    </row>
    <row r="125">
      <c r="B125" s="110" t="s">
        <v>1038</v>
      </c>
      <c r="C125" s="111" t="s">
        <v>376</v>
      </c>
      <c r="D125" s="110" t="s">
        <v>2824</v>
      </c>
      <c r="E125" s="118" t="s">
        <v>29</v>
      </c>
    </row>
    <row r="126">
      <c r="B126" s="110" t="s">
        <v>2171</v>
      </c>
      <c r="C126" s="111" t="s">
        <v>184</v>
      </c>
      <c r="D126" s="112" t="s">
        <v>964</v>
      </c>
      <c r="E126" s="33" t="s">
        <v>33</v>
      </c>
    </row>
    <row r="127">
      <c r="B127" s="110" t="s">
        <v>3080</v>
      </c>
      <c r="C127" s="111" t="s">
        <v>433</v>
      </c>
      <c r="D127" s="110" t="s">
        <v>2824</v>
      </c>
      <c r="E127" s="118" t="s">
        <v>29</v>
      </c>
    </row>
    <row r="128">
      <c r="B128" s="110" t="s">
        <v>1038</v>
      </c>
      <c r="C128" s="111" t="s">
        <v>311</v>
      </c>
      <c r="D128" s="112" t="s">
        <v>964</v>
      </c>
      <c r="E128" s="33" t="s">
        <v>33</v>
      </c>
    </row>
    <row r="129">
      <c r="B129" s="110" t="s">
        <v>2171</v>
      </c>
      <c r="C129" s="111" t="s">
        <v>227</v>
      </c>
      <c r="D129" s="110" t="s">
        <v>2824</v>
      </c>
      <c r="E129" s="118" t="s">
        <v>29</v>
      </c>
    </row>
    <row r="130">
      <c r="B130" s="110" t="s">
        <v>1038</v>
      </c>
      <c r="C130" s="111" t="s">
        <v>271</v>
      </c>
      <c r="D130" s="112" t="s">
        <v>3080</v>
      </c>
      <c r="E130" s="33" t="s">
        <v>33</v>
      </c>
    </row>
    <row r="131">
      <c r="B131" s="110" t="s">
        <v>964</v>
      </c>
      <c r="C131" s="111" t="s">
        <v>18</v>
      </c>
      <c r="D131" s="110" t="s">
        <v>2824</v>
      </c>
      <c r="E131" s="118" t="s">
        <v>29</v>
      </c>
    </row>
    <row r="132">
      <c r="B132" s="110" t="s">
        <v>2171</v>
      </c>
      <c r="C132" s="111" t="s">
        <v>269</v>
      </c>
      <c r="D132" s="112" t="s">
        <v>3080</v>
      </c>
      <c r="E132" s="33" t="s">
        <v>33</v>
      </c>
    </row>
    <row r="133">
      <c r="B133" s="96" t="s">
        <v>1544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2593</v>
      </c>
      <c r="C135" s="45" t="s">
        <v>357</v>
      </c>
      <c r="D135" s="62" t="s">
        <v>777</v>
      </c>
      <c r="E135" s="11" t="s">
        <v>9</v>
      </c>
    </row>
    <row r="136">
      <c r="B136" s="62" t="s">
        <v>1975</v>
      </c>
      <c r="C136" s="45" t="s">
        <v>911</v>
      </c>
      <c r="D136" s="61" t="s">
        <v>3081</v>
      </c>
      <c r="E136" s="11" t="s">
        <v>13</v>
      </c>
    </row>
    <row r="137">
      <c r="B137" s="62" t="s">
        <v>1174</v>
      </c>
      <c r="C137" s="45" t="s">
        <v>1108</v>
      </c>
      <c r="D137" s="62" t="s">
        <v>2593</v>
      </c>
      <c r="E137" s="11" t="s">
        <v>9</v>
      </c>
    </row>
    <row r="138">
      <c r="B138" s="62" t="s">
        <v>1975</v>
      </c>
      <c r="C138" s="45" t="s">
        <v>573</v>
      </c>
      <c r="D138" s="62" t="s">
        <v>777</v>
      </c>
      <c r="E138" s="11" t="s">
        <v>13</v>
      </c>
    </row>
    <row r="139">
      <c r="B139" s="62" t="s">
        <v>1174</v>
      </c>
      <c r="C139" s="45" t="s">
        <v>366</v>
      </c>
      <c r="D139" s="61" t="s">
        <v>3081</v>
      </c>
      <c r="E139" s="11" t="s">
        <v>9</v>
      </c>
    </row>
    <row r="140">
      <c r="B140" s="62" t="s">
        <v>1975</v>
      </c>
      <c r="C140" s="45" t="s">
        <v>23</v>
      </c>
      <c r="D140" s="62" t="s">
        <v>2593</v>
      </c>
      <c r="E140" s="11" t="s">
        <v>13</v>
      </c>
    </row>
    <row r="141">
      <c r="B141" s="62" t="s">
        <v>1174</v>
      </c>
      <c r="C141" s="45" t="s">
        <v>181</v>
      </c>
      <c r="D141" s="62" t="s">
        <v>777</v>
      </c>
      <c r="E141" s="11" t="s">
        <v>9</v>
      </c>
    </row>
    <row r="142">
      <c r="B142" s="61" t="s">
        <v>3081</v>
      </c>
      <c r="C142" s="45" t="s">
        <v>19</v>
      </c>
      <c r="D142" s="62" t="s">
        <v>2593</v>
      </c>
      <c r="E142" s="11" t="s">
        <v>13</v>
      </c>
    </row>
    <row r="143">
      <c r="B143" s="62" t="s">
        <v>1174</v>
      </c>
      <c r="C143" s="45" t="s">
        <v>17</v>
      </c>
      <c r="D143" s="62" t="s">
        <v>1975</v>
      </c>
      <c r="E143" s="11" t="s">
        <v>9</v>
      </c>
    </row>
    <row r="144">
      <c r="B144" s="61" t="s">
        <v>3081</v>
      </c>
      <c r="C144" s="45" t="s">
        <v>508</v>
      </c>
      <c r="D144" s="62" t="s">
        <v>777</v>
      </c>
      <c r="E144" s="11" t="s">
        <v>13</v>
      </c>
    </row>
    <row r="145">
      <c r="B145" s="62" t="s">
        <v>777</v>
      </c>
      <c r="C145" s="45" t="s">
        <v>193</v>
      </c>
      <c r="D145" s="62" t="s">
        <v>2593</v>
      </c>
      <c r="E145" s="11" t="s">
        <v>9</v>
      </c>
    </row>
    <row r="146">
      <c r="B146" s="61" t="s">
        <v>3081</v>
      </c>
      <c r="C146" s="45" t="s">
        <v>19</v>
      </c>
      <c r="D146" s="62" t="s">
        <v>1975</v>
      </c>
      <c r="E146" s="11" t="s">
        <v>13</v>
      </c>
    </row>
    <row r="147">
      <c r="B147" s="62" t="s">
        <v>2593</v>
      </c>
      <c r="C147" s="45" t="s">
        <v>524</v>
      </c>
      <c r="D147" s="62" t="s">
        <v>1174</v>
      </c>
      <c r="E147" s="11" t="s">
        <v>9</v>
      </c>
    </row>
    <row r="148">
      <c r="B148" s="62" t="s">
        <v>777</v>
      </c>
      <c r="C148" s="45" t="s">
        <v>292</v>
      </c>
      <c r="D148" s="62" t="s">
        <v>1975</v>
      </c>
      <c r="E148" s="11" t="s">
        <v>13</v>
      </c>
    </row>
    <row r="149">
      <c r="B149" s="61" t="s">
        <v>3081</v>
      </c>
      <c r="C149" s="45" t="s">
        <v>464</v>
      </c>
      <c r="D149" s="62" t="s">
        <v>1174</v>
      </c>
      <c r="E149" s="11" t="s">
        <v>9</v>
      </c>
    </row>
    <row r="150">
      <c r="B150" s="62" t="s">
        <v>2593</v>
      </c>
      <c r="C150" s="45" t="s">
        <v>549</v>
      </c>
      <c r="D150" s="62" t="s">
        <v>1975</v>
      </c>
      <c r="E150" s="11" t="s">
        <v>13</v>
      </c>
    </row>
    <row r="151">
      <c r="B151" s="62" t="s">
        <v>777</v>
      </c>
      <c r="C151" s="45" t="s">
        <v>20</v>
      </c>
      <c r="D151" s="62" t="s">
        <v>1174</v>
      </c>
      <c r="E151" s="11" t="s">
        <v>9</v>
      </c>
    </row>
    <row r="152">
      <c r="B152" s="62" t="s">
        <v>2593</v>
      </c>
      <c r="C152" s="45" t="s">
        <v>43</v>
      </c>
      <c r="D152" s="61" t="s">
        <v>3081</v>
      </c>
      <c r="E152" s="11" t="s">
        <v>13</v>
      </c>
    </row>
    <row r="153">
      <c r="B153" s="62" t="s">
        <v>1975</v>
      </c>
      <c r="C153" s="45" t="s">
        <v>173</v>
      </c>
      <c r="D153" s="62" t="s">
        <v>1174</v>
      </c>
      <c r="E153" s="11" t="s">
        <v>9</v>
      </c>
    </row>
    <row r="154">
      <c r="B154" s="62" t="s">
        <v>777</v>
      </c>
      <c r="C154" s="45" t="s">
        <v>219</v>
      </c>
      <c r="D154" s="61" t="s">
        <v>3081</v>
      </c>
      <c r="E154" s="11" t="s">
        <v>13</v>
      </c>
    </row>
    <row r="155">
      <c r="B155" s="96" t="s">
        <v>1560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2472</v>
      </c>
      <c r="C157" s="45" t="s">
        <v>41</v>
      </c>
      <c r="D157" s="62" t="s">
        <v>1044</v>
      </c>
      <c r="E157" s="11" t="s">
        <v>9</v>
      </c>
    </row>
    <row r="158">
      <c r="B158" s="62" t="s">
        <v>922</v>
      </c>
      <c r="C158" s="45" t="s">
        <v>21</v>
      </c>
      <c r="D158" s="61" t="s">
        <v>3061</v>
      </c>
      <c r="E158" s="11" t="s">
        <v>13</v>
      </c>
    </row>
    <row r="159">
      <c r="B159" s="62" t="s">
        <v>3082</v>
      </c>
      <c r="C159" s="45" t="s">
        <v>163</v>
      </c>
      <c r="D159" s="62" t="s">
        <v>2472</v>
      </c>
      <c r="E159" s="11" t="s">
        <v>9</v>
      </c>
    </row>
    <row r="160">
      <c r="B160" s="62" t="s">
        <v>922</v>
      </c>
      <c r="C160" s="54" t="s">
        <v>23</v>
      </c>
      <c r="D160" s="62" t="s">
        <v>1044</v>
      </c>
      <c r="E160" s="11" t="s">
        <v>13</v>
      </c>
    </row>
    <row r="161">
      <c r="B161" s="62" t="s">
        <v>3082</v>
      </c>
      <c r="C161" s="45" t="s">
        <v>17</v>
      </c>
      <c r="D161" s="61" t="s">
        <v>3061</v>
      </c>
      <c r="E161" s="11" t="s">
        <v>9</v>
      </c>
    </row>
    <row r="162">
      <c r="B162" s="62" t="s">
        <v>922</v>
      </c>
      <c r="C162" s="45" t="s">
        <v>248</v>
      </c>
      <c r="D162" s="62" t="s">
        <v>2472</v>
      </c>
      <c r="E162" s="11" t="s">
        <v>13</v>
      </c>
    </row>
    <row r="163">
      <c r="B163" s="62" t="s">
        <v>3082</v>
      </c>
      <c r="C163" s="45" t="s">
        <v>155</v>
      </c>
      <c r="D163" s="62" t="s">
        <v>1044</v>
      </c>
      <c r="E163" s="11" t="s">
        <v>9</v>
      </c>
    </row>
    <row r="164">
      <c r="B164" s="61" t="s">
        <v>3061</v>
      </c>
      <c r="C164" s="45" t="s">
        <v>257</v>
      </c>
      <c r="D164" s="62" t="s">
        <v>2472</v>
      </c>
      <c r="E164" s="11" t="s">
        <v>13</v>
      </c>
    </row>
    <row r="165">
      <c r="B165" s="62" t="s">
        <v>3082</v>
      </c>
      <c r="C165" s="45" t="s">
        <v>301</v>
      </c>
      <c r="D165" s="62" t="s">
        <v>922</v>
      </c>
      <c r="E165" s="11" t="s">
        <v>9</v>
      </c>
    </row>
    <row r="166">
      <c r="B166" s="61" t="s">
        <v>3061</v>
      </c>
      <c r="C166" s="45" t="s">
        <v>278</v>
      </c>
      <c r="D166" s="62" t="s">
        <v>1044</v>
      </c>
      <c r="E166" s="11" t="s">
        <v>13</v>
      </c>
    </row>
    <row r="167">
      <c r="B167" s="62" t="s">
        <v>1044</v>
      </c>
      <c r="C167" s="45" t="s">
        <v>1153</v>
      </c>
      <c r="D167" s="62" t="s">
        <v>2472</v>
      </c>
      <c r="E167" s="11" t="s">
        <v>9</v>
      </c>
    </row>
    <row r="168">
      <c r="B168" s="61" t="s">
        <v>3061</v>
      </c>
      <c r="C168" s="45" t="s">
        <v>162</v>
      </c>
      <c r="D168" s="62" t="s">
        <v>922</v>
      </c>
      <c r="E168" s="11" t="s">
        <v>13</v>
      </c>
    </row>
    <row r="169">
      <c r="B169" s="62" t="s">
        <v>2472</v>
      </c>
      <c r="C169" s="45" t="s">
        <v>43</v>
      </c>
      <c r="D169" s="62" t="s">
        <v>3082</v>
      </c>
      <c r="E169" s="11" t="s">
        <v>9</v>
      </c>
    </row>
    <row r="170">
      <c r="B170" s="62" t="s">
        <v>1044</v>
      </c>
      <c r="C170" s="45" t="s">
        <v>248</v>
      </c>
      <c r="D170" s="62" t="s">
        <v>922</v>
      </c>
      <c r="E170" s="11" t="s">
        <v>13</v>
      </c>
    </row>
    <row r="171">
      <c r="B171" s="61" t="s">
        <v>3061</v>
      </c>
      <c r="C171" s="45" t="s">
        <v>394</v>
      </c>
      <c r="D171" s="62" t="s">
        <v>3082</v>
      </c>
      <c r="E171" s="11" t="s">
        <v>9</v>
      </c>
    </row>
    <row r="172">
      <c r="B172" s="62" t="s">
        <v>2472</v>
      </c>
      <c r="C172" s="45" t="s">
        <v>744</v>
      </c>
      <c r="D172" s="62" t="s">
        <v>922</v>
      </c>
      <c r="E172" s="11" t="s">
        <v>13</v>
      </c>
    </row>
    <row r="173">
      <c r="B173" s="62" t="s">
        <v>1044</v>
      </c>
      <c r="C173" s="45" t="s">
        <v>184</v>
      </c>
      <c r="D173" s="62" t="s">
        <v>3082</v>
      </c>
      <c r="E173" s="11" t="s">
        <v>9</v>
      </c>
    </row>
    <row r="174">
      <c r="B174" s="62" t="s">
        <v>2472</v>
      </c>
      <c r="C174" s="45" t="s">
        <v>301</v>
      </c>
      <c r="D174" s="61" t="s">
        <v>3061</v>
      </c>
      <c r="E174" s="11" t="s">
        <v>13</v>
      </c>
    </row>
    <row r="175">
      <c r="B175" s="62" t="s">
        <v>922</v>
      </c>
      <c r="C175" s="45" t="s">
        <v>193</v>
      </c>
      <c r="D175" s="62" t="s">
        <v>3082</v>
      </c>
      <c r="E175" s="11" t="s">
        <v>9</v>
      </c>
    </row>
    <row r="176">
      <c r="B176" s="62" t="s">
        <v>1044</v>
      </c>
      <c r="C176" s="45" t="s">
        <v>302</v>
      </c>
      <c r="D176" s="61" t="s">
        <v>3061</v>
      </c>
      <c r="E176" s="11" t="s">
        <v>13</v>
      </c>
    </row>
    <row r="177">
      <c r="B177" s="96" t="s">
        <v>3083</v>
      </c>
      <c r="C177" s="2"/>
      <c r="D177" s="3"/>
      <c r="E177" s="107"/>
    </row>
    <row r="178">
      <c r="B178" s="108" t="s">
        <v>2</v>
      </c>
      <c r="C178" s="109" t="s">
        <v>3</v>
      </c>
      <c r="D178" s="109" t="s">
        <v>4</v>
      </c>
      <c r="E178" s="109" t="s">
        <v>5</v>
      </c>
    </row>
    <row r="179">
      <c r="B179" s="110" t="s">
        <v>2992</v>
      </c>
      <c r="C179" s="111" t="s">
        <v>2494</v>
      </c>
      <c r="D179" s="112" t="s">
        <v>3084</v>
      </c>
      <c r="E179" s="33" t="s">
        <v>29</v>
      </c>
    </row>
    <row r="180">
      <c r="B180" s="110" t="s">
        <v>2585</v>
      </c>
      <c r="C180" s="111" t="s">
        <v>433</v>
      </c>
      <c r="D180" s="112" t="s">
        <v>2511</v>
      </c>
      <c r="E180" s="33" t="s">
        <v>33</v>
      </c>
    </row>
    <row r="181">
      <c r="B181" s="110" t="s">
        <v>2991</v>
      </c>
      <c r="C181" s="111" t="s">
        <v>189</v>
      </c>
      <c r="D181" s="112" t="s">
        <v>2992</v>
      </c>
      <c r="E181" s="33" t="s">
        <v>29</v>
      </c>
    </row>
    <row r="182">
      <c r="B182" s="110" t="s">
        <v>2585</v>
      </c>
      <c r="C182" s="111" t="s">
        <v>362</v>
      </c>
      <c r="D182" s="112" t="s">
        <v>3084</v>
      </c>
      <c r="E182" s="33" t="s">
        <v>33</v>
      </c>
    </row>
    <row r="183">
      <c r="B183" s="110" t="s">
        <v>2991</v>
      </c>
      <c r="C183" s="111" t="s">
        <v>271</v>
      </c>
      <c r="D183" s="112" t="s">
        <v>2511</v>
      </c>
      <c r="E183" s="33" t="s">
        <v>29</v>
      </c>
    </row>
    <row r="184">
      <c r="B184" s="110" t="s">
        <v>2585</v>
      </c>
      <c r="C184" s="111" t="s">
        <v>250</v>
      </c>
      <c r="D184" s="112" t="s">
        <v>2992</v>
      </c>
      <c r="E184" s="33" t="s">
        <v>33</v>
      </c>
    </row>
    <row r="185">
      <c r="B185" s="110" t="s">
        <v>2991</v>
      </c>
      <c r="C185" s="111" t="s">
        <v>251</v>
      </c>
      <c r="D185" s="112" t="s">
        <v>3084</v>
      </c>
      <c r="E185" s="33" t="s">
        <v>29</v>
      </c>
    </row>
    <row r="186">
      <c r="B186" s="110" t="s">
        <v>2511</v>
      </c>
      <c r="C186" s="111" t="s">
        <v>17</v>
      </c>
      <c r="D186" s="112" t="s">
        <v>2992</v>
      </c>
      <c r="E186" s="33" t="s">
        <v>33</v>
      </c>
    </row>
    <row r="187">
      <c r="B187" s="110" t="s">
        <v>2991</v>
      </c>
      <c r="C187" s="111" t="s">
        <v>185</v>
      </c>
      <c r="D187" s="112" t="s">
        <v>2585</v>
      </c>
      <c r="E187" s="33" t="s">
        <v>29</v>
      </c>
    </row>
    <row r="188">
      <c r="B188" s="110" t="s">
        <v>2511</v>
      </c>
      <c r="C188" s="111" t="s">
        <v>324</v>
      </c>
      <c r="D188" s="112" t="s">
        <v>3084</v>
      </c>
      <c r="E188" s="33" t="s">
        <v>33</v>
      </c>
    </row>
    <row r="189">
      <c r="B189" s="110" t="s">
        <v>3084</v>
      </c>
      <c r="C189" s="111" t="s">
        <v>225</v>
      </c>
      <c r="D189" s="112" t="s">
        <v>2992</v>
      </c>
      <c r="E189" s="33" t="s">
        <v>29</v>
      </c>
    </row>
    <row r="190">
      <c r="B190" s="110" t="s">
        <v>2511</v>
      </c>
      <c r="C190" s="111" t="s">
        <v>211</v>
      </c>
      <c r="D190" s="112" t="s">
        <v>2585</v>
      </c>
      <c r="E190" s="33" t="s">
        <v>33</v>
      </c>
    </row>
    <row r="191">
      <c r="B191" s="110" t="s">
        <v>2992</v>
      </c>
      <c r="C191" s="111" t="s">
        <v>324</v>
      </c>
      <c r="D191" s="110" t="s">
        <v>2991</v>
      </c>
      <c r="E191" s="33" t="s">
        <v>29</v>
      </c>
    </row>
    <row r="192">
      <c r="B192" s="110" t="s">
        <v>3084</v>
      </c>
      <c r="C192" s="111" t="s">
        <v>791</v>
      </c>
      <c r="D192" s="112" t="s">
        <v>2585</v>
      </c>
      <c r="E192" s="33" t="s">
        <v>33</v>
      </c>
    </row>
    <row r="193">
      <c r="B193" s="110" t="s">
        <v>2511</v>
      </c>
      <c r="C193" s="111" t="s">
        <v>394</v>
      </c>
      <c r="D193" s="110" t="s">
        <v>2991</v>
      </c>
      <c r="E193" s="33" t="s">
        <v>29</v>
      </c>
    </row>
    <row r="194">
      <c r="B194" s="110" t="s">
        <v>2992</v>
      </c>
      <c r="C194" s="111" t="s">
        <v>334</v>
      </c>
      <c r="D194" s="112" t="s">
        <v>2585</v>
      </c>
      <c r="E194" s="33" t="s">
        <v>33</v>
      </c>
    </row>
    <row r="195">
      <c r="B195" s="110" t="s">
        <v>3084</v>
      </c>
      <c r="C195" s="111" t="s">
        <v>248</v>
      </c>
      <c r="D195" s="110" t="s">
        <v>2991</v>
      </c>
      <c r="E195" s="33" t="s">
        <v>29</v>
      </c>
    </row>
    <row r="196">
      <c r="B196" s="110" t="s">
        <v>2992</v>
      </c>
      <c r="C196" s="111" t="s">
        <v>193</v>
      </c>
      <c r="D196" s="112" t="s">
        <v>2511</v>
      </c>
      <c r="E196" s="33" t="s">
        <v>33</v>
      </c>
    </row>
    <row r="197">
      <c r="B197" s="110" t="s">
        <v>2585</v>
      </c>
      <c r="C197" s="111" t="s">
        <v>688</v>
      </c>
      <c r="D197" s="110" t="s">
        <v>2991</v>
      </c>
      <c r="E197" s="33" t="s">
        <v>29</v>
      </c>
    </row>
    <row r="198">
      <c r="B198" s="110" t="s">
        <v>3084</v>
      </c>
      <c r="C198" s="111" t="s">
        <v>38</v>
      </c>
      <c r="D198" s="112" t="s">
        <v>2511</v>
      </c>
      <c r="E198" s="33" t="s">
        <v>33</v>
      </c>
    </row>
    <row r="199">
      <c r="B199" s="96" t="s">
        <v>3085</v>
      </c>
      <c r="C199" s="2"/>
      <c r="D199" s="3"/>
      <c r="E199" s="107"/>
    </row>
    <row r="200">
      <c r="B200" s="108" t="s">
        <v>2</v>
      </c>
      <c r="C200" s="109" t="s">
        <v>3</v>
      </c>
      <c r="D200" s="109" t="s">
        <v>4</v>
      </c>
      <c r="E200" s="109" t="s">
        <v>5</v>
      </c>
    </row>
    <row r="201">
      <c r="B201" s="110" t="s">
        <v>2431</v>
      </c>
      <c r="C201" s="111" t="s">
        <v>38</v>
      </c>
      <c r="D201" s="112" t="s">
        <v>1641</v>
      </c>
      <c r="E201" s="33" t="s">
        <v>29</v>
      </c>
    </row>
    <row r="202">
      <c r="B202" s="110" t="s">
        <v>2612</v>
      </c>
      <c r="C202" s="111" t="s">
        <v>344</v>
      </c>
      <c r="D202" s="112" t="s">
        <v>2277</v>
      </c>
      <c r="E202" s="33" t="s">
        <v>33</v>
      </c>
    </row>
    <row r="203">
      <c r="B203" s="110" t="s">
        <v>3086</v>
      </c>
      <c r="C203" s="111" t="s">
        <v>688</v>
      </c>
      <c r="D203" s="112" t="s">
        <v>2431</v>
      </c>
      <c r="E203" s="33" t="s">
        <v>29</v>
      </c>
    </row>
    <row r="204">
      <c r="B204" s="110" t="s">
        <v>2612</v>
      </c>
      <c r="C204" s="111" t="s">
        <v>24</v>
      </c>
      <c r="D204" s="112" t="s">
        <v>1641</v>
      </c>
      <c r="E204" s="33" t="s">
        <v>33</v>
      </c>
    </row>
    <row r="205">
      <c r="B205" s="110" t="s">
        <v>3086</v>
      </c>
      <c r="C205" s="111" t="s">
        <v>301</v>
      </c>
      <c r="D205" s="112" t="s">
        <v>2277</v>
      </c>
      <c r="E205" s="33" t="s">
        <v>29</v>
      </c>
    </row>
    <row r="206">
      <c r="B206" s="110" t="s">
        <v>2612</v>
      </c>
      <c r="C206" s="111" t="s">
        <v>208</v>
      </c>
      <c r="D206" s="112" t="s">
        <v>2431</v>
      </c>
      <c r="E206" s="33" t="s">
        <v>33</v>
      </c>
    </row>
    <row r="207">
      <c r="B207" s="110" t="s">
        <v>3086</v>
      </c>
      <c r="C207" s="111" t="s">
        <v>209</v>
      </c>
      <c r="D207" s="112" t="s">
        <v>1641</v>
      </c>
      <c r="E207" s="33" t="s">
        <v>29</v>
      </c>
    </row>
    <row r="208">
      <c r="B208" s="110" t="s">
        <v>2277</v>
      </c>
      <c r="C208" s="111" t="s">
        <v>166</v>
      </c>
      <c r="D208" s="112" t="s">
        <v>2431</v>
      </c>
      <c r="E208" s="33" t="s">
        <v>33</v>
      </c>
    </row>
    <row r="209">
      <c r="B209" s="110" t="s">
        <v>3086</v>
      </c>
      <c r="C209" s="111" t="s">
        <v>198</v>
      </c>
      <c r="D209" s="112" t="s">
        <v>2612</v>
      </c>
      <c r="E209" s="33" t="s">
        <v>29</v>
      </c>
    </row>
    <row r="210">
      <c r="B210" s="110" t="s">
        <v>2277</v>
      </c>
      <c r="C210" s="111" t="s">
        <v>610</v>
      </c>
      <c r="D210" s="112" t="s">
        <v>1641</v>
      </c>
      <c r="E210" s="33" t="s">
        <v>33</v>
      </c>
    </row>
    <row r="211">
      <c r="B211" s="110" t="s">
        <v>1641</v>
      </c>
      <c r="C211" s="111" t="s">
        <v>248</v>
      </c>
      <c r="D211" s="112" t="s">
        <v>2431</v>
      </c>
      <c r="E211" s="33" t="s">
        <v>29</v>
      </c>
    </row>
    <row r="212">
      <c r="B212" s="110" t="s">
        <v>2277</v>
      </c>
      <c r="C212" s="111" t="s">
        <v>421</v>
      </c>
      <c r="D212" s="112" t="s">
        <v>2612</v>
      </c>
      <c r="E212" s="33" t="s">
        <v>33</v>
      </c>
    </row>
    <row r="213">
      <c r="B213" s="110" t="s">
        <v>2431</v>
      </c>
      <c r="C213" s="111" t="s">
        <v>34</v>
      </c>
      <c r="D213" s="110" t="s">
        <v>3086</v>
      </c>
      <c r="E213" s="33" t="s">
        <v>29</v>
      </c>
    </row>
    <row r="214">
      <c r="B214" s="110" t="s">
        <v>1641</v>
      </c>
      <c r="C214" s="111" t="s">
        <v>744</v>
      </c>
      <c r="D214" s="112" t="s">
        <v>2612</v>
      </c>
      <c r="E214" s="33" t="s">
        <v>33</v>
      </c>
    </row>
    <row r="215">
      <c r="B215" s="110" t="s">
        <v>2277</v>
      </c>
      <c r="C215" s="111" t="s">
        <v>288</v>
      </c>
      <c r="D215" s="110" t="s">
        <v>3086</v>
      </c>
      <c r="E215" s="33" t="s">
        <v>29</v>
      </c>
    </row>
    <row r="216">
      <c r="B216" s="110" t="s">
        <v>2431</v>
      </c>
      <c r="C216" s="111" t="s">
        <v>454</v>
      </c>
      <c r="D216" s="112" t="s">
        <v>2612</v>
      </c>
      <c r="E216" s="33" t="s">
        <v>33</v>
      </c>
    </row>
    <row r="217">
      <c r="B217" s="110" t="s">
        <v>1641</v>
      </c>
      <c r="C217" s="111" t="s">
        <v>638</v>
      </c>
      <c r="D217" s="110" t="s">
        <v>3086</v>
      </c>
      <c r="E217" s="33" t="s">
        <v>29</v>
      </c>
    </row>
    <row r="218">
      <c r="B218" s="110" t="s">
        <v>2431</v>
      </c>
      <c r="C218" s="111" t="s">
        <v>662</v>
      </c>
      <c r="D218" s="112" t="s">
        <v>2277</v>
      </c>
      <c r="E218" s="33" t="s">
        <v>33</v>
      </c>
    </row>
    <row r="219">
      <c r="B219" s="110" t="s">
        <v>2612</v>
      </c>
      <c r="C219" s="111" t="s">
        <v>545</v>
      </c>
      <c r="D219" s="110" t="s">
        <v>3086</v>
      </c>
      <c r="E219" s="33" t="s">
        <v>29</v>
      </c>
    </row>
    <row r="220">
      <c r="B220" s="110" t="s">
        <v>1641</v>
      </c>
      <c r="C220" s="111" t="s">
        <v>186</v>
      </c>
      <c r="D220" s="112" t="s">
        <v>2277</v>
      </c>
      <c r="E220" s="33" t="s">
        <v>33</v>
      </c>
    </row>
    <row r="221">
      <c r="B221" s="96" t="s">
        <v>1566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3087</v>
      </c>
      <c r="C223" s="45" t="s">
        <v>208</v>
      </c>
      <c r="D223" s="62" t="s">
        <v>2464</v>
      </c>
      <c r="E223" s="11" t="s">
        <v>9</v>
      </c>
    </row>
    <row r="224">
      <c r="B224" s="62" t="s">
        <v>2871</v>
      </c>
      <c r="C224" s="45" t="s">
        <v>17</v>
      </c>
      <c r="D224" s="61" t="s">
        <v>654</v>
      </c>
      <c r="E224" s="11" t="s">
        <v>13</v>
      </c>
    </row>
    <row r="225">
      <c r="B225" s="62" t="s">
        <v>1490</v>
      </c>
      <c r="C225" s="45" t="s">
        <v>315</v>
      </c>
      <c r="D225" s="62" t="s">
        <v>3087</v>
      </c>
      <c r="E225" s="11" t="s">
        <v>9</v>
      </c>
    </row>
    <row r="226">
      <c r="B226" s="62" t="s">
        <v>2871</v>
      </c>
      <c r="C226" s="45" t="s">
        <v>688</v>
      </c>
      <c r="D226" s="62" t="s">
        <v>2464</v>
      </c>
      <c r="E226" s="11" t="s">
        <v>13</v>
      </c>
    </row>
    <row r="227">
      <c r="B227" s="62" t="s">
        <v>1490</v>
      </c>
      <c r="C227" s="45" t="s">
        <v>24</v>
      </c>
      <c r="D227" s="61" t="s">
        <v>654</v>
      </c>
      <c r="E227" s="11" t="s">
        <v>9</v>
      </c>
    </row>
    <row r="228">
      <c r="B228" s="62" t="s">
        <v>2871</v>
      </c>
      <c r="C228" s="45" t="s">
        <v>194</v>
      </c>
      <c r="D228" s="62" t="s">
        <v>3087</v>
      </c>
      <c r="E228" s="11" t="s">
        <v>13</v>
      </c>
    </row>
    <row r="229">
      <c r="B229" s="62" t="s">
        <v>1490</v>
      </c>
      <c r="C229" s="45" t="s">
        <v>19</v>
      </c>
      <c r="D229" s="62" t="s">
        <v>2464</v>
      </c>
      <c r="E229" s="11" t="s">
        <v>9</v>
      </c>
    </row>
    <row r="230">
      <c r="B230" s="61" t="s">
        <v>654</v>
      </c>
      <c r="C230" s="45" t="s">
        <v>162</v>
      </c>
      <c r="D230" s="62" t="s">
        <v>3087</v>
      </c>
      <c r="E230" s="11" t="s">
        <v>13</v>
      </c>
    </row>
    <row r="231">
      <c r="B231" s="62" t="s">
        <v>1490</v>
      </c>
      <c r="C231" s="45" t="s">
        <v>181</v>
      </c>
      <c r="D231" s="62" t="s">
        <v>2871</v>
      </c>
      <c r="E231" s="11" t="s">
        <v>9</v>
      </c>
    </row>
    <row r="232">
      <c r="B232" s="61" t="s">
        <v>654</v>
      </c>
      <c r="C232" s="45" t="s">
        <v>155</v>
      </c>
      <c r="D232" s="62" t="s">
        <v>2464</v>
      </c>
      <c r="E232" s="11" t="s">
        <v>13</v>
      </c>
    </row>
    <row r="233">
      <c r="B233" s="62" t="s">
        <v>2464</v>
      </c>
      <c r="C233" s="45" t="s">
        <v>250</v>
      </c>
      <c r="D233" s="62" t="s">
        <v>3087</v>
      </c>
      <c r="E233" s="11" t="s">
        <v>9</v>
      </c>
    </row>
    <row r="234">
      <c r="B234" s="61" t="s">
        <v>654</v>
      </c>
      <c r="C234" s="45" t="s">
        <v>20</v>
      </c>
      <c r="D234" s="62" t="s">
        <v>2871</v>
      </c>
      <c r="E234" s="11" t="s">
        <v>13</v>
      </c>
    </row>
    <row r="235">
      <c r="B235" s="62" t="s">
        <v>3087</v>
      </c>
      <c r="C235" s="45" t="s">
        <v>197</v>
      </c>
      <c r="D235" s="62" t="s">
        <v>1490</v>
      </c>
      <c r="E235" s="11" t="s">
        <v>9</v>
      </c>
    </row>
    <row r="236">
      <c r="B236" s="62" t="s">
        <v>2464</v>
      </c>
      <c r="C236" s="45" t="s">
        <v>194</v>
      </c>
      <c r="D236" s="62" t="s">
        <v>2871</v>
      </c>
      <c r="E236" s="11" t="s">
        <v>13</v>
      </c>
    </row>
    <row r="237">
      <c r="B237" s="61" t="s">
        <v>654</v>
      </c>
      <c r="C237" s="45" t="s">
        <v>17</v>
      </c>
      <c r="D237" s="62" t="s">
        <v>1490</v>
      </c>
      <c r="E237" s="11" t="s">
        <v>9</v>
      </c>
    </row>
    <row r="238">
      <c r="B238" s="62" t="s">
        <v>3087</v>
      </c>
      <c r="C238" s="45" t="s">
        <v>1550</v>
      </c>
      <c r="D238" s="62" t="s">
        <v>2871</v>
      </c>
      <c r="E238" s="11" t="s">
        <v>13</v>
      </c>
    </row>
    <row r="239">
      <c r="B239" s="62" t="s">
        <v>2464</v>
      </c>
      <c r="C239" s="45" t="s">
        <v>34</v>
      </c>
      <c r="D239" s="62" t="s">
        <v>1490</v>
      </c>
      <c r="E239" s="11" t="s">
        <v>9</v>
      </c>
    </row>
    <row r="240">
      <c r="B240" s="62" t="s">
        <v>3087</v>
      </c>
      <c r="C240" s="45" t="s">
        <v>394</v>
      </c>
      <c r="D240" s="61" t="s">
        <v>654</v>
      </c>
      <c r="E240" s="11" t="s">
        <v>13</v>
      </c>
    </row>
    <row r="241">
      <c r="B241" s="62" t="s">
        <v>2871</v>
      </c>
      <c r="C241" s="45" t="s">
        <v>290</v>
      </c>
      <c r="D241" s="62" t="s">
        <v>1490</v>
      </c>
      <c r="E241" s="11" t="s">
        <v>9</v>
      </c>
    </row>
    <row r="242">
      <c r="B242" s="62" t="s">
        <v>2464</v>
      </c>
      <c r="C242" s="45" t="s">
        <v>181</v>
      </c>
      <c r="D242" s="61" t="s">
        <v>654</v>
      </c>
      <c r="E242" s="11" t="s">
        <v>13</v>
      </c>
    </row>
    <row r="243">
      <c r="B243" s="96" t="s">
        <v>1581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3088</v>
      </c>
      <c r="C245" s="45" t="s">
        <v>442</v>
      </c>
      <c r="D245" s="62" t="s">
        <v>598</v>
      </c>
      <c r="E245" s="11" t="s">
        <v>9</v>
      </c>
    </row>
    <row r="246">
      <c r="B246" s="62" t="s">
        <v>2871</v>
      </c>
      <c r="C246" s="45" t="s">
        <v>41</v>
      </c>
      <c r="D246" s="61" t="s">
        <v>2856</v>
      </c>
      <c r="E246" s="11" t="s">
        <v>13</v>
      </c>
    </row>
    <row r="247">
      <c r="B247" s="62" t="s">
        <v>3089</v>
      </c>
      <c r="C247" s="45" t="s">
        <v>229</v>
      </c>
      <c r="D247" s="62" t="s">
        <v>3088</v>
      </c>
      <c r="E247" s="11" t="s">
        <v>9</v>
      </c>
    </row>
    <row r="248">
      <c r="B248" s="62" t="s">
        <v>2871</v>
      </c>
      <c r="C248" s="45" t="s">
        <v>229</v>
      </c>
      <c r="D248" s="62" t="s">
        <v>598</v>
      </c>
      <c r="E248" s="11" t="s">
        <v>13</v>
      </c>
    </row>
    <row r="249">
      <c r="B249" s="62" t="s">
        <v>3089</v>
      </c>
      <c r="C249" s="45" t="s">
        <v>208</v>
      </c>
      <c r="D249" s="61" t="s">
        <v>2856</v>
      </c>
      <c r="E249" s="11" t="s">
        <v>9</v>
      </c>
    </row>
    <row r="250">
      <c r="B250" s="62" t="s">
        <v>2871</v>
      </c>
      <c r="C250" s="45" t="s">
        <v>3090</v>
      </c>
      <c r="D250" s="62" t="s">
        <v>3088</v>
      </c>
      <c r="E250" s="11" t="s">
        <v>13</v>
      </c>
    </row>
    <row r="251">
      <c r="B251" s="62" t="s">
        <v>3089</v>
      </c>
      <c r="C251" s="45" t="s">
        <v>180</v>
      </c>
      <c r="D251" s="62" t="s">
        <v>598</v>
      </c>
      <c r="E251" s="11" t="s">
        <v>9</v>
      </c>
    </row>
    <row r="252">
      <c r="B252" s="61" t="s">
        <v>2856</v>
      </c>
      <c r="C252" s="45" t="s">
        <v>1444</v>
      </c>
      <c r="D252" s="62" t="s">
        <v>3088</v>
      </c>
      <c r="E252" s="11" t="s">
        <v>13</v>
      </c>
    </row>
    <row r="253">
      <c r="B253" s="62" t="s">
        <v>3089</v>
      </c>
      <c r="C253" s="45" t="s">
        <v>2416</v>
      </c>
      <c r="D253" s="62" t="s">
        <v>2871</v>
      </c>
      <c r="E253" s="11" t="s">
        <v>9</v>
      </c>
    </row>
    <row r="254">
      <c r="B254" s="61" t="s">
        <v>2856</v>
      </c>
      <c r="C254" s="45" t="s">
        <v>158</v>
      </c>
      <c r="D254" s="62" t="s">
        <v>598</v>
      </c>
      <c r="E254" s="11" t="s">
        <v>13</v>
      </c>
    </row>
    <row r="255">
      <c r="B255" s="62" t="s">
        <v>598</v>
      </c>
      <c r="C255" s="45" t="s">
        <v>23</v>
      </c>
      <c r="D255" s="62" t="s">
        <v>3088</v>
      </c>
      <c r="E255" s="11" t="s">
        <v>9</v>
      </c>
    </row>
    <row r="256">
      <c r="B256" s="61" t="s">
        <v>2856</v>
      </c>
      <c r="C256" s="45" t="s">
        <v>256</v>
      </c>
      <c r="D256" s="62" t="s">
        <v>2871</v>
      </c>
      <c r="E256" s="11" t="s">
        <v>13</v>
      </c>
    </row>
    <row r="257">
      <c r="B257" s="62" t="s">
        <v>3088</v>
      </c>
      <c r="C257" s="45" t="s">
        <v>3091</v>
      </c>
      <c r="D257" s="62" t="s">
        <v>3089</v>
      </c>
      <c r="E257" s="11" t="s">
        <v>9</v>
      </c>
    </row>
    <row r="258">
      <c r="B258" s="62" t="s">
        <v>598</v>
      </c>
      <c r="C258" s="45" t="s">
        <v>225</v>
      </c>
      <c r="D258" s="62" t="s">
        <v>2871</v>
      </c>
      <c r="E258" s="11" t="s">
        <v>13</v>
      </c>
    </row>
    <row r="259">
      <c r="B259" s="61" t="s">
        <v>2856</v>
      </c>
      <c r="C259" s="45" t="s">
        <v>165</v>
      </c>
      <c r="D259" s="62" t="s">
        <v>3089</v>
      </c>
      <c r="E259" s="11" t="s">
        <v>9</v>
      </c>
    </row>
    <row r="260">
      <c r="B260" s="62" t="s">
        <v>3088</v>
      </c>
      <c r="C260" s="45" t="s">
        <v>3092</v>
      </c>
      <c r="D260" s="62" t="s">
        <v>2871</v>
      </c>
      <c r="E260" s="11" t="s">
        <v>13</v>
      </c>
    </row>
    <row r="261">
      <c r="B261" s="62" t="s">
        <v>598</v>
      </c>
      <c r="C261" s="45" t="s">
        <v>2672</v>
      </c>
      <c r="D261" s="62" t="s">
        <v>3089</v>
      </c>
      <c r="E261" s="11" t="s">
        <v>9</v>
      </c>
    </row>
    <row r="262">
      <c r="B262" s="62" t="s">
        <v>3088</v>
      </c>
      <c r="C262" s="45" t="s">
        <v>44</v>
      </c>
      <c r="D262" s="61" t="s">
        <v>2856</v>
      </c>
      <c r="E262" s="11" t="s">
        <v>13</v>
      </c>
    </row>
    <row r="263">
      <c r="B263" s="62" t="s">
        <v>2871</v>
      </c>
      <c r="C263" s="45" t="s">
        <v>898</v>
      </c>
      <c r="D263" s="62" t="s">
        <v>3089</v>
      </c>
      <c r="E263" s="11" t="s">
        <v>9</v>
      </c>
    </row>
    <row r="264">
      <c r="B264" s="62" t="s">
        <v>598</v>
      </c>
      <c r="C264" s="45" t="s">
        <v>27</v>
      </c>
      <c r="D264" s="61" t="s">
        <v>2856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3093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3094</v>
      </c>
      <c r="C3" s="119" t="s">
        <v>668</v>
      </c>
      <c r="D3" s="62" t="s">
        <v>3095</v>
      </c>
      <c r="E3" s="120" t="str">
        <f>HYPERLINK("https://youtu.be/B0TuitE9fAc","channel 1")</f>
        <v>channel 1</v>
      </c>
    </row>
    <row r="4">
      <c r="A4" s="90"/>
      <c r="B4" s="62" t="s">
        <v>2012</v>
      </c>
      <c r="C4" s="119" t="s">
        <v>668</v>
      </c>
      <c r="D4" s="61" t="s">
        <v>2492</v>
      </c>
      <c r="E4" s="120" t="str">
        <f>HYPERLINK("https://youtu.be/rIVCOjUttMU","channel 2")</f>
        <v>channel 2</v>
      </c>
    </row>
    <row r="5">
      <c r="A5" s="90"/>
      <c r="B5" s="62" t="s">
        <v>2800</v>
      </c>
      <c r="C5" s="119" t="s">
        <v>668</v>
      </c>
      <c r="D5" s="62" t="s">
        <v>3094</v>
      </c>
      <c r="E5" s="121" t="s">
        <v>9</v>
      </c>
    </row>
    <row r="6">
      <c r="A6" s="90"/>
      <c r="B6" s="62" t="s">
        <v>2012</v>
      </c>
      <c r="C6" s="119" t="s">
        <v>668</v>
      </c>
      <c r="D6" s="62" t="s">
        <v>3095</v>
      </c>
      <c r="E6" s="121" t="s">
        <v>13</v>
      </c>
    </row>
    <row r="7">
      <c r="A7" s="90"/>
      <c r="B7" s="62" t="s">
        <v>2800</v>
      </c>
      <c r="C7" s="119" t="s">
        <v>668</v>
      </c>
      <c r="D7" s="61" t="s">
        <v>2492</v>
      </c>
      <c r="E7" s="121" t="s">
        <v>9</v>
      </c>
    </row>
    <row r="8">
      <c r="A8" s="90"/>
      <c r="B8" s="62" t="s">
        <v>2012</v>
      </c>
      <c r="C8" s="119" t="s">
        <v>668</v>
      </c>
      <c r="D8" s="62" t="s">
        <v>3094</v>
      </c>
      <c r="E8" s="121" t="s">
        <v>13</v>
      </c>
    </row>
    <row r="9">
      <c r="A9" s="90"/>
      <c r="B9" s="62" t="s">
        <v>2800</v>
      </c>
      <c r="C9" s="119" t="s">
        <v>668</v>
      </c>
      <c r="D9" s="62" t="s">
        <v>3095</v>
      </c>
      <c r="E9" s="121" t="s">
        <v>9</v>
      </c>
    </row>
    <row r="10">
      <c r="A10" s="90"/>
      <c r="B10" s="61" t="s">
        <v>2492</v>
      </c>
      <c r="C10" s="119" t="s">
        <v>668</v>
      </c>
      <c r="D10" s="62" t="s">
        <v>3094</v>
      </c>
      <c r="E10" s="121" t="s">
        <v>13</v>
      </c>
    </row>
    <row r="11">
      <c r="A11" s="90"/>
      <c r="B11" s="62" t="s">
        <v>2800</v>
      </c>
      <c r="C11" s="119" t="s">
        <v>668</v>
      </c>
      <c r="D11" s="62" t="s">
        <v>2012</v>
      </c>
      <c r="E11" s="121" t="s">
        <v>9</v>
      </c>
    </row>
    <row r="12">
      <c r="A12" s="90"/>
      <c r="B12" s="61" t="s">
        <v>2492</v>
      </c>
      <c r="C12" s="119" t="s">
        <v>668</v>
      </c>
      <c r="D12" s="62" t="s">
        <v>3095</v>
      </c>
      <c r="E12" s="121" t="s">
        <v>13</v>
      </c>
    </row>
    <row r="13">
      <c r="A13" s="90"/>
      <c r="B13" s="62" t="s">
        <v>3095</v>
      </c>
      <c r="C13" s="119" t="s">
        <v>668</v>
      </c>
      <c r="D13" s="62" t="s">
        <v>3094</v>
      </c>
      <c r="E13" s="121" t="s">
        <v>9</v>
      </c>
    </row>
    <row r="14">
      <c r="A14" s="90"/>
      <c r="B14" s="61" t="s">
        <v>2492</v>
      </c>
      <c r="C14" s="119" t="s">
        <v>668</v>
      </c>
      <c r="D14" s="62" t="s">
        <v>2012</v>
      </c>
      <c r="E14" s="121" t="s">
        <v>13</v>
      </c>
    </row>
    <row r="15">
      <c r="A15" s="90"/>
      <c r="B15" s="62" t="s">
        <v>3094</v>
      </c>
      <c r="C15" s="119" t="s">
        <v>668</v>
      </c>
      <c r="D15" s="62" t="s">
        <v>2800</v>
      </c>
      <c r="E15" s="121" t="s">
        <v>9</v>
      </c>
    </row>
    <row r="16">
      <c r="A16" s="90"/>
      <c r="B16" s="62" t="s">
        <v>3095</v>
      </c>
      <c r="C16" s="119" t="s">
        <v>668</v>
      </c>
      <c r="D16" s="62" t="s">
        <v>2012</v>
      </c>
      <c r="E16" s="121" t="s">
        <v>13</v>
      </c>
    </row>
    <row r="17">
      <c r="A17" s="90"/>
      <c r="B17" s="61" t="s">
        <v>2492</v>
      </c>
      <c r="C17" s="119" t="s">
        <v>668</v>
      </c>
      <c r="D17" s="62" t="s">
        <v>2800</v>
      </c>
      <c r="E17" s="121" t="s">
        <v>9</v>
      </c>
    </row>
    <row r="18">
      <c r="A18" s="90"/>
      <c r="B18" s="62" t="s">
        <v>3094</v>
      </c>
      <c r="C18" s="119" t="s">
        <v>668</v>
      </c>
      <c r="D18" s="62" t="s">
        <v>2012</v>
      </c>
      <c r="E18" s="121" t="s">
        <v>13</v>
      </c>
    </row>
    <row r="19">
      <c r="A19" s="90"/>
      <c r="B19" s="62" t="s">
        <v>3095</v>
      </c>
      <c r="C19" s="119" t="s">
        <v>668</v>
      </c>
      <c r="D19" s="62" t="s">
        <v>2800</v>
      </c>
      <c r="E19" s="121" t="s">
        <v>9</v>
      </c>
    </row>
    <row r="20">
      <c r="A20" s="90"/>
      <c r="B20" s="62" t="s">
        <v>3094</v>
      </c>
      <c r="C20" s="119" t="s">
        <v>668</v>
      </c>
      <c r="D20" s="61" t="s">
        <v>2492</v>
      </c>
      <c r="E20" s="121" t="s">
        <v>13</v>
      </c>
    </row>
    <row r="21">
      <c r="A21" s="90"/>
      <c r="B21" s="62" t="s">
        <v>2012</v>
      </c>
      <c r="C21" s="119" t="s">
        <v>668</v>
      </c>
      <c r="D21" s="62" t="s">
        <v>2800</v>
      </c>
      <c r="E21" s="121" t="s">
        <v>9</v>
      </c>
    </row>
    <row r="22">
      <c r="A22" s="90"/>
      <c r="B22" s="62" t="s">
        <v>3095</v>
      </c>
      <c r="C22" s="119" t="s">
        <v>668</v>
      </c>
      <c r="D22" s="61" t="s">
        <v>2492</v>
      </c>
      <c r="E22" s="121" t="s">
        <v>13</v>
      </c>
    </row>
    <row r="23">
      <c r="A23" s="90"/>
      <c r="B23" s="96" t="s">
        <v>2685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1808</v>
      </c>
      <c r="C25" s="119" t="s">
        <v>668</v>
      </c>
      <c r="D25" s="62" t="s">
        <v>1928</v>
      </c>
      <c r="E25" s="122" t="s">
        <v>9</v>
      </c>
    </row>
    <row r="26">
      <c r="A26" s="90"/>
      <c r="B26" s="62" t="s">
        <v>2039</v>
      </c>
      <c r="C26" s="119" t="s">
        <v>668</v>
      </c>
      <c r="D26" s="61" t="s">
        <v>3096</v>
      </c>
      <c r="E26" s="122" t="s">
        <v>13</v>
      </c>
    </row>
    <row r="27">
      <c r="A27" s="90"/>
      <c r="B27" s="62" t="s">
        <v>2931</v>
      </c>
      <c r="C27" s="119" t="s">
        <v>668</v>
      </c>
      <c r="D27" s="62" t="s">
        <v>1808</v>
      </c>
      <c r="E27" s="122" t="s">
        <v>9</v>
      </c>
    </row>
    <row r="28">
      <c r="A28" s="90"/>
      <c r="B28" s="62" t="s">
        <v>2039</v>
      </c>
      <c r="C28" s="119" t="s">
        <v>668</v>
      </c>
      <c r="D28" s="62" t="s">
        <v>1928</v>
      </c>
      <c r="E28" s="122" t="s">
        <v>13</v>
      </c>
    </row>
    <row r="29">
      <c r="A29" s="90"/>
      <c r="B29" s="62" t="s">
        <v>2931</v>
      </c>
      <c r="C29" s="119" t="s">
        <v>668</v>
      </c>
      <c r="D29" s="61" t="s">
        <v>3096</v>
      </c>
      <c r="E29" s="122" t="s">
        <v>9</v>
      </c>
    </row>
    <row r="30">
      <c r="A30" s="90"/>
      <c r="B30" s="62" t="s">
        <v>2039</v>
      </c>
      <c r="C30" s="119" t="s">
        <v>668</v>
      </c>
      <c r="D30" s="62" t="s">
        <v>1808</v>
      </c>
      <c r="E30" s="122" t="s">
        <v>13</v>
      </c>
    </row>
    <row r="31">
      <c r="A31" s="90"/>
      <c r="B31" s="62" t="s">
        <v>2931</v>
      </c>
      <c r="C31" s="119" t="s">
        <v>668</v>
      </c>
      <c r="D31" s="62" t="s">
        <v>1928</v>
      </c>
      <c r="E31" s="122" t="s">
        <v>9</v>
      </c>
    </row>
    <row r="32">
      <c r="A32" s="90"/>
      <c r="B32" s="61" t="s">
        <v>3096</v>
      </c>
      <c r="C32" s="119" t="s">
        <v>668</v>
      </c>
      <c r="D32" s="62" t="s">
        <v>1808</v>
      </c>
      <c r="E32" s="122" t="s">
        <v>13</v>
      </c>
    </row>
    <row r="33">
      <c r="A33" s="90"/>
      <c r="B33" s="62" t="s">
        <v>2931</v>
      </c>
      <c r="C33" s="119" t="s">
        <v>668</v>
      </c>
      <c r="D33" s="62" t="s">
        <v>2039</v>
      </c>
      <c r="E33" s="122" t="s">
        <v>9</v>
      </c>
    </row>
    <row r="34">
      <c r="A34" s="90"/>
      <c r="B34" s="61" t="s">
        <v>3096</v>
      </c>
      <c r="C34" s="119" t="s">
        <v>668</v>
      </c>
      <c r="D34" s="62" t="s">
        <v>1928</v>
      </c>
      <c r="E34" s="122" t="s">
        <v>13</v>
      </c>
    </row>
    <row r="35">
      <c r="A35" s="90"/>
      <c r="B35" s="62" t="s">
        <v>1928</v>
      </c>
      <c r="C35" s="119" t="s">
        <v>668</v>
      </c>
      <c r="D35" s="62" t="s">
        <v>1808</v>
      </c>
      <c r="E35" s="122" t="s">
        <v>9</v>
      </c>
    </row>
    <row r="36">
      <c r="A36" s="90"/>
      <c r="B36" s="61" t="s">
        <v>3096</v>
      </c>
      <c r="C36" s="119" t="s">
        <v>668</v>
      </c>
      <c r="D36" s="62" t="s">
        <v>2039</v>
      </c>
      <c r="E36" s="122" t="s">
        <v>13</v>
      </c>
    </row>
    <row r="37">
      <c r="A37" s="90"/>
      <c r="B37" s="62" t="s">
        <v>1808</v>
      </c>
      <c r="C37" s="119" t="s">
        <v>668</v>
      </c>
      <c r="D37" s="62" t="s">
        <v>2931</v>
      </c>
      <c r="E37" s="122" t="s">
        <v>9</v>
      </c>
    </row>
    <row r="38">
      <c r="A38" s="90"/>
      <c r="B38" s="62" t="s">
        <v>1928</v>
      </c>
      <c r="C38" s="119" t="s">
        <v>668</v>
      </c>
      <c r="D38" s="62" t="s">
        <v>2039</v>
      </c>
      <c r="E38" s="122" t="s">
        <v>13</v>
      </c>
    </row>
    <row r="39">
      <c r="A39" s="90"/>
      <c r="B39" s="61" t="s">
        <v>3096</v>
      </c>
      <c r="C39" s="119" t="s">
        <v>668</v>
      </c>
      <c r="D39" s="62" t="s">
        <v>2931</v>
      </c>
      <c r="E39" s="122" t="s">
        <v>9</v>
      </c>
    </row>
    <row r="40">
      <c r="A40" s="90"/>
      <c r="B40" s="62" t="s">
        <v>1808</v>
      </c>
      <c r="C40" s="119" t="s">
        <v>668</v>
      </c>
      <c r="D40" s="62" t="s">
        <v>2039</v>
      </c>
      <c r="E40" s="122" t="s">
        <v>13</v>
      </c>
    </row>
    <row r="41">
      <c r="A41" s="90"/>
      <c r="B41" s="62" t="s">
        <v>1928</v>
      </c>
      <c r="C41" s="119" t="s">
        <v>668</v>
      </c>
      <c r="D41" s="62" t="s">
        <v>2931</v>
      </c>
      <c r="E41" s="122" t="s">
        <v>9</v>
      </c>
    </row>
    <row r="42">
      <c r="A42" s="90"/>
      <c r="B42" s="62" t="s">
        <v>1808</v>
      </c>
      <c r="C42" s="119" t="s">
        <v>668</v>
      </c>
      <c r="D42" s="61" t="s">
        <v>3096</v>
      </c>
      <c r="E42" s="122" t="s">
        <v>13</v>
      </c>
    </row>
    <row r="43">
      <c r="A43" s="90"/>
      <c r="B43" s="62" t="s">
        <v>2039</v>
      </c>
      <c r="C43" s="119" t="s">
        <v>668</v>
      </c>
      <c r="D43" s="62" t="s">
        <v>2931</v>
      </c>
      <c r="E43" s="122" t="s">
        <v>9</v>
      </c>
    </row>
    <row r="44">
      <c r="A44" s="91"/>
      <c r="B44" s="62" t="s">
        <v>1928</v>
      </c>
      <c r="C44" s="119" t="s">
        <v>668</v>
      </c>
      <c r="D44" s="61" t="s">
        <v>3096</v>
      </c>
      <c r="E44" s="122" t="s">
        <v>13</v>
      </c>
    </row>
    <row r="45">
      <c r="B45" s="96" t="s">
        <v>3097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387</v>
      </c>
      <c r="C47" s="119" t="s">
        <v>668</v>
      </c>
      <c r="D47" s="62" t="s">
        <v>386</v>
      </c>
      <c r="E47" s="122" t="s">
        <v>9</v>
      </c>
    </row>
    <row r="48">
      <c r="B48" s="62" t="s">
        <v>2958</v>
      </c>
      <c r="C48" s="119" t="s">
        <v>668</v>
      </c>
      <c r="D48" s="61" t="s">
        <v>3098</v>
      </c>
      <c r="E48" s="122" t="s">
        <v>13</v>
      </c>
    </row>
    <row r="49">
      <c r="B49" s="62" t="s">
        <v>388</v>
      </c>
      <c r="C49" s="119" t="s">
        <v>668</v>
      </c>
      <c r="D49" s="62" t="s">
        <v>387</v>
      </c>
      <c r="E49" s="122" t="s">
        <v>9</v>
      </c>
    </row>
    <row r="50">
      <c r="B50" s="62" t="s">
        <v>2958</v>
      </c>
      <c r="C50" s="119" t="s">
        <v>668</v>
      </c>
      <c r="D50" s="62" t="s">
        <v>386</v>
      </c>
      <c r="E50" s="122" t="s">
        <v>13</v>
      </c>
    </row>
    <row r="51">
      <c r="B51" s="62" t="s">
        <v>388</v>
      </c>
      <c r="C51" s="119" t="s">
        <v>668</v>
      </c>
      <c r="D51" s="61" t="s">
        <v>3098</v>
      </c>
      <c r="E51" s="122" t="s">
        <v>9</v>
      </c>
    </row>
    <row r="52">
      <c r="B52" s="62" t="s">
        <v>2958</v>
      </c>
      <c r="C52" s="119" t="s">
        <v>668</v>
      </c>
      <c r="D52" s="62" t="s">
        <v>387</v>
      </c>
      <c r="E52" s="122" t="s">
        <v>13</v>
      </c>
    </row>
    <row r="53">
      <c r="B53" s="62" t="s">
        <v>388</v>
      </c>
      <c r="C53" s="119" t="s">
        <v>668</v>
      </c>
      <c r="D53" s="62" t="s">
        <v>386</v>
      </c>
      <c r="E53" s="122" t="s">
        <v>9</v>
      </c>
    </row>
    <row r="54">
      <c r="B54" s="61" t="s">
        <v>3098</v>
      </c>
      <c r="C54" s="119" t="s">
        <v>668</v>
      </c>
      <c r="D54" s="62" t="s">
        <v>387</v>
      </c>
      <c r="E54" s="122" t="s">
        <v>13</v>
      </c>
    </row>
    <row r="55">
      <c r="B55" s="62" t="s">
        <v>388</v>
      </c>
      <c r="C55" s="119" t="s">
        <v>668</v>
      </c>
      <c r="D55" s="62" t="s">
        <v>2958</v>
      </c>
      <c r="E55" s="122" t="s">
        <v>9</v>
      </c>
    </row>
    <row r="56">
      <c r="B56" s="61" t="s">
        <v>3098</v>
      </c>
      <c r="C56" s="119" t="s">
        <v>668</v>
      </c>
      <c r="D56" s="62" t="s">
        <v>386</v>
      </c>
      <c r="E56" s="122" t="s">
        <v>13</v>
      </c>
    </row>
    <row r="57">
      <c r="B57" s="62" t="s">
        <v>386</v>
      </c>
      <c r="C57" s="119" t="s">
        <v>668</v>
      </c>
      <c r="D57" s="62" t="s">
        <v>387</v>
      </c>
      <c r="E57" s="122" t="s">
        <v>9</v>
      </c>
    </row>
    <row r="58">
      <c r="B58" s="61" t="s">
        <v>3098</v>
      </c>
      <c r="C58" s="119" t="s">
        <v>668</v>
      </c>
      <c r="D58" s="62" t="s">
        <v>2958</v>
      </c>
      <c r="E58" s="122" t="s">
        <v>13</v>
      </c>
    </row>
    <row r="59">
      <c r="B59" s="62" t="s">
        <v>387</v>
      </c>
      <c r="C59" s="119" t="s">
        <v>668</v>
      </c>
      <c r="D59" s="62" t="s">
        <v>388</v>
      </c>
      <c r="E59" s="122" t="s">
        <v>9</v>
      </c>
    </row>
    <row r="60">
      <c r="B60" s="62" t="s">
        <v>386</v>
      </c>
      <c r="C60" s="119" t="s">
        <v>668</v>
      </c>
      <c r="D60" s="62" t="s">
        <v>2958</v>
      </c>
      <c r="E60" s="122" t="s">
        <v>13</v>
      </c>
    </row>
    <row r="61">
      <c r="B61" s="61" t="s">
        <v>3098</v>
      </c>
      <c r="C61" s="119" t="s">
        <v>668</v>
      </c>
      <c r="D61" s="62" t="s">
        <v>388</v>
      </c>
      <c r="E61" s="122" t="s">
        <v>9</v>
      </c>
    </row>
    <row r="62">
      <c r="B62" s="62" t="s">
        <v>387</v>
      </c>
      <c r="C62" s="119" t="s">
        <v>668</v>
      </c>
      <c r="D62" s="62" t="s">
        <v>2958</v>
      </c>
      <c r="E62" s="122" t="s">
        <v>13</v>
      </c>
    </row>
    <row r="63">
      <c r="B63" s="62" t="s">
        <v>386</v>
      </c>
      <c r="C63" s="119" t="s">
        <v>668</v>
      </c>
      <c r="D63" s="62" t="s">
        <v>388</v>
      </c>
      <c r="E63" s="122" t="s">
        <v>9</v>
      </c>
    </row>
    <row r="64">
      <c r="B64" s="62" t="s">
        <v>387</v>
      </c>
      <c r="C64" s="119" t="s">
        <v>668</v>
      </c>
      <c r="D64" s="61" t="s">
        <v>3098</v>
      </c>
      <c r="E64" s="122" t="s">
        <v>13</v>
      </c>
    </row>
    <row r="65">
      <c r="B65" s="62" t="s">
        <v>2958</v>
      </c>
      <c r="C65" s="119" t="s">
        <v>668</v>
      </c>
      <c r="D65" s="62" t="s">
        <v>388</v>
      </c>
      <c r="E65" s="122" t="s">
        <v>9</v>
      </c>
    </row>
    <row r="66">
      <c r="B66" s="62" t="s">
        <v>386</v>
      </c>
      <c r="C66" s="119" t="s">
        <v>668</v>
      </c>
      <c r="D66" s="61" t="s">
        <v>3098</v>
      </c>
      <c r="E66" s="122" t="s">
        <v>13</v>
      </c>
    </row>
    <row r="67">
      <c r="B67" s="96" t="s">
        <v>2207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550</v>
      </c>
      <c r="C69" s="119" t="s">
        <v>668</v>
      </c>
      <c r="D69" s="62" t="s">
        <v>2595</v>
      </c>
      <c r="E69" s="122" t="s">
        <v>9</v>
      </c>
    </row>
    <row r="70">
      <c r="B70" s="62" t="s">
        <v>3099</v>
      </c>
      <c r="C70" s="119" t="s">
        <v>668</v>
      </c>
      <c r="D70" s="61" t="s">
        <v>1496</v>
      </c>
      <c r="E70" s="122" t="s">
        <v>13</v>
      </c>
    </row>
    <row r="71">
      <c r="B71" s="62" t="s">
        <v>3100</v>
      </c>
      <c r="C71" s="119" t="s">
        <v>668</v>
      </c>
      <c r="D71" s="62" t="s">
        <v>550</v>
      </c>
      <c r="E71" s="122" t="s">
        <v>9</v>
      </c>
    </row>
    <row r="72">
      <c r="B72" s="62" t="s">
        <v>3099</v>
      </c>
      <c r="C72" s="119" t="s">
        <v>668</v>
      </c>
      <c r="D72" s="62" t="s">
        <v>2595</v>
      </c>
      <c r="E72" s="122" t="s">
        <v>13</v>
      </c>
    </row>
    <row r="73">
      <c r="B73" s="62" t="s">
        <v>3100</v>
      </c>
      <c r="C73" s="119" t="s">
        <v>668</v>
      </c>
      <c r="D73" s="61" t="s">
        <v>1496</v>
      </c>
      <c r="E73" s="122" t="s">
        <v>9</v>
      </c>
    </row>
    <row r="74">
      <c r="B74" s="62" t="s">
        <v>3099</v>
      </c>
      <c r="C74" s="119" t="s">
        <v>668</v>
      </c>
      <c r="D74" s="62" t="s">
        <v>550</v>
      </c>
      <c r="E74" s="122" t="s">
        <v>13</v>
      </c>
    </row>
    <row r="75">
      <c r="B75" s="62" t="s">
        <v>3100</v>
      </c>
      <c r="C75" s="119" t="s">
        <v>668</v>
      </c>
      <c r="D75" s="62" t="s">
        <v>2595</v>
      </c>
      <c r="E75" s="122" t="s">
        <v>9</v>
      </c>
    </row>
    <row r="76">
      <c r="B76" s="61" t="s">
        <v>1496</v>
      </c>
      <c r="C76" s="119" t="s">
        <v>668</v>
      </c>
      <c r="D76" s="62" t="s">
        <v>550</v>
      </c>
      <c r="E76" s="122" t="s">
        <v>13</v>
      </c>
    </row>
    <row r="77">
      <c r="B77" s="62" t="s">
        <v>3100</v>
      </c>
      <c r="C77" s="119" t="s">
        <v>668</v>
      </c>
      <c r="D77" s="62" t="s">
        <v>3099</v>
      </c>
      <c r="E77" s="122" t="s">
        <v>9</v>
      </c>
    </row>
    <row r="78">
      <c r="B78" s="61" t="s">
        <v>1496</v>
      </c>
      <c r="C78" s="119" t="s">
        <v>668</v>
      </c>
      <c r="D78" s="62" t="s">
        <v>2595</v>
      </c>
      <c r="E78" s="122" t="s">
        <v>13</v>
      </c>
    </row>
    <row r="79">
      <c r="B79" s="62" t="s">
        <v>2595</v>
      </c>
      <c r="C79" s="119" t="s">
        <v>668</v>
      </c>
      <c r="D79" s="62" t="s">
        <v>550</v>
      </c>
      <c r="E79" s="122" t="s">
        <v>9</v>
      </c>
    </row>
    <row r="80">
      <c r="B80" s="61" t="s">
        <v>1496</v>
      </c>
      <c r="C80" s="119" t="s">
        <v>668</v>
      </c>
      <c r="D80" s="62" t="s">
        <v>3099</v>
      </c>
      <c r="E80" s="122" t="s">
        <v>13</v>
      </c>
    </row>
    <row r="81">
      <c r="B81" s="62" t="s">
        <v>550</v>
      </c>
      <c r="C81" s="119" t="s">
        <v>668</v>
      </c>
      <c r="D81" s="62" t="s">
        <v>3100</v>
      </c>
      <c r="E81" s="122" t="s">
        <v>9</v>
      </c>
    </row>
    <row r="82">
      <c r="B82" s="62" t="s">
        <v>2595</v>
      </c>
      <c r="C82" s="119" t="s">
        <v>668</v>
      </c>
      <c r="D82" s="62" t="s">
        <v>3099</v>
      </c>
      <c r="E82" s="122" t="s">
        <v>13</v>
      </c>
    </row>
    <row r="83">
      <c r="B83" s="61" t="s">
        <v>1496</v>
      </c>
      <c r="C83" s="119" t="s">
        <v>668</v>
      </c>
      <c r="D83" s="62" t="s">
        <v>3100</v>
      </c>
      <c r="E83" s="122" t="s">
        <v>9</v>
      </c>
    </row>
    <row r="84">
      <c r="B84" s="62" t="s">
        <v>550</v>
      </c>
      <c r="C84" s="119" t="s">
        <v>668</v>
      </c>
      <c r="D84" s="62" t="s">
        <v>3099</v>
      </c>
      <c r="E84" s="122" t="s">
        <v>13</v>
      </c>
    </row>
    <row r="85">
      <c r="B85" s="62" t="s">
        <v>2595</v>
      </c>
      <c r="C85" s="119" t="s">
        <v>668</v>
      </c>
      <c r="D85" s="62" t="s">
        <v>3100</v>
      </c>
      <c r="E85" s="122" t="s">
        <v>9</v>
      </c>
    </row>
    <row r="86">
      <c r="B86" s="62" t="s">
        <v>550</v>
      </c>
      <c r="C86" s="119" t="s">
        <v>668</v>
      </c>
      <c r="D86" s="61" t="s">
        <v>1496</v>
      </c>
      <c r="E86" s="122" t="s">
        <v>13</v>
      </c>
    </row>
    <row r="87">
      <c r="B87" s="62" t="s">
        <v>3099</v>
      </c>
      <c r="C87" s="119" t="s">
        <v>668</v>
      </c>
      <c r="D87" s="62" t="s">
        <v>3100</v>
      </c>
      <c r="E87" s="122" t="s">
        <v>9</v>
      </c>
    </row>
    <row r="88">
      <c r="B88" s="62" t="s">
        <v>2595</v>
      </c>
      <c r="C88" s="119" t="s">
        <v>668</v>
      </c>
      <c r="D88" s="61" t="s">
        <v>1496</v>
      </c>
      <c r="E88" s="122" t="s">
        <v>13</v>
      </c>
    </row>
    <row r="89">
      <c r="B89" s="96" t="s">
        <v>2693</v>
      </c>
      <c r="C89" s="2"/>
      <c r="D89" s="3"/>
      <c r="E89" s="107"/>
    </row>
    <row r="90">
      <c r="B90" s="108" t="s">
        <v>2</v>
      </c>
      <c r="C90" s="109" t="s">
        <v>3</v>
      </c>
      <c r="D90" s="109" t="s">
        <v>4</v>
      </c>
      <c r="E90" s="109" t="s">
        <v>5</v>
      </c>
    </row>
    <row r="91">
      <c r="B91" s="110" t="s">
        <v>3101</v>
      </c>
      <c r="C91" s="119" t="s">
        <v>668</v>
      </c>
      <c r="D91" s="112" t="s">
        <v>1135</v>
      </c>
      <c r="E91" s="118" t="s">
        <v>29</v>
      </c>
    </row>
    <row r="92">
      <c r="B92" s="110" t="s">
        <v>3102</v>
      </c>
      <c r="C92" s="119" t="s">
        <v>668</v>
      </c>
      <c r="D92" s="112" t="s">
        <v>1157</v>
      </c>
      <c r="E92" s="118" t="s">
        <v>33</v>
      </c>
    </row>
    <row r="93">
      <c r="B93" s="110" t="s">
        <v>3103</v>
      </c>
      <c r="C93" s="119" t="s">
        <v>668</v>
      </c>
      <c r="D93" s="112" t="s">
        <v>3101</v>
      </c>
      <c r="E93" s="118" t="s">
        <v>29</v>
      </c>
    </row>
    <row r="94">
      <c r="B94" s="110" t="s">
        <v>3102</v>
      </c>
      <c r="C94" s="119" t="s">
        <v>668</v>
      </c>
      <c r="D94" s="112" t="s">
        <v>1135</v>
      </c>
      <c r="E94" s="118" t="s">
        <v>33</v>
      </c>
    </row>
    <row r="95">
      <c r="B95" s="110" t="s">
        <v>3103</v>
      </c>
      <c r="C95" s="119" t="s">
        <v>668</v>
      </c>
      <c r="D95" s="112" t="s">
        <v>1157</v>
      </c>
      <c r="E95" s="118" t="s">
        <v>29</v>
      </c>
    </row>
    <row r="96">
      <c r="B96" s="110" t="s">
        <v>3102</v>
      </c>
      <c r="C96" s="119" t="s">
        <v>668</v>
      </c>
      <c r="D96" s="112" t="s">
        <v>3101</v>
      </c>
      <c r="E96" s="118" t="s">
        <v>33</v>
      </c>
    </row>
    <row r="97">
      <c r="B97" s="110" t="s">
        <v>3103</v>
      </c>
      <c r="C97" s="119" t="s">
        <v>668</v>
      </c>
      <c r="D97" s="112" t="s">
        <v>1135</v>
      </c>
      <c r="E97" s="118" t="s">
        <v>29</v>
      </c>
    </row>
    <row r="98">
      <c r="B98" s="110" t="s">
        <v>1157</v>
      </c>
      <c r="C98" s="119" t="s">
        <v>668</v>
      </c>
      <c r="D98" s="112" t="s">
        <v>3101</v>
      </c>
      <c r="E98" s="118" t="s">
        <v>33</v>
      </c>
    </row>
    <row r="99">
      <c r="B99" s="110" t="s">
        <v>3103</v>
      </c>
      <c r="C99" s="119" t="s">
        <v>668</v>
      </c>
      <c r="D99" s="112" t="s">
        <v>3102</v>
      </c>
      <c r="E99" s="118" t="s">
        <v>29</v>
      </c>
    </row>
    <row r="100">
      <c r="B100" s="110" t="s">
        <v>1157</v>
      </c>
      <c r="C100" s="119" t="s">
        <v>668</v>
      </c>
      <c r="D100" s="112" t="s">
        <v>1135</v>
      </c>
      <c r="E100" s="118" t="s">
        <v>33</v>
      </c>
    </row>
    <row r="101">
      <c r="B101" s="110" t="s">
        <v>1135</v>
      </c>
      <c r="C101" s="119" t="s">
        <v>668</v>
      </c>
      <c r="D101" s="112" t="s">
        <v>3101</v>
      </c>
      <c r="E101" s="118" t="s">
        <v>29</v>
      </c>
    </row>
    <row r="102">
      <c r="B102" s="110" t="s">
        <v>1157</v>
      </c>
      <c r="C102" s="119" t="s">
        <v>668</v>
      </c>
      <c r="D102" s="112" t="s">
        <v>3102</v>
      </c>
      <c r="E102" s="118" t="s">
        <v>33</v>
      </c>
    </row>
    <row r="103">
      <c r="B103" s="110" t="s">
        <v>3101</v>
      </c>
      <c r="C103" s="119" t="s">
        <v>668</v>
      </c>
      <c r="D103" s="110" t="s">
        <v>3103</v>
      </c>
      <c r="E103" s="118" t="s">
        <v>29</v>
      </c>
    </row>
    <row r="104">
      <c r="B104" s="110" t="s">
        <v>1135</v>
      </c>
      <c r="C104" s="119" t="s">
        <v>668</v>
      </c>
      <c r="D104" s="112" t="s">
        <v>3102</v>
      </c>
      <c r="E104" s="118" t="s">
        <v>33</v>
      </c>
    </row>
    <row r="105">
      <c r="B105" s="110" t="s">
        <v>1157</v>
      </c>
      <c r="C105" s="119" t="s">
        <v>668</v>
      </c>
      <c r="D105" s="110" t="s">
        <v>3103</v>
      </c>
      <c r="E105" s="118" t="s">
        <v>29</v>
      </c>
    </row>
    <row r="106">
      <c r="B106" s="110" t="s">
        <v>3101</v>
      </c>
      <c r="C106" s="119" t="s">
        <v>668</v>
      </c>
      <c r="D106" s="112" t="s">
        <v>3102</v>
      </c>
      <c r="E106" s="118" t="s">
        <v>33</v>
      </c>
    </row>
    <row r="107">
      <c r="B107" s="110" t="s">
        <v>1135</v>
      </c>
      <c r="C107" s="119" t="s">
        <v>668</v>
      </c>
      <c r="D107" s="110" t="s">
        <v>3103</v>
      </c>
      <c r="E107" s="118" t="s">
        <v>29</v>
      </c>
    </row>
    <row r="108">
      <c r="B108" s="110" t="s">
        <v>3101</v>
      </c>
      <c r="C108" s="119" t="s">
        <v>668</v>
      </c>
      <c r="D108" s="112" t="s">
        <v>1157</v>
      </c>
      <c r="E108" s="118" t="s">
        <v>33</v>
      </c>
    </row>
    <row r="109">
      <c r="B109" s="110" t="s">
        <v>3102</v>
      </c>
      <c r="C109" s="119" t="s">
        <v>668</v>
      </c>
      <c r="D109" s="110" t="s">
        <v>3103</v>
      </c>
      <c r="E109" s="118" t="s">
        <v>29</v>
      </c>
    </row>
    <row r="110">
      <c r="B110" s="110" t="s">
        <v>1135</v>
      </c>
      <c r="C110" s="119" t="s">
        <v>668</v>
      </c>
      <c r="D110" s="112" t="s">
        <v>1157</v>
      </c>
      <c r="E110" s="118" t="s">
        <v>33</v>
      </c>
    </row>
    <row r="111">
      <c r="B111" s="96" t="s">
        <v>2741</v>
      </c>
      <c r="C111" s="2"/>
      <c r="D111" s="3"/>
      <c r="E111" s="107"/>
    </row>
    <row r="112">
      <c r="B112" s="108" t="s">
        <v>2</v>
      </c>
      <c r="C112" s="109" t="s">
        <v>3</v>
      </c>
      <c r="D112" s="109" t="s">
        <v>4</v>
      </c>
      <c r="E112" s="109" t="s">
        <v>5</v>
      </c>
    </row>
    <row r="113">
      <c r="B113" s="110" t="s">
        <v>3104</v>
      </c>
      <c r="C113" s="111" t="s">
        <v>2844</v>
      </c>
      <c r="D113" s="112" t="s">
        <v>2253</v>
      </c>
      <c r="E113" s="33" t="s">
        <v>29</v>
      </c>
    </row>
    <row r="114">
      <c r="B114" s="110" t="s">
        <v>1439</v>
      </c>
      <c r="C114" s="111" t="s">
        <v>195</v>
      </c>
      <c r="D114" s="112" t="s">
        <v>1438</v>
      </c>
      <c r="E114" s="33" t="s">
        <v>33</v>
      </c>
    </row>
    <row r="115">
      <c r="B115" s="110" t="s">
        <v>2594</v>
      </c>
      <c r="C115" s="111" t="s">
        <v>289</v>
      </c>
      <c r="D115" s="112" t="s">
        <v>3104</v>
      </c>
      <c r="E115" s="33" t="s">
        <v>29</v>
      </c>
    </row>
    <row r="116">
      <c r="B116" s="110" t="s">
        <v>1439</v>
      </c>
      <c r="C116" s="111" t="s">
        <v>44</v>
      </c>
      <c r="D116" s="112" t="s">
        <v>2253</v>
      </c>
      <c r="E116" s="33" t="s">
        <v>33</v>
      </c>
    </row>
    <row r="117">
      <c r="B117" s="110" t="s">
        <v>2594</v>
      </c>
      <c r="C117" s="111" t="s">
        <v>19</v>
      </c>
      <c r="D117" s="112" t="s">
        <v>1438</v>
      </c>
      <c r="E117" s="33" t="s">
        <v>29</v>
      </c>
    </row>
    <row r="118">
      <c r="B118" s="110" t="s">
        <v>1439</v>
      </c>
      <c r="C118" s="111" t="s">
        <v>219</v>
      </c>
      <c r="D118" s="112" t="s">
        <v>3104</v>
      </c>
      <c r="E118" s="33" t="s">
        <v>33</v>
      </c>
    </row>
    <row r="119">
      <c r="B119" s="110" t="s">
        <v>2594</v>
      </c>
      <c r="C119" s="111" t="s">
        <v>185</v>
      </c>
      <c r="D119" s="112" t="s">
        <v>2253</v>
      </c>
      <c r="E119" s="33" t="s">
        <v>29</v>
      </c>
    </row>
    <row r="120">
      <c r="B120" s="110" t="s">
        <v>1438</v>
      </c>
      <c r="C120" s="111" t="s">
        <v>576</v>
      </c>
      <c r="D120" s="112" t="s">
        <v>3104</v>
      </c>
      <c r="E120" s="33" t="s">
        <v>33</v>
      </c>
    </row>
    <row r="121">
      <c r="B121" s="110" t="s">
        <v>2594</v>
      </c>
      <c r="C121" s="111" t="s">
        <v>17</v>
      </c>
      <c r="D121" s="112" t="s">
        <v>1439</v>
      </c>
      <c r="E121" s="33" t="s">
        <v>29</v>
      </c>
    </row>
    <row r="122">
      <c r="B122" s="110" t="s">
        <v>1438</v>
      </c>
      <c r="C122" s="111" t="s">
        <v>354</v>
      </c>
      <c r="D122" s="112" t="s">
        <v>2253</v>
      </c>
      <c r="E122" s="33" t="s">
        <v>33</v>
      </c>
    </row>
    <row r="123">
      <c r="B123" s="110" t="s">
        <v>2253</v>
      </c>
      <c r="C123" s="111" t="s">
        <v>291</v>
      </c>
      <c r="D123" s="112" t="s">
        <v>3104</v>
      </c>
      <c r="E123" s="33" t="s">
        <v>29</v>
      </c>
    </row>
    <row r="124">
      <c r="B124" s="110" t="s">
        <v>1438</v>
      </c>
      <c r="C124" s="111" t="s">
        <v>336</v>
      </c>
      <c r="D124" s="112" t="s">
        <v>1439</v>
      </c>
      <c r="E124" s="33" t="s">
        <v>33</v>
      </c>
    </row>
    <row r="125">
      <c r="B125" s="110" t="s">
        <v>3104</v>
      </c>
      <c r="C125" s="111" t="s">
        <v>291</v>
      </c>
      <c r="D125" s="110" t="s">
        <v>2594</v>
      </c>
      <c r="E125" s="33" t="s">
        <v>29</v>
      </c>
    </row>
    <row r="126">
      <c r="B126" s="110" t="s">
        <v>2253</v>
      </c>
      <c r="C126" s="111" t="s">
        <v>18</v>
      </c>
      <c r="D126" s="112" t="s">
        <v>1439</v>
      </c>
      <c r="E126" s="33" t="s">
        <v>33</v>
      </c>
    </row>
    <row r="127">
      <c r="B127" s="110" t="s">
        <v>1438</v>
      </c>
      <c r="C127" s="111" t="s">
        <v>194</v>
      </c>
      <c r="D127" s="110" t="s">
        <v>2594</v>
      </c>
      <c r="E127" s="33" t="s">
        <v>29</v>
      </c>
    </row>
    <row r="128">
      <c r="B128" s="110" t="s">
        <v>3104</v>
      </c>
      <c r="C128" s="111" t="s">
        <v>524</v>
      </c>
      <c r="D128" s="112" t="s">
        <v>1439</v>
      </c>
      <c r="E128" s="33" t="s">
        <v>33</v>
      </c>
    </row>
    <row r="129">
      <c r="B129" s="110" t="s">
        <v>2253</v>
      </c>
      <c r="C129" s="111" t="s">
        <v>43</v>
      </c>
      <c r="D129" s="110" t="s">
        <v>2594</v>
      </c>
      <c r="E129" s="33" t="s">
        <v>29</v>
      </c>
    </row>
    <row r="130">
      <c r="B130" s="110" t="s">
        <v>3104</v>
      </c>
      <c r="C130" s="111" t="s">
        <v>640</v>
      </c>
      <c r="D130" s="112" t="s">
        <v>1438</v>
      </c>
      <c r="E130" s="33" t="s">
        <v>33</v>
      </c>
    </row>
    <row r="131">
      <c r="B131" s="110" t="s">
        <v>1439</v>
      </c>
      <c r="C131" s="111" t="s">
        <v>222</v>
      </c>
      <c r="D131" s="110" t="s">
        <v>2594</v>
      </c>
      <c r="E131" s="33" t="s">
        <v>29</v>
      </c>
    </row>
    <row r="132">
      <c r="B132" s="110" t="s">
        <v>2253</v>
      </c>
      <c r="C132" s="111" t="s">
        <v>41</v>
      </c>
      <c r="D132" s="112" t="s">
        <v>1438</v>
      </c>
      <c r="E132" s="33" t="s">
        <v>33</v>
      </c>
    </row>
    <row r="133">
      <c r="B133" s="96" t="s">
        <v>3105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3106</v>
      </c>
      <c r="C135" s="111" t="s">
        <v>324</v>
      </c>
      <c r="D135" s="62" t="s">
        <v>1967</v>
      </c>
      <c r="E135" s="11" t="s">
        <v>9</v>
      </c>
    </row>
    <row r="136">
      <c r="B136" s="62" t="s">
        <v>2975</v>
      </c>
      <c r="C136" s="111" t="s">
        <v>20</v>
      </c>
      <c r="D136" s="61" t="s">
        <v>3107</v>
      </c>
      <c r="E136" s="11" t="s">
        <v>13</v>
      </c>
    </row>
    <row r="137">
      <c r="B137" s="62" t="s">
        <v>2977</v>
      </c>
      <c r="C137" s="111" t="s">
        <v>19</v>
      </c>
      <c r="D137" s="62" t="s">
        <v>3106</v>
      </c>
      <c r="E137" s="11" t="s">
        <v>9</v>
      </c>
    </row>
    <row r="138">
      <c r="B138" s="62" t="s">
        <v>2975</v>
      </c>
      <c r="C138" s="111" t="s">
        <v>19</v>
      </c>
      <c r="D138" s="62" t="s">
        <v>1967</v>
      </c>
      <c r="E138" s="11" t="s">
        <v>13</v>
      </c>
    </row>
    <row r="139">
      <c r="B139" s="62" t="s">
        <v>2977</v>
      </c>
      <c r="C139" s="111" t="s">
        <v>20</v>
      </c>
      <c r="D139" s="61" t="s">
        <v>3107</v>
      </c>
      <c r="E139" s="11" t="s">
        <v>9</v>
      </c>
    </row>
    <row r="140">
      <c r="B140" s="62" t="s">
        <v>2975</v>
      </c>
      <c r="C140" s="111" t="s">
        <v>380</v>
      </c>
      <c r="D140" s="62" t="s">
        <v>3106</v>
      </c>
      <c r="E140" s="11" t="s">
        <v>13</v>
      </c>
    </row>
    <row r="141">
      <c r="B141" s="62" t="s">
        <v>2977</v>
      </c>
      <c r="C141" s="111" t="s">
        <v>357</v>
      </c>
      <c r="D141" s="62" t="s">
        <v>1967</v>
      </c>
      <c r="E141" s="11" t="s">
        <v>9</v>
      </c>
    </row>
    <row r="142">
      <c r="B142" s="61" t="s">
        <v>3107</v>
      </c>
      <c r="C142" s="111" t="s">
        <v>155</v>
      </c>
      <c r="D142" s="62" t="s">
        <v>3106</v>
      </c>
      <c r="E142" s="11" t="s">
        <v>13</v>
      </c>
    </row>
    <row r="143">
      <c r="B143" s="62" t="s">
        <v>2977</v>
      </c>
      <c r="C143" s="111" t="s">
        <v>16</v>
      </c>
      <c r="D143" s="62" t="s">
        <v>2975</v>
      </c>
      <c r="E143" s="11" t="s">
        <v>9</v>
      </c>
    </row>
    <row r="144">
      <c r="B144" s="61" t="s">
        <v>3107</v>
      </c>
      <c r="C144" s="111" t="s">
        <v>271</v>
      </c>
      <c r="D144" s="62" t="s">
        <v>1967</v>
      </c>
      <c r="E144" s="11" t="s">
        <v>13</v>
      </c>
    </row>
    <row r="145">
      <c r="B145" s="62" t="s">
        <v>1967</v>
      </c>
      <c r="C145" s="111" t="s">
        <v>158</v>
      </c>
      <c r="D145" s="62" t="s">
        <v>3106</v>
      </c>
      <c r="E145" s="11" t="s">
        <v>9</v>
      </c>
    </row>
    <row r="146">
      <c r="B146" s="61" t="s">
        <v>3107</v>
      </c>
      <c r="C146" s="111" t="s">
        <v>289</v>
      </c>
      <c r="D146" s="62" t="s">
        <v>2975</v>
      </c>
      <c r="E146" s="11" t="s">
        <v>13</v>
      </c>
    </row>
    <row r="147">
      <c r="B147" s="62" t="s">
        <v>3106</v>
      </c>
      <c r="C147" s="111" t="s">
        <v>158</v>
      </c>
      <c r="D147" s="62" t="s">
        <v>2977</v>
      </c>
      <c r="E147" s="11" t="s">
        <v>9</v>
      </c>
    </row>
    <row r="148">
      <c r="B148" s="62" t="s">
        <v>1967</v>
      </c>
      <c r="C148" s="111" t="s">
        <v>20</v>
      </c>
      <c r="D148" s="62" t="s">
        <v>2975</v>
      </c>
      <c r="E148" s="11" t="s">
        <v>13</v>
      </c>
    </row>
    <row r="149">
      <c r="B149" s="61" t="s">
        <v>3107</v>
      </c>
      <c r="C149" s="111" t="s">
        <v>23</v>
      </c>
      <c r="D149" s="62" t="s">
        <v>2977</v>
      </c>
      <c r="E149" s="11" t="s">
        <v>9</v>
      </c>
    </row>
    <row r="150">
      <c r="B150" s="62" t="s">
        <v>3106</v>
      </c>
      <c r="C150" s="111" t="s">
        <v>23</v>
      </c>
      <c r="D150" s="62" t="s">
        <v>2975</v>
      </c>
      <c r="E150" s="11" t="s">
        <v>13</v>
      </c>
    </row>
    <row r="151">
      <c r="B151" s="62" t="s">
        <v>1967</v>
      </c>
      <c r="C151" s="111" t="s">
        <v>251</v>
      </c>
      <c r="D151" s="62" t="s">
        <v>2977</v>
      </c>
      <c r="E151" s="11" t="s">
        <v>9</v>
      </c>
    </row>
    <row r="152">
      <c r="B152" s="62" t="s">
        <v>3106</v>
      </c>
      <c r="C152" s="111" t="s">
        <v>20</v>
      </c>
      <c r="D152" s="61" t="s">
        <v>3107</v>
      </c>
      <c r="E152" s="11" t="s">
        <v>13</v>
      </c>
    </row>
    <row r="153">
      <c r="B153" s="62" t="s">
        <v>2975</v>
      </c>
      <c r="C153" s="111" t="s">
        <v>158</v>
      </c>
      <c r="D153" s="62" t="s">
        <v>2977</v>
      </c>
      <c r="E153" s="11" t="s">
        <v>9</v>
      </c>
    </row>
    <row r="154">
      <c r="B154" s="62" t="s">
        <v>1967</v>
      </c>
      <c r="C154" s="111" t="s">
        <v>181</v>
      </c>
      <c r="D154" s="61" t="s">
        <v>3107</v>
      </c>
      <c r="E154" s="11" t="s">
        <v>13</v>
      </c>
    </row>
    <row r="155">
      <c r="B155" s="96" t="s">
        <v>3108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2470</v>
      </c>
      <c r="C157" s="111" t="s">
        <v>162</v>
      </c>
      <c r="D157" s="62" t="s">
        <v>1787</v>
      </c>
      <c r="E157" s="11" t="s">
        <v>9</v>
      </c>
    </row>
    <row r="158">
      <c r="B158" s="62" t="s">
        <v>3109</v>
      </c>
      <c r="C158" s="111" t="s">
        <v>316</v>
      </c>
      <c r="D158" s="61" t="s">
        <v>135</v>
      </c>
      <c r="E158" s="11" t="s">
        <v>13</v>
      </c>
    </row>
    <row r="159">
      <c r="B159" s="62" t="s">
        <v>3110</v>
      </c>
      <c r="C159" s="111" t="s">
        <v>182</v>
      </c>
      <c r="D159" s="62" t="s">
        <v>2470</v>
      </c>
      <c r="E159" s="11" t="s">
        <v>9</v>
      </c>
    </row>
    <row r="160">
      <c r="B160" s="62" t="s">
        <v>3109</v>
      </c>
      <c r="C160" s="111" t="s">
        <v>171</v>
      </c>
      <c r="D160" s="62" t="s">
        <v>1787</v>
      </c>
      <c r="E160" s="11" t="s">
        <v>13</v>
      </c>
    </row>
    <row r="161">
      <c r="B161" s="62" t="s">
        <v>3110</v>
      </c>
      <c r="C161" s="111" t="s">
        <v>209</v>
      </c>
      <c r="D161" s="61" t="s">
        <v>135</v>
      </c>
      <c r="E161" s="11" t="s">
        <v>9</v>
      </c>
    </row>
    <row r="162">
      <c r="B162" s="62" t="s">
        <v>3109</v>
      </c>
      <c r="C162" s="111" t="s">
        <v>301</v>
      </c>
      <c r="D162" s="62" t="s">
        <v>2470</v>
      </c>
      <c r="E162" s="11" t="s">
        <v>13</v>
      </c>
    </row>
    <row r="163">
      <c r="B163" s="62" t="s">
        <v>3110</v>
      </c>
      <c r="C163" s="111" t="s">
        <v>23</v>
      </c>
      <c r="D163" s="62" t="s">
        <v>1787</v>
      </c>
      <c r="E163" s="11" t="s">
        <v>9</v>
      </c>
    </row>
    <row r="164">
      <c r="B164" s="61" t="s">
        <v>135</v>
      </c>
      <c r="C164" s="111" t="s">
        <v>181</v>
      </c>
      <c r="D164" s="62" t="s">
        <v>2470</v>
      </c>
      <c r="E164" s="11" t="s">
        <v>13</v>
      </c>
    </row>
    <row r="165">
      <c r="B165" s="62" t="s">
        <v>3110</v>
      </c>
      <c r="C165" s="111" t="s">
        <v>23</v>
      </c>
      <c r="D165" s="62" t="s">
        <v>3109</v>
      </c>
      <c r="E165" s="11" t="s">
        <v>9</v>
      </c>
    </row>
    <row r="166">
      <c r="B166" s="61" t="s">
        <v>135</v>
      </c>
      <c r="C166" s="111" t="s">
        <v>245</v>
      </c>
      <c r="D166" s="62" t="s">
        <v>1787</v>
      </c>
      <c r="E166" s="11" t="s">
        <v>13</v>
      </c>
    </row>
    <row r="167">
      <c r="B167" s="62" t="s">
        <v>1787</v>
      </c>
      <c r="C167" s="111" t="s">
        <v>220</v>
      </c>
      <c r="D167" s="62" t="s">
        <v>2470</v>
      </c>
      <c r="E167" s="11" t="s">
        <v>9</v>
      </c>
    </row>
    <row r="168">
      <c r="B168" s="61" t="s">
        <v>135</v>
      </c>
      <c r="C168" s="111" t="s">
        <v>257</v>
      </c>
      <c r="D168" s="62" t="s">
        <v>3109</v>
      </c>
      <c r="E168" s="11" t="s">
        <v>13</v>
      </c>
    </row>
    <row r="169">
      <c r="B169" s="62" t="s">
        <v>2470</v>
      </c>
      <c r="C169" s="111" t="s">
        <v>166</v>
      </c>
      <c r="D169" s="62" t="s">
        <v>3110</v>
      </c>
      <c r="E169" s="11" t="s">
        <v>9</v>
      </c>
    </row>
    <row r="170">
      <c r="B170" s="62" t="s">
        <v>1787</v>
      </c>
      <c r="C170" s="111" t="s">
        <v>23</v>
      </c>
      <c r="D170" s="62" t="s">
        <v>3109</v>
      </c>
      <c r="E170" s="11" t="s">
        <v>13</v>
      </c>
    </row>
    <row r="171">
      <c r="B171" s="61" t="s">
        <v>135</v>
      </c>
      <c r="C171" s="111" t="s">
        <v>7</v>
      </c>
      <c r="D171" s="62" t="s">
        <v>3110</v>
      </c>
      <c r="E171" s="11" t="s">
        <v>9</v>
      </c>
    </row>
    <row r="172">
      <c r="B172" s="62" t="s">
        <v>2470</v>
      </c>
      <c r="C172" s="111" t="s">
        <v>176</v>
      </c>
      <c r="D172" s="62" t="s">
        <v>3109</v>
      </c>
      <c r="E172" s="11" t="s">
        <v>13</v>
      </c>
    </row>
    <row r="173">
      <c r="B173" s="62" t="s">
        <v>1787</v>
      </c>
      <c r="C173" s="111" t="s">
        <v>20</v>
      </c>
      <c r="D173" s="62" t="s">
        <v>3110</v>
      </c>
      <c r="E173" s="11" t="s">
        <v>9</v>
      </c>
    </row>
    <row r="174">
      <c r="B174" s="62" t="s">
        <v>2470</v>
      </c>
      <c r="C174" s="111" t="s">
        <v>195</v>
      </c>
      <c r="D174" s="61" t="s">
        <v>135</v>
      </c>
      <c r="E174" s="11" t="s">
        <v>13</v>
      </c>
    </row>
    <row r="175">
      <c r="B175" s="62" t="s">
        <v>3109</v>
      </c>
      <c r="C175" s="111" t="s">
        <v>160</v>
      </c>
      <c r="D175" s="62" t="s">
        <v>3110</v>
      </c>
      <c r="E175" s="11" t="s">
        <v>9</v>
      </c>
    </row>
    <row r="176">
      <c r="B176" s="62" t="s">
        <v>1787</v>
      </c>
      <c r="C176" s="111" t="s">
        <v>194</v>
      </c>
      <c r="D176" s="61" t="s">
        <v>135</v>
      </c>
      <c r="E176" s="11" t="s">
        <v>13</v>
      </c>
    </row>
    <row r="177">
      <c r="B177" s="96" t="s">
        <v>3111</v>
      </c>
      <c r="C177" s="2"/>
      <c r="D177" s="3"/>
      <c r="E177" s="107"/>
    </row>
    <row r="178">
      <c r="B178" s="108" t="s">
        <v>2</v>
      </c>
      <c r="C178" s="109" t="s">
        <v>3</v>
      </c>
      <c r="D178" s="109" t="s">
        <v>4</v>
      </c>
      <c r="E178" s="109" t="s">
        <v>5</v>
      </c>
    </row>
    <row r="179">
      <c r="B179" s="110" t="s">
        <v>3112</v>
      </c>
      <c r="C179" s="111" t="s">
        <v>162</v>
      </c>
      <c r="D179" s="112" t="s">
        <v>2617</v>
      </c>
      <c r="E179" s="33" t="s">
        <v>29</v>
      </c>
    </row>
    <row r="180">
      <c r="B180" s="110" t="s">
        <v>1368</v>
      </c>
      <c r="C180" s="111" t="s">
        <v>34</v>
      </c>
      <c r="D180" s="112" t="s">
        <v>2077</v>
      </c>
      <c r="E180" s="33" t="s">
        <v>33</v>
      </c>
    </row>
    <row r="181">
      <c r="B181" s="110" t="s">
        <v>1907</v>
      </c>
      <c r="C181" s="111" t="s">
        <v>19</v>
      </c>
      <c r="D181" s="112" t="s">
        <v>3112</v>
      </c>
      <c r="E181" s="33" t="s">
        <v>29</v>
      </c>
    </row>
    <row r="182">
      <c r="B182" s="110" t="s">
        <v>1368</v>
      </c>
      <c r="C182" s="111" t="s">
        <v>19</v>
      </c>
      <c r="D182" s="112" t="s">
        <v>2617</v>
      </c>
      <c r="E182" s="33" t="s">
        <v>33</v>
      </c>
    </row>
    <row r="183">
      <c r="B183" s="110" t="s">
        <v>1907</v>
      </c>
      <c r="C183" s="111" t="s">
        <v>209</v>
      </c>
      <c r="D183" s="112" t="s">
        <v>2077</v>
      </c>
      <c r="E183" s="33" t="s">
        <v>29</v>
      </c>
    </row>
    <row r="184">
      <c r="B184" s="110" t="s">
        <v>1368</v>
      </c>
      <c r="C184" s="111" t="s">
        <v>244</v>
      </c>
      <c r="D184" s="112" t="s">
        <v>3112</v>
      </c>
      <c r="E184" s="33" t="s">
        <v>33</v>
      </c>
    </row>
    <row r="185">
      <c r="B185" s="110" t="s">
        <v>1907</v>
      </c>
      <c r="C185" s="111" t="s">
        <v>17</v>
      </c>
      <c r="D185" s="112" t="s">
        <v>2617</v>
      </c>
      <c r="E185" s="33" t="s">
        <v>29</v>
      </c>
    </row>
    <row r="186">
      <c r="B186" s="110" t="s">
        <v>2077</v>
      </c>
      <c r="C186" s="111" t="s">
        <v>19</v>
      </c>
      <c r="D186" s="112" t="s">
        <v>3112</v>
      </c>
      <c r="E186" s="33" t="s">
        <v>33</v>
      </c>
    </row>
    <row r="187">
      <c r="B187" s="110" t="s">
        <v>1907</v>
      </c>
      <c r="C187" s="111" t="s">
        <v>433</v>
      </c>
      <c r="D187" s="112" t="s">
        <v>1368</v>
      </c>
      <c r="E187" s="33" t="s">
        <v>29</v>
      </c>
    </row>
    <row r="188">
      <c r="B188" s="110" t="s">
        <v>2077</v>
      </c>
      <c r="C188" s="111" t="s">
        <v>159</v>
      </c>
      <c r="D188" s="112" t="s">
        <v>2617</v>
      </c>
      <c r="E188" s="33" t="s">
        <v>33</v>
      </c>
      <c r="I188" s="50" t="s">
        <v>861</v>
      </c>
    </row>
    <row r="189">
      <c r="B189" s="110" t="s">
        <v>2617</v>
      </c>
      <c r="C189" s="111" t="s">
        <v>17</v>
      </c>
      <c r="D189" s="112" t="s">
        <v>3112</v>
      </c>
      <c r="E189" s="33" t="s">
        <v>29</v>
      </c>
    </row>
    <row r="190">
      <c r="B190" s="110" t="s">
        <v>2077</v>
      </c>
      <c r="C190" s="111" t="s">
        <v>404</v>
      </c>
      <c r="D190" s="112" t="s">
        <v>1368</v>
      </c>
      <c r="E190" s="33" t="s">
        <v>33</v>
      </c>
    </row>
    <row r="191">
      <c r="B191" s="110" t="s">
        <v>3112</v>
      </c>
      <c r="C191" s="111" t="s">
        <v>17</v>
      </c>
      <c r="D191" s="110" t="s">
        <v>1907</v>
      </c>
      <c r="E191" s="33" t="s">
        <v>29</v>
      </c>
    </row>
    <row r="192">
      <c r="B192" s="110" t="s">
        <v>2617</v>
      </c>
      <c r="C192" s="111" t="s">
        <v>3113</v>
      </c>
      <c r="D192" s="112" t="s">
        <v>1368</v>
      </c>
      <c r="E192" s="33" t="s">
        <v>33</v>
      </c>
    </row>
    <row r="193">
      <c r="B193" s="110" t="s">
        <v>2077</v>
      </c>
      <c r="C193" s="111" t="s">
        <v>257</v>
      </c>
      <c r="D193" s="110" t="s">
        <v>1907</v>
      </c>
      <c r="E193" s="33" t="s">
        <v>29</v>
      </c>
    </row>
    <row r="194">
      <c r="B194" s="110" t="s">
        <v>3112</v>
      </c>
      <c r="C194" s="111" t="s">
        <v>882</v>
      </c>
      <c r="D194" s="112" t="s">
        <v>1368</v>
      </c>
      <c r="E194" s="33" t="s">
        <v>33</v>
      </c>
    </row>
    <row r="195">
      <c r="B195" s="110" t="s">
        <v>2617</v>
      </c>
      <c r="C195" s="111" t="s">
        <v>245</v>
      </c>
      <c r="D195" s="110" t="s">
        <v>1907</v>
      </c>
      <c r="E195" s="33" t="s">
        <v>29</v>
      </c>
    </row>
    <row r="196">
      <c r="B196" s="110" t="s">
        <v>3112</v>
      </c>
      <c r="C196" s="111" t="s">
        <v>196</v>
      </c>
      <c r="D196" s="112" t="s">
        <v>2077</v>
      </c>
      <c r="E196" s="33" t="s">
        <v>33</v>
      </c>
    </row>
    <row r="197">
      <c r="B197" s="110" t="s">
        <v>1368</v>
      </c>
      <c r="C197" s="111" t="s">
        <v>324</v>
      </c>
      <c r="D197" s="110" t="s">
        <v>1907</v>
      </c>
      <c r="E197" s="33" t="s">
        <v>29</v>
      </c>
    </row>
    <row r="198">
      <c r="B198" s="110" t="s">
        <v>2617</v>
      </c>
      <c r="C198" s="111" t="s">
        <v>159</v>
      </c>
      <c r="D198" s="112" t="s">
        <v>2077</v>
      </c>
      <c r="E198" s="33" t="s">
        <v>33</v>
      </c>
    </row>
    <row r="199">
      <c r="B199" s="96" t="s">
        <v>3085</v>
      </c>
      <c r="C199" s="2"/>
      <c r="D199" s="3"/>
      <c r="E199" s="107"/>
    </row>
    <row r="200">
      <c r="B200" s="108" t="s">
        <v>2</v>
      </c>
      <c r="C200" s="109" t="s">
        <v>3</v>
      </c>
      <c r="D200" s="109" t="s">
        <v>4</v>
      </c>
      <c r="E200" s="109" t="s">
        <v>5</v>
      </c>
    </row>
    <row r="201">
      <c r="B201" s="110" t="s">
        <v>3114</v>
      </c>
      <c r="C201" s="111" t="s">
        <v>454</v>
      </c>
      <c r="D201" s="112" t="s">
        <v>2127</v>
      </c>
      <c r="E201" s="33" t="s">
        <v>29</v>
      </c>
    </row>
    <row r="202">
      <c r="B202" s="110" t="s">
        <v>3115</v>
      </c>
      <c r="C202" s="111" t="s">
        <v>433</v>
      </c>
      <c r="D202" s="112" t="s">
        <v>2128</v>
      </c>
      <c r="E202" s="33" t="s">
        <v>33</v>
      </c>
    </row>
    <row r="203">
      <c r="B203" s="110" t="s">
        <v>3116</v>
      </c>
      <c r="C203" s="111" t="s">
        <v>20</v>
      </c>
      <c r="D203" s="112" t="s">
        <v>3114</v>
      </c>
      <c r="E203" s="33" t="s">
        <v>29</v>
      </c>
    </row>
    <row r="204">
      <c r="B204" s="110" t="s">
        <v>3115</v>
      </c>
      <c r="C204" s="111" t="s">
        <v>209</v>
      </c>
      <c r="D204" s="112" t="s">
        <v>2127</v>
      </c>
      <c r="E204" s="33" t="s">
        <v>33</v>
      </c>
    </row>
    <row r="205">
      <c r="B205" s="110" t="s">
        <v>3116</v>
      </c>
      <c r="C205" s="111" t="s">
        <v>19</v>
      </c>
      <c r="D205" s="112" t="s">
        <v>2128</v>
      </c>
      <c r="E205" s="33" t="s">
        <v>29</v>
      </c>
    </row>
    <row r="206">
      <c r="B206" s="110" t="s">
        <v>3115</v>
      </c>
      <c r="C206" s="111" t="s">
        <v>23</v>
      </c>
      <c r="D206" s="112" t="s">
        <v>3114</v>
      </c>
      <c r="E206" s="33" t="s">
        <v>33</v>
      </c>
    </row>
    <row r="207">
      <c r="B207" s="110" t="s">
        <v>3116</v>
      </c>
      <c r="C207" s="111" t="s">
        <v>14</v>
      </c>
      <c r="D207" s="112" t="s">
        <v>2127</v>
      </c>
      <c r="E207" s="33" t="s">
        <v>29</v>
      </c>
    </row>
    <row r="208">
      <c r="B208" s="110" t="s">
        <v>2128</v>
      </c>
      <c r="C208" s="111" t="s">
        <v>195</v>
      </c>
      <c r="D208" s="112" t="s">
        <v>3114</v>
      </c>
      <c r="E208" s="33" t="s">
        <v>33</v>
      </c>
    </row>
    <row r="209">
      <c r="B209" s="110" t="s">
        <v>3116</v>
      </c>
      <c r="C209" s="111" t="s">
        <v>162</v>
      </c>
      <c r="D209" s="112" t="s">
        <v>3115</v>
      </c>
      <c r="E209" s="33" t="s">
        <v>29</v>
      </c>
    </row>
    <row r="210">
      <c r="B210" s="110" t="s">
        <v>2128</v>
      </c>
      <c r="C210" s="111" t="s">
        <v>354</v>
      </c>
      <c r="D210" s="112" t="s">
        <v>2127</v>
      </c>
      <c r="E210" s="33" t="s">
        <v>33</v>
      </c>
    </row>
    <row r="211">
      <c r="B211" s="110" t="s">
        <v>2127</v>
      </c>
      <c r="C211" s="111" t="s">
        <v>27</v>
      </c>
      <c r="D211" s="112" t="s">
        <v>3114</v>
      </c>
      <c r="E211" s="33" t="s">
        <v>29</v>
      </c>
    </row>
    <row r="212">
      <c r="B212" s="110" t="s">
        <v>2128</v>
      </c>
      <c r="C212" s="111" t="s">
        <v>237</v>
      </c>
      <c r="D212" s="112" t="s">
        <v>3115</v>
      </c>
      <c r="E212" s="33" t="s">
        <v>33</v>
      </c>
    </row>
    <row r="213">
      <c r="B213" s="110" t="s">
        <v>3114</v>
      </c>
      <c r="C213" s="111" t="s">
        <v>158</v>
      </c>
      <c r="D213" s="110" t="s">
        <v>3116</v>
      </c>
      <c r="E213" s="33" t="s">
        <v>29</v>
      </c>
    </row>
    <row r="214">
      <c r="B214" s="110" t="s">
        <v>2127</v>
      </c>
      <c r="C214" s="111" t="s">
        <v>1472</v>
      </c>
      <c r="D214" s="112" t="s">
        <v>3115</v>
      </c>
      <c r="E214" s="33" t="s">
        <v>33</v>
      </c>
    </row>
    <row r="215">
      <c r="B215" s="110" t="s">
        <v>2128</v>
      </c>
      <c r="C215" s="111" t="s">
        <v>290</v>
      </c>
      <c r="D215" s="110" t="s">
        <v>3116</v>
      </c>
      <c r="E215" s="33" t="s">
        <v>29</v>
      </c>
    </row>
    <row r="216">
      <c r="B216" s="110" t="s">
        <v>3114</v>
      </c>
      <c r="C216" s="111" t="s">
        <v>14</v>
      </c>
      <c r="D216" s="112" t="s">
        <v>3115</v>
      </c>
      <c r="E216" s="33" t="s">
        <v>33</v>
      </c>
    </row>
    <row r="217">
      <c r="B217" s="110" t="s">
        <v>2127</v>
      </c>
      <c r="C217" s="111" t="s">
        <v>408</v>
      </c>
      <c r="D217" s="110" t="s">
        <v>3116</v>
      </c>
      <c r="E217" s="33" t="s">
        <v>29</v>
      </c>
    </row>
    <row r="218">
      <c r="B218" s="110" t="s">
        <v>3114</v>
      </c>
      <c r="C218" s="111" t="s">
        <v>18</v>
      </c>
      <c r="D218" s="112" t="s">
        <v>2128</v>
      </c>
      <c r="E218" s="33" t="s">
        <v>33</v>
      </c>
    </row>
    <row r="219">
      <c r="B219" s="110" t="s">
        <v>3115</v>
      </c>
      <c r="C219" s="111" t="s">
        <v>610</v>
      </c>
      <c r="D219" s="110" t="s">
        <v>3116</v>
      </c>
      <c r="E219" s="33" t="s">
        <v>29</v>
      </c>
    </row>
    <row r="220">
      <c r="B220" s="110" t="s">
        <v>2127</v>
      </c>
      <c r="C220" s="111" t="s">
        <v>155</v>
      </c>
      <c r="D220" s="112" t="s">
        <v>2128</v>
      </c>
      <c r="E220" s="33" t="s">
        <v>33</v>
      </c>
    </row>
    <row r="221">
      <c r="B221" s="96" t="s">
        <v>2674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3117</v>
      </c>
      <c r="C223" s="111" t="s">
        <v>16</v>
      </c>
      <c r="D223" s="62" t="s">
        <v>1692</v>
      </c>
      <c r="E223" s="11" t="s">
        <v>9</v>
      </c>
    </row>
    <row r="224">
      <c r="B224" s="62" t="s">
        <v>2767</v>
      </c>
      <c r="C224" s="111" t="s">
        <v>301</v>
      </c>
      <c r="D224" s="61" t="s">
        <v>3118</v>
      </c>
      <c r="E224" s="11" t="s">
        <v>13</v>
      </c>
    </row>
    <row r="225">
      <c r="B225" s="62" t="s">
        <v>2241</v>
      </c>
      <c r="C225" s="111" t="s">
        <v>193</v>
      </c>
      <c r="D225" s="62" t="s">
        <v>3117</v>
      </c>
      <c r="E225" s="11" t="s">
        <v>9</v>
      </c>
    </row>
    <row r="226">
      <c r="B226" s="62" t="s">
        <v>2767</v>
      </c>
      <c r="C226" s="111" t="s">
        <v>196</v>
      </c>
      <c r="D226" s="62" t="s">
        <v>1692</v>
      </c>
      <c r="E226" s="11" t="s">
        <v>13</v>
      </c>
    </row>
    <row r="227">
      <c r="B227" s="62" t="s">
        <v>2241</v>
      </c>
      <c r="C227" s="111" t="s">
        <v>610</v>
      </c>
      <c r="D227" s="61" t="s">
        <v>3118</v>
      </c>
      <c r="E227" s="11" t="s">
        <v>9</v>
      </c>
    </row>
    <row r="228">
      <c r="B228" s="62" t="s">
        <v>2767</v>
      </c>
      <c r="C228" s="111" t="s">
        <v>23</v>
      </c>
      <c r="D228" s="62" t="s">
        <v>3117</v>
      </c>
      <c r="E228" s="11" t="s">
        <v>13</v>
      </c>
    </row>
    <row r="229">
      <c r="B229" s="62" t="s">
        <v>2241</v>
      </c>
      <c r="C229" s="111" t="s">
        <v>354</v>
      </c>
      <c r="D229" s="62" t="s">
        <v>1692</v>
      </c>
      <c r="E229" s="11" t="s">
        <v>9</v>
      </c>
    </row>
    <row r="230">
      <c r="B230" s="61" t="s">
        <v>3118</v>
      </c>
      <c r="C230" s="111" t="s">
        <v>233</v>
      </c>
      <c r="D230" s="62" t="s">
        <v>3117</v>
      </c>
      <c r="E230" s="11" t="s">
        <v>13</v>
      </c>
    </row>
    <row r="231">
      <c r="B231" s="62" t="s">
        <v>2241</v>
      </c>
      <c r="C231" s="111" t="s">
        <v>640</v>
      </c>
      <c r="D231" s="62" t="s">
        <v>2767</v>
      </c>
      <c r="E231" s="11" t="s">
        <v>9</v>
      </c>
    </row>
    <row r="232">
      <c r="B232" s="61" t="s">
        <v>3118</v>
      </c>
      <c r="C232" s="111" t="s">
        <v>43</v>
      </c>
      <c r="D232" s="62" t="s">
        <v>1692</v>
      </c>
      <c r="E232" s="11" t="s">
        <v>13</v>
      </c>
    </row>
    <row r="233">
      <c r="B233" s="62" t="s">
        <v>1692</v>
      </c>
      <c r="C233" s="111" t="s">
        <v>162</v>
      </c>
      <c r="D233" s="62" t="s">
        <v>3117</v>
      </c>
      <c r="E233" s="11" t="s">
        <v>9</v>
      </c>
    </row>
    <row r="234">
      <c r="B234" s="61" t="s">
        <v>3118</v>
      </c>
      <c r="C234" s="111" t="s">
        <v>281</v>
      </c>
      <c r="D234" s="62" t="s">
        <v>2767</v>
      </c>
      <c r="E234" s="11" t="s">
        <v>13</v>
      </c>
    </row>
    <row r="235">
      <c r="B235" s="62" t="s">
        <v>3117</v>
      </c>
      <c r="C235" s="111" t="s">
        <v>18</v>
      </c>
      <c r="D235" s="62" t="s">
        <v>2241</v>
      </c>
      <c r="E235" s="11" t="s">
        <v>9</v>
      </c>
    </row>
    <row r="236">
      <c r="B236" s="62" t="s">
        <v>1692</v>
      </c>
      <c r="C236" s="111" t="s">
        <v>245</v>
      </c>
      <c r="D236" s="62" t="s">
        <v>2767</v>
      </c>
      <c r="E236" s="11" t="s">
        <v>13</v>
      </c>
    </row>
    <row r="237">
      <c r="B237" s="61" t="s">
        <v>3118</v>
      </c>
      <c r="C237" s="111" t="s">
        <v>2837</v>
      </c>
      <c r="D237" s="62" t="s">
        <v>2241</v>
      </c>
      <c r="E237" s="11" t="s">
        <v>9</v>
      </c>
    </row>
    <row r="238">
      <c r="B238" s="62" t="s">
        <v>3117</v>
      </c>
      <c r="C238" s="111" t="s">
        <v>292</v>
      </c>
      <c r="D238" s="62" t="s">
        <v>2767</v>
      </c>
      <c r="E238" s="11" t="s">
        <v>13</v>
      </c>
    </row>
    <row r="239">
      <c r="B239" s="62" t="s">
        <v>1692</v>
      </c>
      <c r="C239" s="111" t="s">
        <v>193</v>
      </c>
      <c r="D239" s="62" t="s">
        <v>2241</v>
      </c>
      <c r="E239" s="11" t="s">
        <v>9</v>
      </c>
    </row>
    <row r="240">
      <c r="B240" s="62" t="s">
        <v>3117</v>
      </c>
      <c r="C240" s="111" t="s">
        <v>225</v>
      </c>
      <c r="D240" s="61" t="s">
        <v>3118</v>
      </c>
      <c r="E240" s="11" t="s">
        <v>13</v>
      </c>
    </row>
    <row r="241">
      <c r="B241" s="62" t="s">
        <v>2767</v>
      </c>
      <c r="C241" s="111" t="s">
        <v>157</v>
      </c>
      <c r="D241" s="62" t="s">
        <v>2241</v>
      </c>
      <c r="E241" s="11" t="s">
        <v>9</v>
      </c>
    </row>
    <row r="242">
      <c r="B242" s="62" t="s">
        <v>1692</v>
      </c>
      <c r="C242" s="111" t="s">
        <v>38</v>
      </c>
      <c r="D242" s="61" t="s">
        <v>3118</v>
      </c>
      <c r="E242" s="11" t="s">
        <v>13</v>
      </c>
    </row>
    <row r="243">
      <c r="B243" s="96" t="s">
        <v>2240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1960</v>
      </c>
      <c r="C245" s="111" t="s">
        <v>19</v>
      </c>
      <c r="D245" s="62" t="s">
        <v>3119</v>
      </c>
      <c r="E245" s="11" t="s">
        <v>9</v>
      </c>
    </row>
    <row r="246">
      <c r="B246" s="62" t="s">
        <v>2798</v>
      </c>
      <c r="C246" s="111" t="s">
        <v>171</v>
      </c>
      <c r="D246" s="61" t="s">
        <v>3120</v>
      </c>
      <c r="E246" s="11" t="s">
        <v>13</v>
      </c>
    </row>
    <row r="247">
      <c r="B247" s="62" t="s">
        <v>2086</v>
      </c>
      <c r="C247" s="111" t="s">
        <v>311</v>
      </c>
      <c r="D247" s="62" t="s">
        <v>1960</v>
      </c>
      <c r="E247" s="11" t="s">
        <v>9</v>
      </c>
    </row>
    <row r="248">
      <c r="B248" s="62" t="s">
        <v>2798</v>
      </c>
      <c r="C248" s="111" t="s">
        <v>166</v>
      </c>
      <c r="D248" s="62" t="s">
        <v>3119</v>
      </c>
      <c r="E248" s="11" t="s">
        <v>13</v>
      </c>
    </row>
    <row r="249">
      <c r="B249" s="62" t="s">
        <v>2086</v>
      </c>
      <c r="C249" s="111" t="s">
        <v>640</v>
      </c>
      <c r="D249" s="61" t="s">
        <v>3120</v>
      </c>
      <c r="E249" s="11" t="s">
        <v>9</v>
      </c>
    </row>
    <row r="250">
      <c r="B250" s="62" t="s">
        <v>2798</v>
      </c>
      <c r="C250" s="111" t="s">
        <v>302</v>
      </c>
      <c r="D250" s="62" t="s">
        <v>1960</v>
      </c>
      <c r="E250" s="11" t="s">
        <v>13</v>
      </c>
    </row>
    <row r="251">
      <c r="B251" s="62" t="s">
        <v>2086</v>
      </c>
      <c r="C251" s="111" t="s">
        <v>3121</v>
      </c>
      <c r="D251" s="62" t="s">
        <v>3119</v>
      </c>
      <c r="E251" s="11" t="s">
        <v>9</v>
      </c>
    </row>
    <row r="252">
      <c r="B252" s="61" t="s">
        <v>3120</v>
      </c>
      <c r="C252" s="111" t="s">
        <v>184</v>
      </c>
      <c r="D252" s="62" t="s">
        <v>1960</v>
      </c>
      <c r="E252" s="11" t="s">
        <v>13</v>
      </c>
    </row>
    <row r="253">
      <c r="B253" s="62" t="s">
        <v>2086</v>
      </c>
      <c r="C253" s="111" t="s">
        <v>301</v>
      </c>
      <c r="D253" s="62" t="s">
        <v>2798</v>
      </c>
      <c r="E253" s="11" t="s">
        <v>9</v>
      </c>
    </row>
    <row r="254">
      <c r="B254" s="61" t="s">
        <v>3120</v>
      </c>
      <c r="C254" s="111" t="s">
        <v>163</v>
      </c>
      <c r="D254" s="62" t="s">
        <v>3119</v>
      </c>
      <c r="E254" s="11" t="s">
        <v>13</v>
      </c>
    </row>
    <row r="255">
      <c r="B255" s="62" t="s">
        <v>3119</v>
      </c>
      <c r="C255" s="111" t="s">
        <v>43</v>
      </c>
      <c r="D255" s="62" t="s">
        <v>1960</v>
      </c>
      <c r="E255" s="11" t="s">
        <v>9</v>
      </c>
    </row>
    <row r="256">
      <c r="B256" s="61" t="s">
        <v>3120</v>
      </c>
      <c r="C256" s="111" t="s">
        <v>281</v>
      </c>
      <c r="D256" s="62" t="s">
        <v>2798</v>
      </c>
      <c r="E256" s="11" t="s">
        <v>13</v>
      </c>
    </row>
    <row r="257">
      <c r="B257" s="62" t="s">
        <v>1960</v>
      </c>
      <c r="C257" s="111" t="s">
        <v>531</v>
      </c>
      <c r="D257" s="62" t="s">
        <v>2086</v>
      </c>
      <c r="E257" s="11" t="s">
        <v>9</v>
      </c>
    </row>
    <row r="258">
      <c r="B258" s="62" t="s">
        <v>3119</v>
      </c>
      <c r="C258" s="111" t="s">
        <v>37</v>
      </c>
      <c r="D258" s="62" t="s">
        <v>2798</v>
      </c>
      <c r="E258" s="11" t="s">
        <v>13</v>
      </c>
    </row>
    <row r="259">
      <c r="B259" s="61" t="s">
        <v>3120</v>
      </c>
      <c r="C259" s="111" t="s">
        <v>1419</v>
      </c>
      <c r="D259" s="62" t="s">
        <v>2086</v>
      </c>
      <c r="E259" s="11" t="s">
        <v>9</v>
      </c>
    </row>
    <row r="260">
      <c r="B260" s="62" t="s">
        <v>1960</v>
      </c>
      <c r="C260" s="111" t="s">
        <v>292</v>
      </c>
      <c r="D260" s="62" t="s">
        <v>2798</v>
      </c>
      <c r="E260" s="11" t="s">
        <v>13</v>
      </c>
    </row>
    <row r="261">
      <c r="B261" s="62" t="s">
        <v>3119</v>
      </c>
      <c r="C261" s="111" t="s">
        <v>574</v>
      </c>
      <c r="D261" s="62" t="s">
        <v>2086</v>
      </c>
      <c r="E261" s="11" t="s">
        <v>9</v>
      </c>
    </row>
    <row r="262">
      <c r="B262" s="62" t="s">
        <v>1960</v>
      </c>
      <c r="C262" s="111" t="s">
        <v>155</v>
      </c>
      <c r="D262" s="61" t="s">
        <v>3120</v>
      </c>
      <c r="E262" s="11" t="s">
        <v>13</v>
      </c>
    </row>
    <row r="263">
      <c r="B263" s="62" t="s">
        <v>2798</v>
      </c>
      <c r="C263" s="111" t="s">
        <v>39</v>
      </c>
      <c r="D263" s="62" t="s">
        <v>2086</v>
      </c>
      <c r="E263" s="11" t="s">
        <v>9</v>
      </c>
    </row>
    <row r="264">
      <c r="B264" s="62" t="s">
        <v>3119</v>
      </c>
      <c r="C264" s="111" t="s">
        <v>344</v>
      </c>
      <c r="D264" s="61" t="s">
        <v>3120</v>
      </c>
      <c r="E264" s="11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2626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3122</v>
      </c>
      <c r="C3" s="45" t="s">
        <v>20</v>
      </c>
      <c r="D3" s="62" t="s">
        <v>3123</v>
      </c>
      <c r="E3" s="120" t="str">
        <f>HYPERLINK("https://youtu.be/GkshdGCBrTs","channel 1")</f>
        <v>channel 1</v>
      </c>
    </row>
    <row r="4">
      <c r="A4" s="90"/>
      <c r="B4" s="62" t="s">
        <v>3124</v>
      </c>
      <c r="C4" s="45" t="s">
        <v>534</v>
      </c>
      <c r="D4" s="61" t="s">
        <v>3125</v>
      </c>
      <c r="E4" s="120" t="str">
        <f>HYPERLINK("https://youtu.be/JL-ednr_qR8","channel 2")</f>
        <v>channel 2</v>
      </c>
    </row>
    <row r="5">
      <c r="A5" s="90"/>
      <c r="B5" s="62" t="s">
        <v>3126</v>
      </c>
      <c r="C5" s="45" t="s">
        <v>43</v>
      </c>
      <c r="D5" s="62" t="s">
        <v>3122</v>
      </c>
      <c r="E5" s="120" t="str">
        <f>HYPERLINK("https://youtu.be/GkshdGCBrTs?t=1006","channel 1")</f>
        <v>channel 1</v>
      </c>
    </row>
    <row r="6">
      <c r="A6" s="90"/>
      <c r="B6" s="62" t="s">
        <v>3124</v>
      </c>
      <c r="C6" s="45" t="s">
        <v>233</v>
      </c>
      <c r="D6" s="62" t="s">
        <v>3123</v>
      </c>
      <c r="E6" s="120" t="str">
        <f>HYPERLINK("https://youtu.be/JL-ednr_qR8?t=1099","channel 2")</f>
        <v>channel 2</v>
      </c>
    </row>
    <row r="7">
      <c r="A7" s="90"/>
      <c r="B7" s="62" t="s">
        <v>3126</v>
      </c>
      <c r="C7" s="45" t="s">
        <v>203</v>
      </c>
      <c r="D7" s="61" t="s">
        <v>3125</v>
      </c>
      <c r="E7" s="120" t="str">
        <f>HYPERLINK("https://youtu.be/GkshdGCBrTs?t=1923","channel 1")</f>
        <v>channel 1</v>
      </c>
    </row>
    <row r="8">
      <c r="A8" s="90"/>
      <c r="B8" s="62" t="s">
        <v>3124</v>
      </c>
      <c r="C8" s="45" t="s">
        <v>193</v>
      </c>
      <c r="D8" s="62" t="s">
        <v>3122</v>
      </c>
      <c r="E8" s="120" t="str">
        <f>HYPERLINK("https://youtu.be/JL-ednr_qR8?t=2015","channel 2")</f>
        <v>channel 2</v>
      </c>
    </row>
    <row r="9">
      <c r="A9" s="90"/>
      <c r="B9" s="62" t="s">
        <v>3126</v>
      </c>
      <c r="C9" s="45" t="s">
        <v>250</v>
      </c>
      <c r="D9" s="62" t="s">
        <v>3123</v>
      </c>
      <c r="E9" s="120" t="str">
        <f>HYPERLINK("https://youtu.be/GkshdGCBrTs?t=2852","channel 1")</f>
        <v>channel 1</v>
      </c>
    </row>
    <row r="10">
      <c r="A10" s="90"/>
      <c r="B10" s="61" t="s">
        <v>3125</v>
      </c>
      <c r="C10" s="45" t="s">
        <v>16</v>
      </c>
      <c r="D10" s="62" t="s">
        <v>3122</v>
      </c>
      <c r="E10" s="120" t="str">
        <f>HYPERLINK("https://youtu.be/JL-ednr_qR8?t=2940","channel 2")</f>
        <v>channel 2</v>
      </c>
    </row>
    <row r="11">
      <c r="A11" s="90"/>
      <c r="B11" s="62" t="s">
        <v>3126</v>
      </c>
      <c r="C11" s="45" t="s">
        <v>487</v>
      </c>
      <c r="D11" s="62" t="s">
        <v>3124</v>
      </c>
      <c r="E11" s="120" t="str">
        <f>HYPERLINK("https://youtu.be/GkshdGCBrTs?t=3779","channel 1")</f>
        <v>channel 1</v>
      </c>
    </row>
    <row r="12">
      <c r="A12" s="90"/>
      <c r="B12" s="61" t="s">
        <v>3125</v>
      </c>
      <c r="C12" s="45" t="s">
        <v>17</v>
      </c>
      <c r="D12" s="62" t="s">
        <v>3123</v>
      </c>
      <c r="E12" s="120" t="str">
        <f>HYPERLINK("https://youtu.be/JL-ednr_qR8?t=3873","channel 2")</f>
        <v>channel 2</v>
      </c>
    </row>
    <row r="13">
      <c r="A13" s="90"/>
      <c r="B13" s="62" t="s">
        <v>3123</v>
      </c>
      <c r="C13" s="45" t="s">
        <v>41</v>
      </c>
      <c r="D13" s="62" t="s">
        <v>3122</v>
      </c>
      <c r="E13" s="120" t="str">
        <f>HYPERLINK("https://youtu.be/GkshdGCBrTs?t=4730","channel 1")</f>
        <v>channel 1</v>
      </c>
    </row>
    <row r="14">
      <c r="A14" s="90"/>
      <c r="B14" s="61" t="s">
        <v>3125</v>
      </c>
      <c r="C14" s="45" t="s">
        <v>208</v>
      </c>
      <c r="D14" s="62" t="s">
        <v>3124</v>
      </c>
      <c r="E14" s="120" t="str">
        <f>HYPERLINK("https://youtu.be/JL-ednr_qR8?t=4804","channel 2")</f>
        <v>channel 2</v>
      </c>
    </row>
    <row r="15">
      <c r="A15" s="90"/>
      <c r="B15" s="62" t="s">
        <v>3122</v>
      </c>
      <c r="C15" s="45" t="s">
        <v>162</v>
      </c>
      <c r="D15" s="62" t="s">
        <v>3126</v>
      </c>
      <c r="E15" s="120" t="str">
        <f>HYPERLINK("https://youtu.be/GkshdGCBrTs?t=5636","channel 1")</f>
        <v>channel 1</v>
      </c>
    </row>
    <row r="16">
      <c r="A16" s="90"/>
      <c r="B16" s="62" t="s">
        <v>3123</v>
      </c>
      <c r="C16" s="45" t="s">
        <v>279</v>
      </c>
      <c r="D16" s="62" t="s">
        <v>3124</v>
      </c>
      <c r="E16" s="120" t="str">
        <f>HYPERLINK("https://youtu.be/JL-ednr_qR8?t=5724","channel 2")</f>
        <v>channel 2</v>
      </c>
    </row>
    <row r="17">
      <c r="A17" s="90"/>
      <c r="B17" s="61" t="s">
        <v>3125</v>
      </c>
      <c r="C17" s="45" t="s">
        <v>23</v>
      </c>
      <c r="D17" s="62" t="s">
        <v>3126</v>
      </c>
      <c r="E17" s="120" t="str">
        <f>HYPERLINK("https://youtu.be/GkshdGCBrTs?t=6547","channel 1")</f>
        <v>channel 1</v>
      </c>
    </row>
    <row r="18">
      <c r="A18" s="90"/>
      <c r="B18" s="62" t="s">
        <v>3122</v>
      </c>
      <c r="C18" s="45" t="s">
        <v>231</v>
      </c>
      <c r="D18" s="62" t="s">
        <v>3124</v>
      </c>
      <c r="E18" s="120" t="str">
        <f>HYPERLINK("https://youtu.be/JL-ednr_qR8?t=6648","channel 2")</f>
        <v>channel 2</v>
      </c>
    </row>
    <row r="19">
      <c r="A19" s="90"/>
      <c r="B19" s="62" t="s">
        <v>3123</v>
      </c>
      <c r="C19" s="45" t="s">
        <v>2228</v>
      </c>
      <c r="D19" s="62" t="s">
        <v>3126</v>
      </c>
      <c r="E19" s="120" t="str">
        <f>HYPERLINK("https://youtu.be/GkshdGCBrTs?t=7470","channel 1")</f>
        <v>channel 1</v>
      </c>
    </row>
    <row r="20">
      <c r="A20" s="90"/>
      <c r="B20" s="62" t="s">
        <v>3122</v>
      </c>
      <c r="C20" s="45" t="s">
        <v>193</v>
      </c>
      <c r="D20" s="61" t="s">
        <v>3125</v>
      </c>
      <c r="E20" s="120" t="str">
        <f>HYPERLINK("https://youtu.be/JL-ednr_qR8?t=7561","channel 2")</f>
        <v>channel 2</v>
      </c>
    </row>
    <row r="21">
      <c r="A21" s="90"/>
      <c r="B21" s="62" t="s">
        <v>3124</v>
      </c>
      <c r="C21" s="45" t="s">
        <v>517</v>
      </c>
      <c r="D21" s="62" t="s">
        <v>3126</v>
      </c>
      <c r="E21" s="120" t="str">
        <f>HYPERLINK("https://youtu.be/GkshdGCBrTs?t=8448","channel 1")</f>
        <v>channel 1</v>
      </c>
    </row>
    <row r="22">
      <c r="A22" s="90"/>
      <c r="B22" s="62" t="s">
        <v>3123</v>
      </c>
      <c r="C22" s="45" t="s">
        <v>17</v>
      </c>
      <c r="D22" s="61" t="s">
        <v>3125</v>
      </c>
      <c r="E22" s="120" t="str">
        <f>HYPERLINK("https://youtu.be/JL-ednr_qR8?t=8507","channel 2")</f>
        <v>channel 2</v>
      </c>
    </row>
    <row r="23">
      <c r="A23" s="90"/>
      <c r="B23" s="96" t="s">
        <v>3127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3128</v>
      </c>
      <c r="C25" s="45" t="s">
        <v>21</v>
      </c>
      <c r="D25" s="62" t="s">
        <v>1593</v>
      </c>
      <c r="E25" s="11" t="str">
        <f>HYPERLINK("https://youtu.be/50kqhLaDMbM","channel 1")</f>
        <v>channel 1</v>
      </c>
    </row>
    <row r="26">
      <c r="A26" s="90"/>
      <c r="B26" s="62" t="s">
        <v>2840</v>
      </c>
      <c r="C26" s="45" t="s">
        <v>36</v>
      </c>
      <c r="D26" s="61" t="s">
        <v>3129</v>
      </c>
      <c r="E26" s="11" t="str">
        <f>HYPERLINK("https://youtu.be/Du_7xvwpd5M","channel 2")</f>
        <v>channel 2</v>
      </c>
    </row>
    <row r="27">
      <c r="A27" s="90"/>
      <c r="B27" s="62" t="s">
        <v>3130</v>
      </c>
      <c r="C27" s="45" t="s">
        <v>225</v>
      </c>
      <c r="D27" s="62" t="s">
        <v>3128</v>
      </c>
      <c r="E27" s="11" t="str">
        <f>HYPERLINK("https://youtu.be/50kqhLaDMbM?t=977","channel 1")</f>
        <v>channel 1</v>
      </c>
    </row>
    <row r="28">
      <c r="A28" s="90"/>
      <c r="B28" s="62" t="s">
        <v>2840</v>
      </c>
      <c r="C28" s="45" t="s">
        <v>210</v>
      </c>
      <c r="D28" s="62" t="s">
        <v>1593</v>
      </c>
      <c r="E28" s="11" t="str">
        <f>HYPERLINK("https://youtu.be/Du_7xvwpd5M?t=1075","channel 2")</f>
        <v>channel 2</v>
      </c>
    </row>
    <row r="29">
      <c r="A29" s="90"/>
      <c r="B29" s="62" t="s">
        <v>3130</v>
      </c>
      <c r="C29" s="45" t="s">
        <v>18</v>
      </c>
      <c r="D29" s="61" t="s">
        <v>3129</v>
      </c>
      <c r="E29" s="11" t="str">
        <f>HYPERLINK("https://youtu.be/50kqhLaDMbM?t=1913","channel 1")</f>
        <v>channel 1</v>
      </c>
    </row>
    <row r="30">
      <c r="A30" s="90"/>
      <c r="B30" s="62" t="s">
        <v>2840</v>
      </c>
      <c r="C30" s="45" t="s">
        <v>250</v>
      </c>
      <c r="D30" s="62" t="s">
        <v>3128</v>
      </c>
      <c r="E30" s="11" t="str">
        <f>HYPERLINK("https://youtu.be/Du_7xvwpd5M?t=2005","channel 2")</f>
        <v>channel 2</v>
      </c>
    </row>
    <row r="31">
      <c r="A31" s="90"/>
      <c r="B31" s="62" t="s">
        <v>3130</v>
      </c>
      <c r="C31" s="45" t="s">
        <v>1188</v>
      </c>
      <c r="D31" s="62" t="s">
        <v>1593</v>
      </c>
      <c r="E31" s="11" t="str">
        <f>HYPERLINK("https://youtu.be/50kqhLaDMbM?t=2874","channel 1")</f>
        <v>channel 1</v>
      </c>
    </row>
    <row r="32">
      <c r="A32" s="90"/>
      <c r="B32" s="61" t="s">
        <v>3129</v>
      </c>
      <c r="C32" s="45" t="s">
        <v>289</v>
      </c>
      <c r="D32" s="62" t="s">
        <v>3128</v>
      </c>
      <c r="E32" s="11" t="str">
        <f>HYPERLINK("https://youtu.be/Du_7xvwpd5M?t=2926","channel 2")</f>
        <v>channel 2</v>
      </c>
    </row>
    <row r="33">
      <c r="A33" s="90"/>
      <c r="B33" s="62" t="s">
        <v>3130</v>
      </c>
      <c r="C33" s="45" t="s">
        <v>2379</v>
      </c>
      <c r="D33" s="62" t="s">
        <v>2840</v>
      </c>
      <c r="E33" s="11" t="str">
        <f>HYPERLINK("https://youtu.be/50kqhLaDMbM?t=3816","channel 1")</f>
        <v>channel 1</v>
      </c>
    </row>
    <row r="34">
      <c r="A34" s="90"/>
      <c r="B34" s="61" t="s">
        <v>3129</v>
      </c>
      <c r="C34" s="45" t="s">
        <v>185</v>
      </c>
      <c r="D34" s="62" t="s">
        <v>1593</v>
      </c>
      <c r="E34" s="11" t="str">
        <f>HYPERLINK("https://youtu.be/Du_7xvwpd5M?t=3854","channel 2")</f>
        <v>channel 2</v>
      </c>
    </row>
    <row r="35">
      <c r="A35" s="90"/>
      <c r="B35" s="62" t="s">
        <v>1593</v>
      </c>
      <c r="C35" s="45" t="s">
        <v>524</v>
      </c>
      <c r="D35" s="62" t="s">
        <v>3128</v>
      </c>
      <c r="E35" s="11" t="str">
        <f>HYPERLINK("https://youtu.be/50kqhLaDMbM?t=4743","channel 1")</f>
        <v>channel 1</v>
      </c>
    </row>
    <row r="36">
      <c r="A36" s="90"/>
      <c r="B36" s="61" t="s">
        <v>3129</v>
      </c>
      <c r="C36" s="45" t="s">
        <v>2293</v>
      </c>
      <c r="D36" s="62" t="s">
        <v>2840</v>
      </c>
      <c r="E36" s="11" t="str">
        <f>HYPERLINK("https://youtu.be/Du_7xvwpd5M?t=4785","channel 2")</f>
        <v>channel 2</v>
      </c>
    </row>
    <row r="37">
      <c r="A37" s="90"/>
      <c r="B37" s="62" t="s">
        <v>3128</v>
      </c>
      <c r="C37" s="45" t="s">
        <v>16</v>
      </c>
      <c r="D37" s="62" t="s">
        <v>3130</v>
      </c>
      <c r="E37" s="11" t="str">
        <f>HYPERLINK("https://youtu.be/50kqhLaDMbM?t=5666","channel 1")</f>
        <v>channel 1</v>
      </c>
    </row>
    <row r="38">
      <c r="A38" s="90"/>
      <c r="B38" s="62" t="s">
        <v>1593</v>
      </c>
      <c r="C38" s="45" t="s">
        <v>244</v>
      </c>
      <c r="D38" s="62" t="s">
        <v>2840</v>
      </c>
      <c r="E38" s="11" t="str">
        <f>HYPERLINK("https://youtu.be/Du_7xvwpd5M?t=5700","channel 2")</f>
        <v>channel 2</v>
      </c>
    </row>
    <row r="39">
      <c r="A39" s="90"/>
      <c r="B39" s="61" t="s">
        <v>3129</v>
      </c>
      <c r="C39" s="45" t="s">
        <v>163</v>
      </c>
      <c r="D39" s="62" t="s">
        <v>3130</v>
      </c>
      <c r="E39" s="11" t="str">
        <f>HYPERLINK("https://youtu.be/50kqhLaDMbM?t=6572","channel 1")</f>
        <v>channel 1</v>
      </c>
    </row>
    <row r="40">
      <c r="A40" s="90"/>
      <c r="B40" s="62" t="s">
        <v>3128</v>
      </c>
      <c r="C40" s="45" t="s">
        <v>155</v>
      </c>
      <c r="D40" s="62" t="s">
        <v>2840</v>
      </c>
      <c r="E40" s="11" t="str">
        <f>HYPERLINK("https://youtu.be/Du_7xvwpd5M?t=6625","channel 2")</f>
        <v>channel 2</v>
      </c>
    </row>
    <row r="41">
      <c r="A41" s="90"/>
      <c r="B41" s="62" t="s">
        <v>1593</v>
      </c>
      <c r="C41" s="45" t="s">
        <v>291</v>
      </c>
      <c r="D41" s="62" t="s">
        <v>3130</v>
      </c>
      <c r="E41" s="11" t="str">
        <f>HYPERLINK("https://youtu.be/50kqhLaDMbM?t=7519","channel 1")</f>
        <v>channel 1</v>
      </c>
    </row>
    <row r="42">
      <c r="A42" s="90"/>
      <c r="B42" s="62" t="s">
        <v>3128</v>
      </c>
      <c r="C42" s="45" t="s">
        <v>219</v>
      </c>
      <c r="D42" s="61" t="s">
        <v>3129</v>
      </c>
      <c r="E42" s="11" t="str">
        <f>HYPERLINK("https://youtu.be/Du_7xvwpd5M?t=7536","channel 2")</f>
        <v>channel 2</v>
      </c>
    </row>
    <row r="43">
      <c r="A43" s="90"/>
      <c r="B43" s="62" t="s">
        <v>2840</v>
      </c>
      <c r="C43" s="45" t="s">
        <v>319</v>
      </c>
      <c r="D43" s="62" t="s">
        <v>3130</v>
      </c>
      <c r="E43" s="11" t="str">
        <f>HYPERLINK("https://youtu.be/50kqhLaDMbM?t=8424","channel 1")</f>
        <v>channel 1</v>
      </c>
    </row>
    <row r="44">
      <c r="A44" s="91"/>
      <c r="B44" s="62" t="s">
        <v>1593</v>
      </c>
      <c r="C44" s="45" t="s">
        <v>163</v>
      </c>
      <c r="D44" s="61" t="s">
        <v>3129</v>
      </c>
      <c r="E44" s="11" t="str">
        <f>HYPERLINK("https://youtu.be/Du_7xvwpd5M?t=8459","channel 2")</f>
        <v>channel 2</v>
      </c>
    </row>
    <row r="45">
      <c r="B45" s="96" t="s">
        <v>3131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2884</v>
      </c>
      <c r="C47" s="45" t="s">
        <v>239</v>
      </c>
      <c r="D47" s="62" t="s">
        <v>3132</v>
      </c>
      <c r="E47" s="11" t="str">
        <f>HYPERLINK("https://youtu.be/o0t2HJaBSCM","channel 1")</f>
        <v>channel 1</v>
      </c>
    </row>
    <row r="48">
      <c r="B48" s="62" t="s">
        <v>3133</v>
      </c>
      <c r="C48" s="45" t="s">
        <v>155</v>
      </c>
      <c r="D48" s="61" t="s">
        <v>2035</v>
      </c>
      <c r="E48" s="11" t="str">
        <f>HYPERLINK("https://youtu.be/L5UBFtkqZFs","channel 2")</f>
        <v>channel 2</v>
      </c>
    </row>
    <row r="49">
      <c r="B49" s="62" t="s">
        <v>1911</v>
      </c>
      <c r="C49" s="45" t="s">
        <v>18</v>
      </c>
      <c r="D49" s="62" t="s">
        <v>2884</v>
      </c>
      <c r="E49" s="11" t="s">
        <v>9</v>
      </c>
    </row>
    <row r="50">
      <c r="B50" s="62" t="s">
        <v>3133</v>
      </c>
      <c r="C50" s="45" t="s">
        <v>20</v>
      </c>
      <c r="D50" s="62" t="s">
        <v>3132</v>
      </c>
      <c r="E50" s="11" t="str">
        <f>HYPERLINK("https://youtu.be/L5UBFtkqZFs?t=1632","channel 2")</f>
        <v>channel 2</v>
      </c>
    </row>
    <row r="51">
      <c r="B51" s="62" t="s">
        <v>1911</v>
      </c>
      <c r="C51" s="45" t="s">
        <v>185</v>
      </c>
      <c r="D51" s="61" t="s">
        <v>2035</v>
      </c>
      <c r="E51" s="11" t="s">
        <v>9</v>
      </c>
    </row>
    <row r="52">
      <c r="B52" s="62" t="s">
        <v>3133</v>
      </c>
      <c r="C52" s="45" t="s">
        <v>208</v>
      </c>
      <c r="D52" s="62" t="s">
        <v>2884</v>
      </c>
      <c r="E52" s="11" t="str">
        <f>HYPERLINK("https://youtu.be/L5UBFtkqZFs?t=2522","channel 2")</f>
        <v>channel 2</v>
      </c>
    </row>
    <row r="53">
      <c r="B53" s="62" t="s">
        <v>1911</v>
      </c>
      <c r="C53" s="45" t="s">
        <v>18</v>
      </c>
      <c r="D53" s="62" t="s">
        <v>3132</v>
      </c>
      <c r="E53" s="11" t="s">
        <v>9</v>
      </c>
    </row>
    <row r="54">
      <c r="B54" s="61" t="s">
        <v>2035</v>
      </c>
      <c r="C54" s="45" t="s">
        <v>20</v>
      </c>
      <c r="D54" s="62" t="s">
        <v>2884</v>
      </c>
      <c r="E54" s="11" t="str">
        <f>HYPERLINK("https://youtu.be/L5UBFtkqZFs?t=3395","channel 2")</f>
        <v>channel 2</v>
      </c>
    </row>
    <row r="55">
      <c r="B55" s="62" t="s">
        <v>1911</v>
      </c>
      <c r="C55" s="45" t="s">
        <v>366</v>
      </c>
      <c r="D55" s="62" t="s">
        <v>3133</v>
      </c>
      <c r="E55" s="11" t="s">
        <v>9</v>
      </c>
    </row>
    <row r="56">
      <c r="B56" s="61" t="s">
        <v>2035</v>
      </c>
      <c r="C56" s="45" t="s">
        <v>7</v>
      </c>
      <c r="D56" s="62" t="s">
        <v>3132</v>
      </c>
      <c r="E56" s="11" t="str">
        <f>HYPERLINK("https://youtu.be/L5UBFtkqZFs?t=4316","channel 2")</f>
        <v>channel 2</v>
      </c>
    </row>
    <row r="57">
      <c r="B57" s="62" t="s">
        <v>3132</v>
      </c>
      <c r="C57" s="45" t="s">
        <v>165</v>
      </c>
      <c r="D57" s="62" t="s">
        <v>2884</v>
      </c>
      <c r="E57" s="11" t="s">
        <v>9</v>
      </c>
    </row>
    <row r="58">
      <c r="B58" s="61" t="s">
        <v>2035</v>
      </c>
      <c r="C58" s="45" t="s">
        <v>193</v>
      </c>
      <c r="D58" s="62" t="s">
        <v>3133</v>
      </c>
      <c r="E58" s="11" t="str">
        <f>HYPERLINK("https://youtu.be/L5UBFtkqZFs?t=5246","channel 2")</f>
        <v>channel 2</v>
      </c>
    </row>
    <row r="59">
      <c r="B59" s="62" t="s">
        <v>2884</v>
      </c>
      <c r="C59" s="45" t="s">
        <v>193</v>
      </c>
      <c r="D59" s="62" t="s">
        <v>1911</v>
      </c>
      <c r="E59" s="11" t="s">
        <v>9</v>
      </c>
    </row>
    <row r="60">
      <c r="B60" s="62" t="s">
        <v>3132</v>
      </c>
      <c r="C60" s="45" t="s">
        <v>203</v>
      </c>
      <c r="D60" s="62" t="s">
        <v>3133</v>
      </c>
      <c r="E60" s="11" t="str">
        <f>HYPERLINK("https://youtu.be/L5UBFtkqZFs?t=6137","channel 2")</f>
        <v>channel 2</v>
      </c>
    </row>
    <row r="61">
      <c r="B61" s="61" t="s">
        <v>2035</v>
      </c>
      <c r="C61" s="45" t="s">
        <v>292</v>
      </c>
      <c r="D61" s="62" t="s">
        <v>1911</v>
      </c>
      <c r="E61" s="11" t="s">
        <v>9</v>
      </c>
    </row>
    <row r="62">
      <c r="B62" s="62" t="s">
        <v>2884</v>
      </c>
      <c r="C62" s="45" t="s">
        <v>185</v>
      </c>
      <c r="D62" s="62" t="s">
        <v>3133</v>
      </c>
      <c r="E62" s="11" t="str">
        <f>HYPERLINK("https://youtu.be/L5UBFtkqZFs?t=7016","channel 2")</f>
        <v>channel 2</v>
      </c>
    </row>
    <row r="63">
      <c r="B63" s="62" t="s">
        <v>3132</v>
      </c>
      <c r="C63" s="45" t="s">
        <v>16</v>
      </c>
      <c r="D63" s="62" t="s">
        <v>1911</v>
      </c>
      <c r="E63" s="11" t="s">
        <v>9</v>
      </c>
    </row>
    <row r="64">
      <c r="B64" s="62" t="s">
        <v>2884</v>
      </c>
      <c r="C64" s="45" t="s">
        <v>292</v>
      </c>
      <c r="D64" s="61" t="s">
        <v>2035</v>
      </c>
      <c r="E64" s="11" t="str">
        <f>HYPERLINK("https://youtu.be/L5UBFtkqZFs?t=7914","channel 2")</f>
        <v>channel 2</v>
      </c>
    </row>
    <row r="65">
      <c r="B65" s="62" t="s">
        <v>3133</v>
      </c>
      <c r="C65" s="45" t="s">
        <v>517</v>
      </c>
      <c r="D65" s="62" t="s">
        <v>1911</v>
      </c>
      <c r="E65" s="11" t="s">
        <v>9</v>
      </c>
    </row>
    <row r="66">
      <c r="B66" s="62" t="s">
        <v>3132</v>
      </c>
      <c r="C66" s="45" t="s">
        <v>43</v>
      </c>
      <c r="D66" s="61" t="s">
        <v>2035</v>
      </c>
      <c r="E66" s="11" t="str">
        <f>HYPERLINK("https://youtu.be/L5UBFtkqZFs?t=8778","channel 2")</f>
        <v>channel 2</v>
      </c>
    </row>
    <row r="67">
      <c r="B67" s="96" t="s">
        <v>2335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235</v>
      </c>
      <c r="C69" s="45" t="s">
        <v>302</v>
      </c>
      <c r="D69" s="62" t="s">
        <v>2336</v>
      </c>
      <c r="E69" s="11" t="s">
        <v>9</v>
      </c>
    </row>
    <row r="70">
      <c r="B70" s="62" t="s">
        <v>3001</v>
      </c>
      <c r="C70" s="45" t="s">
        <v>193</v>
      </c>
      <c r="D70" s="61" t="s">
        <v>3134</v>
      </c>
      <c r="E70" s="11" t="str">
        <f>HYPERLINK("https://youtu.be/uulzwEz7SWY","channel 2")</f>
        <v>channel 2</v>
      </c>
    </row>
    <row r="71">
      <c r="B71" s="62" t="s">
        <v>3135</v>
      </c>
      <c r="C71" s="45" t="s">
        <v>220</v>
      </c>
      <c r="D71" s="62" t="s">
        <v>235</v>
      </c>
      <c r="E71" s="11" t="s">
        <v>9</v>
      </c>
    </row>
    <row r="72">
      <c r="B72" s="62" t="s">
        <v>3001</v>
      </c>
      <c r="C72" s="45" t="s">
        <v>193</v>
      </c>
      <c r="D72" s="62" t="s">
        <v>2336</v>
      </c>
      <c r="E72" s="11" t="str">
        <f>HYPERLINK("https://youtu.be/uulzwEz7SWY?t=871","channel 2")</f>
        <v>channel 2</v>
      </c>
    </row>
    <row r="73">
      <c r="B73" s="62" t="s">
        <v>3135</v>
      </c>
      <c r="C73" s="45" t="s">
        <v>433</v>
      </c>
      <c r="D73" s="61" t="s">
        <v>3134</v>
      </c>
      <c r="E73" s="11" t="s">
        <v>9</v>
      </c>
    </row>
    <row r="74">
      <c r="B74" s="62" t="s">
        <v>3001</v>
      </c>
      <c r="C74" s="45" t="s">
        <v>219</v>
      </c>
      <c r="D74" s="62" t="s">
        <v>235</v>
      </c>
      <c r="E74" s="11" t="str">
        <f>HYPERLINK("https://youtu.be/uulzwEz7SWY?t=1973","channel 2")</f>
        <v>channel 2</v>
      </c>
    </row>
    <row r="75">
      <c r="B75" s="62" t="s">
        <v>3135</v>
      </c>
      <c r="C75" s="45" t="s">
        <v>194</v>
      </c>
      <c r="D75" s="62" t="s">
        <v>2336</v>
      </c>
      <c r="E75" s="11" t="s">
        <v>9</v>
      </c>
    </row>
    <row r="76">
      <c r="B76" s="61" t="s">
        <v>3134</v>
      </c>
      <c r="C76" s="45" t="s">
        <v>27</v>
      </c>
      <c r="D76" s="62" t="s">
        <v>235</v>
      </c>
      <c r="E76" s="11" t="str">
        <f>HYPERLINK("https://youtu.be/uulzwEz7SWY?t=3011","channel 2")</f>
        <v>channel 2</v>
      </c>
    </row>
    <row r="77">
      <c r="B77" s="62" t="s">
        <v>3135</v>
      </c>
      <c r="C77" s="45" t="s">
        <v>1226</v>
      </c>
      <c r="D77" s="62" t="s">
        <v>3001</v>
      </c>
      <c r="E77" s="11" t="s">
        <v>9</v>
      </c>
    </row>
    <row r="78">
      <c r="B78" s="61" t="s">
        <v>3134</v>
      </c>
      <c r="C78" s="45" t="s">
        <v>352</v>
      </c>
      <c r="D78" s="62" t="s">
        <v>2336</v>
      </c>
      <c r="E78" s="11" t="str">
        <f>HYPERLINK("https://youtu.be/uulzwEz7SWY?t=3994","channel 2")</f>
        <v>channel 2</v>
      </c>
    </row>
    <row r="79">
      <c r="B79" s="62" t="s">
        <v>2336</v>
      </c>
      <c r="C79" s="45" t="s">
        <v>185</v>
      </c>
      <c r="D79" s="62" t="s">
        <v>235</v>
      </c>
      <c r="E79" s="11" t="s">
        <v>9</v>
      </c>
    </row>
    <row r="80">
      <c r="B80" s="61" t="s">
        <v>3134</v>
      </c>
      <c r="C80" s="45" t="s">
        <v>165</v>
      </c>
      <c r="D80" s="62" t="s">
        <v>3001</v>
      </c>
      <c r="E80" s="11" t="str">
        <f>HYPERLINK("https://youtu.be/uulzwEz7SWY?t=4882","channel 2")</f>
        <v>channel 2</v>
      </c>
    </row>
    <row r="81">
      <c r="B81" s="62" t="s">
        <v>235</v>
      </c>
      <c r="C81" s="45" t="s">
        <v>257</v>
      </c>
      <c r="D81" s="62" t="s">
        <v>3135</v>
      </c>
      <c r="E81" s="11" t="s">
        <v>9</v>
      </c>
    </row>
    <row r="82">
      <c r="B82" s="62" t="s">
        <v>2336</v>
      </c>
      <c r="C82" s="45" t="s">
        <v>193</v>
      </c>
      <c r="D82" s="62" t="s">
        <v>3001</v>
      </c>
      <c r="E82" s="11" t="str">
        <f>HYPERLINK("https://youtu.be/uulzwEz7SWY?t=5770","channel 2")</f>
        <v>channel 2</v>
      </c>
    </row>
    <row r="83">
      <c r="B83" s="61" t="s">
        <v>3134</v>
      </c>
      <c r="C83" s="45" t="s">
        <v>220</v>
      </c>
      <c r="D83" s="62" t="s">
        <v>3135</v>
      </c>
      <c r="E83" s="11" t="s">
        <v>9</v>
      </c>
    </row>
    <row r="84">
      <c r="B84" s="62" t="s">
        <v>235</v>
      </c>
      <c r="C84" s="45" t="s">
        <v>250</v>
      </c>
      <c r="D84" s="62" t="s">
        <v>3001</v>
      </c>
      <c r="E84" s="11" t="str">
        <f>HYPERLINK("https://youtu.be/uulzwEz7SWY?t=6705","channel 2")</f>
        <v>channel 2</v>
      </c>
    </row>
    <row r="85">
      <c r="B85" s="62" t="s">
        <v>2336</v>
      </c>
      <c r="C85" s="45" t="s">
        <v>185</v>
      </c>
      <c r="D85" s="62" t="s">
        <v>3135</v>
      </c>
      <c r="E85" s="11" t="s">
        <v>9</v>
      </c>
    </row>
    <row r="86">
      <c r="B86" s="62" t="s">
        <v>235</v>
      </c>
      <c r="C86" s="45" t="s">
        <v>23</v>
      </c>
      <c r="D86" s="61" t="s">
        <v>3134</v>
      </c>
      <c r="E86" s="11" t="str">
        <f>HYPERLINK("https://youtu.be/uulzwEz7SWY?t=7640","channel 2")</f>
        <v>channel 2</v>
      </c>
    </row>
    <row r="87">
      <c r="B87" s="62" t="s">
        <v>3001</v>
      </c>
      <c r="C87" s="45" t="s">
        <v>210</v>
      </c>
      <c r="D87" s="62" t="s">
        <v>3135</v>
      </c>
      <c r="E87" s="11" t="s">
        <v>9</v>
      </c>
    </row>
    <row r="88">
      <c r="B88" s="62" t="s">
        <v>2336</v>
      </c>
      <c r="C88" s="45" t="s">
        <v>251</v>
      </c>
      <c r="D88" s="61" t="s">
        <v>3134</v>
      </c>
      <c r="E88" s="11" t="str">
        <f>HYPERLINK("https://youtu.be/uulzwEz7SWY?t=8599","channel 2")</f>
        <v>channel 2</v>
      </c>
    </row>
    <row r="89">
      <c r="B89" s="96" t="s">
        <v>3136</v>
      </c>
      <c r="C89" s="2"/>
      <c r="D89" s="3"/>
      <c r="E89" s="107"/>
    </row>
    <row r="90">
      <c r="B90" s="108" t="s">
        <v>2</v>
      </c>
      <c r="C90" s="109" t="s">
        <v>3</v>
      </c>
      <c r="D90" s="109" t="s">
        <v>4</v>
      </c>
      <c r="E90" s="109" t="s">
        <v>5</v>
      </c>
    </row>
    <row r="91">
      <c r="B91" s="110" t="s">
        <v>928</v>
      </c>
      <c r="C91" s="111" t="s">
        <v>336</v>
      </c>
      <c r="D91" s="112" t="s">
        <v>2078</v>
      </c>
      <c r="E91" s="33" t="str">
        <f>HYPERLINK("https://youtu.be/i7lh5DUQnIk","channel 3")</f>
        <v>channel 3</v>
      </c>
    </row>
    <row r="92">
      <c r="B92" s="110" t="s">
        <v>3137</v>
      </c>
      <c r="C92" s="111" t="s">
        <v>547</v>
      </c>
      <c r="D92" s="112" t="s">
        <v>1622</v>
      </c>
      <c r="E92" s="33" t="str">
        <f>HYPERLINK("https://youtu.be/3limlZppBxM","channel 4")</f>
        <v>channel 4</v>
      </c>
    </row>
    <row r="93">
      <c r="B93" s="110" t="s">
        <v>1749</v>
      </c>
      <c r="C93" s="111" t="s">
        <v>16</v>
      </c>
      <c r="D93" s="112" t="s">
        <v>928</v>
      </c>
      <c r="E93" s="33" t="s">
        <v>29</v>
      </c>
    </row>
    <row r="94">
      <c r="B94" s="110" t="s">
        <v>3137</v>
      </c>
      <c r="C94" s="111" t="s">
        <v>19</v>
      </c>
      <c r="D94" s="112" t="s">
        <v>2078</v>
      </c>
      <c r="E94" s="33" t="str">
        <f>HYPERLINK("https://youtu.be/3limlZppBxM?t=838","channel 4")</f>
        <v>channel 4</v>
      </c>
    </row>
    <row r="95">
      <c r="B95" s="110" t="s">
        <v>1749</v>
      </c>
      <c r="C95" s="111" t="s">
        <v>162</v>
      </c>
      <c r="D95" s="112" t="s">
        <v>1622</v>
      </c>
      <c r="E95" s="33" t="s">
        <v>29</v>
      </c>
    </row>
    <row r="96">
      <c r="B96" s="110" t="s">
        <v>3137</v>
      </c>
      <c r="C96" s="111" t="s">
        <v>233</v>
      </c>
      <c r="D96" s="112" t="s">
        <v>928</v>
      </c>
      <c r="E96" s="33" t="str">
        <f>HYPERLINK("https://youtu.be/3limlZppBxM?t=1834","channel 4")</f>
        <v>channel 4</v>
      </c>
      <c r="G96" s="118"/>
    </row>
    <row r="97">
      <c r="B97" s="110" t="s">
        <v>1749</v>
      </c>
      <c r="C97" s="111" t="s">
        <v>173</v>
      </c>
      <c r="D97" s="112" t="s">
        <v>2078</v>
      </c>
      <c r="E97" s="33" t="s">
        <v>29</v>
      </c>
    </row>
    <row r="98">
      <c r="B98" s="110" t="s">
        <v>1622</v>
      </c>
      <c r="C98" s="111" t="s">
        <v>3138</v>
      </c>
      <c r="D98" s="112" t="s">
        <v>928</v>
      </c>
      <c r="E98" s="33" t="str">
        <f>HYPERLINK("https://youtu.be/3limlZppBxM?t=2710","channel 4")</f>
        <v>channel 4</v>
      </c>
    </row>
    <row r="99">
      <c r="B99" s="110" t="s">
        <v>1749</v>
      </c>
      <c r="C99" s="111" t="s">
        <v>517</v>
      </c>
      <c r="D99" s="112" t="s">
        <v>3137</v>
      </c>
      <c r="E99" s="33" t="s">
        <v>29</v>
      </c>
    </row>
    <row r="100">
      <c r="B100" s="110" t="s">
        <v>1622</v>
      </c>
      <c r="C100" s="111" t="s">
        <v>18</v>
      </c>
      <c r="D100" s="112" t="s">
        <v>2078</v>
      </c>
      <c r="E100" s="33" t="str">
        <f>HYPERLINK("https://youtu.be/3limlZppBxM?t=3538","channel 4")</f>
        <v>channel 4</v>
      </c>
    </row>
    <row r="101">
      <c r="B101" s="110" t="s">
        <v>2078</v>
      </c>
      <c r="C101" s="111" t="s">
        <v>184</v>
      </c>
      <c r="D101" s="112" t="s">
        <v>928</v>
      </c>
      <c r="E101" s="33" t="s">
        <v>29</v>
      </c>
    </row>
    <row r="102">
      <c r="B102" s="110" t="s">
        <v>1622</v>
      </c>
      <c r="C102" s="111" t="s">
        <v>44</v>
      </c>
      <c r="D102" s="112" t="s">
        <v>3137</v>
      </c>
      <c r="E102" s="33" t="str">
        <f>HYPERLINK("https://youtu.be/3limlZppBxM?t=4525","channel 4")</f>
        <v>channel 4</v>
      </c>
    </row>
    <row r="103">
      <c r="B103" s="110" t="s">
        <v>928</v>
      </c>
      <c r="C103" s="111" t="s">
        <v>688</v>
      </c>
      <c r="D103" s="110" t="s">
        <v>1749</v>
      </c>
      <c r="E103" s="33" t="s">
        <v>29</v>
      </c>
    </row>
    <row r="104">
      <c r="B104" s="110" t="s">
        <v>2078</v>
      </c>
      <c r="C104" s="111" t="s">
        <v>3139</v>
      </c>
      <c r="D104" s="112" t="s">
        <v>3137</v>
      </c>
      <c r="E104" s="33" t="str">
        <f>HYPERLINK("https://youtu.be/3limlZppBxM?t=5440","channel 4")</f>
        <v>channel 4</v>
      </c>
    </row>
    <row r="105">
      <c r="B105" s="110" t="s">
        <v>1622</v>
      </c>
      <c r="C105" s="111" t="s">
        <v>165</v>
      </c>
      <c r="D105" s="110" t="s">
        <v>1749</v>
      </c>
      <c r="E105" s="33" t="s">
        <v>29</v>
      </c>
    </row>
    <row r="106">
      <c r="B106" s="110" t="s">
        <v>928</v>
      </c>
      <c r="C106" s="111" t="s">
        <v>3140</v>
      </c>
      <c r="D106" s="112" t="s">
        <v>3137</v>
      </c>
      <c r="E106" s="33" t="str">
        <f>HYPERLINK("https://youtu.be/3limlZppBxM?t=6277","channel 4")</f>
        <v>channel 4</v>
      </c>
    </row>
    <row r="107">
      <c r="B107" s="110" t="s">
        <v>2078</v>
      </c>
      <c r="C107" s="111" t="s">
        <v>194</v>
      </c>
      <c r="D107" s="110" t="s">
        <v>1749</v>
      </c>
      <c r="E107" s="33" t="s">
        <v>29</v>
      </c>
    </row>
    <row r="108">
      <c r="B108" s="110" t="s">
        <v>928</v>
      </c>
      <c r="C108" s="111" t="s">
        <v>395</v>
      </c>
      <c r="D108" s="112" t="s">
        <v>1622</v>
      </c>
      <c r="E108" s="33" t="str">
        <f>HYPERLINK("https://youtu.be/3limlZppBxM?t=7156","channel 4")</f>
        <v>channel 4</v>
      </c>
    </row>
    <row r="109">
      <c r="B109" s="110" t="s">
        <v>3137</v>
      </c>
      <c r="C109" s="111" t="s">
        <v>165</v>
      </c>
      <c r="D109" s="110" t="s">
        <v>1749</v>
      </c>
      <c r="E109" s="33" t="s">
        <v>29</v>
      </c>
    </row>
    <row r="110">
      <c r="B110" s="110" t="s">
        <v>2078</v>
      </c>
      <c r="C110" s="111" t="s">
        <v>163</v>
      </c>
      <c r="D110" s="112" t="s">
        <v>1622</v>
      </c>
      <c r="E110" s="33" t="str">
        <f>HYPERLINK("https://youtu.be/3limlZppBxM?t=8044","channel 4")</f>
        <v>channel 4</v>
      </c>
    </row>
    <row r="111">
      <c r="B111" s="96" t="s">
        <v>3141</v>
      </c>
      <c r="C111" s="2"/>
      <c r="D111" s="3"/>
      <c r="E111" s="107"/>
    </row>
    <row r="112">
      <c r="B112" s="21" t="s">
        <v>2</v>
      </c>
      <c r="C112" s="21" t="s">
        <v>3</v>
      </c>
      <c r="D112" s="21" t="s">
        <v>4</v>
      </c>
      <c r="E112" s="109" t="s">
        <v>5</v>
      </c>
    </row>
    <row r="113">
      <c r="B113" s="61" t="s">
        <v>2980</v>
      </c>
      <c r="C113" s="45" t="s">
        <v>185</v>
      </c>
      <c r="D113" s="61" t="s">
        <v>2127</v>
      </c>
      <c r="E113" s="33" t="str">
        <f>HYPERLINK("https://youtu.be/td_vH4MnoQU","channel 3")</f>
        <v>channel 3</v>
      </c>
    </row>
    <row r="114">
      <c r="B114" s="61" t="s">
        <v>3142</v>
      </c>
      <c r="C114" s="45" t="s">
        <v>197</v>
      </c>
      <c r="D114" s="61" t="s">
        <v>2128</v>
      </c>
      <c r="E114" s="33" t="str">
        <f>HYPERLINK("https://youtu.be/8fuOh_H63so","channel 4")</f>
        <v>channel 4</v>
      </c>
    </row>
    <row r="115">
      <c r="B115" s="61" t="s">
        <v>3116</v>
      </c>
      <c r="C115" s="45" t="s">
        <v>573</v>
      </c>
      <c r="D115" s="61" t="s">
        <v>2980</v>
      </c>
      <c r="E115" s="33" t="s">
        <v>29</v>
      </c>
    </row>
    <row r="116">
      <c r="B116" s="61" t="s">
        <v>3142</v>
      </c>
      <c r="C116" s="45" t="s">
        <v>39</v>
      </c>
      <c r="D116" s="61" t="s">
        <v>2127</v>
      </c>
      <c r="E116" s="33" t="str">
        <f>HYPERLINK("https://youtu.be/8fuOh_H63so?t=987","channel 4")</f>
        <v>channel 4</v>
      </c>
      <c r="K116" s="50" t="s">
        <v>514</v>
      </c>
    </row>
    <row r="117">
      <c r="B117" s="61" t="s">
        <v>3116</v>
      </c>
      <c r="C117" s="45" t="s">
        <v>43</v>
      </c>
      <c r="D117" s="61" t="s">
        <v>2128</v>
      </c>
      <c r="E117" s="33" t="s">
        <v>29</v>
      </c>
    </row>
    <row r="118">
      <c r="B118" s="61" t="s">
        <v>3142</v>
      </c>
      <c r="C118" s="45" t="s">
        <v>44</v>
      </c>
      <c r="D118" s="61" t="s">
        <v>2980</v>
      </c>
      <c r="E118" s="33" t="str">
        <f>HYPERLINK("https://youtu.be/8fuOh_H63so?t=1981","channel 4")</f>
        <v>channel 4</v>
      </c>
    </row>
    <row r="119">
      <c r="B119" s="61" t="s">
        <v>3116</v>
      </c>
      <c r="C119" s="45" t="s">
        <v>19</v>
      </c>
      <c r="D119" s="61" t="s">
        <v>2127</v>
      </c>
      <c r="E119" s="33" t="s">
        <v>29</v>
      </c>
    </row>
    <row r="120">
      <c r="B120" s="61" t="s">
        <v>2128</v>
      </c>
      <c r="C120" s="45" t="s">
        <v>184</v>
      </c>
      <c r="D120" s="61" t="s">
        <v>2980</v>
      </c>
      <c r="E120" s="33" t="str">
        <f>HYPERLINK("https://youtu.be/8fuOh_H63so?t=2974","channel 4")</f>
        <v>channel 4</v>
      </c>
    </row>
    <row r="121">
      <c r="B121" s="61" t="s">
        <v>3116</v>
      </c>
      <c r="C121" s="45" t="s">
        <v>1846</v>
      </c>
      <c r="D121" s="61" t="s">
        <v>3142</v>
      </c>
      <c r="E121" s="33" t="s">
        <v>29</v>
      </c>
    </row>
    <row r="122">
      <c r="B122" s="61" t="s">
        <v>2128</v>
      </c>
      <c r="C122" s="45" t="s">
        <v>173</v>
      </c>
      <c r="D122" s="61" t="s">
        <v>2127</v>
      </c>
      <c r="E122" s="33" t="str">
        <f>HYPERLINK("https://youtu.be/8fuOh_H63so?t=3957","channel 4")</f>
        <v>channel 4</v>
      </c>
    </row>
    <row r="123">
      <c r="B123" s="61" t="s">
        <v>2127</v>
      </c>
      <c r="C123" s="45" t="s">
        <v>219</v>
      </c>
      <c r="D123" s="61" t="s">
        <v>2980</v>
      </c>
      <c r="E123" s="33" t="s">
        <v>29</v>
      </c>
    </row>
    <row r="124">
      <c r="B124" s="61" t="s">
        <v>2128</v>
      </c>
      <c r="C124" s="45" t="s">
        <v>157</v>
      </c>
      <c r="D124" s="61" t="s">
        <v>3142</v>
      </c>
      <c r="E124" s="33" t="str">
        <f>HYPERLINK("https://youtu.be/8fuOh_H63so?t=4960","channel 4")</f>
        <v>channel 4</v>
      </c>
    </row>
    <row r="125">
      <c r="B125" s="61" t="s">
        <v>2980</v>
      </c>
      <c r="C125" s="45" t="s">
        <v>1277</v>
      </c>
      <c r="D125" s="61" t="s">
        <v>3116</v>
      </c>
      <c r="E125" s="33" t="s">
        <v>29</v>
      </c>
    </row>
    <row r="126">
      <c r="B126" s="61" t="s">
        <v>2127</v>
      </c>
      <c r="C126" s="45" t="s">
        <v>194</v>
      </c>
      <c r="D126" s="61" t="s">
        <v>3142</v>
      </c>
      <c r="E126" s="33" t="str">
        <f>HYPERLINK("https://youtu.be/8fuOh_H63so?t=5902","channel 4")</f>
        <v>channel 4</v>
      </c>
    </row>
    <row r="127">
      <c r="B127" s="61" t="s">
        <v>2128</v>
      </c>
      <c r="C127" s="45" t="s">
        <v>237</v>
      </c>
      <c r="D127" s="61" t="s">
        <v>3116</v>
      </c>
      <c r="E127" s="33" t="s">
        <v>29</v>
      </c>
    </row>
    <row r="128">
      <c r="B128" s="61" t="s">
        <v>2980</v>
      </c>
      <c r="C128" s="45" t="s">
        <v>24</v>
      </c>
      <c r="D128" s="61" t="s">
        <v>3142</v>
      </c>
      <c r="E128" s="33" t="str">
        <f>HYPERLINK("https://youtu.be/8fuOh_H63so?t=6829","channel 4")</f>
        <v>channel 4</v>
      </c>
    </row>
    <row r="129">
      <c r="B129" s="61" t="s">
        <v>2127</v>
      </c>
      <c r="C129" s="45" t="s">
        <v>209</v>
      </c>
      <c r="D129" s="61" t="s">
        <v>3116</v>
      </c>
      <c r="E129" s="33" t="s">
        <v>29</v>
      </c>
    </row>
    <row r="130">
      <c r="B130" s="61" t="s">
        <v>2980</v>
      </c>
      <c r="C130" s="45" t="s">
        <v>20</v>
      </c>
      <c r="D130" s="61" t="s">
        <v>2128</v>
      </c>
      <c r="E130" s="33" t="str">
        <f>HYPERLINK("https://youtu.be/8fuOh_H63so?t=7797","channel 4")</f>
        <v>channel 4</v>
      </c>
      <c r="G130" s="50" t="s">
        <v>514</v>
      </c>
    </row>
    <row r="131">
      <c r="B131" s="61" t="s">
        <v>3142</v>
      </c>
      <c r="C131" s="45" t="s">
        <v>161</v>
      </c>
      <c r="D131" s="61" t="s">
        <v>3116</v>
      </c>
      <c r="E131" s="33" t="s">
        <v>29</v>
      </c>
    </row>
    <row r="132">
      <c r="B132" s="61" t="s">
        <v>2127</v>
      </c>
      <c r="C132" s="45" t="s">
        <v>1120</v>
      </c>
      <c r="D132" s="61" t="s">
        <v>2128</v>
      </c>
      <c r="E132" s="33" t="str">
        <f>HYPERLINK("https://youtu.be/8fuOh_H63so?t=8729","channel 4")</f>
        <v>channel 4</v>
      </c>
    </row>
    <row r="133">
      <c r="B133" s="96" t="s">
        <v>2152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2856</v>
      </c>
      <c r="C135" s="45" t="s">
        <v>41</v>
      </c>
      <c r="D135" s="62" t="s">
        <v>3143</v>
      </c>
      <c r="E135" s="11" t="s">
        <v>9</v>
      </c>
    </row>
    <row r="136">
      <c r="B136" s="62" t="s">
        <v>3003</v>
      </c>
      <c r="C136" s="45" t="s">
        <v>173</v>
      </c>
      <c r="D136" s="61" t="s">
        <v>1513</v>
      </c>
      <c r="E136" s="11" t="str">
        <f>HYPERLINK("https://youtu.be/4HY0bODMdhc","channel 2")</f>
        <v>channel 2</v>
      </c>
    </row>
    <row r="137">
      <c r="B137" s="62" t="s">
        <v>1001</v>
      </c>
      <c r="C137" s="45" t="s">
        <v>162</v>
      </c>
      <c r="D137" s="62" t="s">
        <v>2856</v>
      </c>
      <c r="E137" s="11" t="s">
        <v>9</v>
      </c>
    </row>
    <row r="138">
      <c r="B138" s="62" t="s">
        <v>3003</v>
      </c>
      <c r="C138" s="45" t="s">
        <v>225</v>
      </c>
      <c r="D138" s="62" t="s">
        <v>3143</v>
      </c>
      <c r="E138" s="11" t="str">
        <f>HYPERLINK("https://youtu.be/4HY0bODMdhc?t=793","channel 2")</f>
        <v>channel 2</v>
      </c>
    </row>
    <row r="139">
      <c r="B139" s="62" t="s">
        <v>1001</v>
      </c>
      <c r="C139" s="45" t="s">
        <v>14</v>
      </c>
      <c r="D139" s="61" t="s">
        <v>1513</v>
      </c>
      <c r="E139" s="11" t="s">
        <v>9</v>
      </c>
    </row>
    <row r="140">
      <c r="B140" s="62" t="s">
        <v>3003</v>
      </c>
      <c r="C140" s="45" t="s">
        <v>161</v>
      </c>
      <c r="D140" s="62" t="s">
        <v>2856</v>
      </c>
      <c r="E140" s="11" t="str">
        <f>HYPERLINK("https://youtu.be/4HY0bODMdhc?t=1797","channel 2")</f>
        <v>channel 2</v>
      </c>
    </row>
    <row r="141">
      <c r="B141" s="62" t="s">
        <v>1001</v>
      </c>
      <c r="C141" s="45" t="s">
        <v>237</v>
      </c>
      <c r="D141" s="62" t="s">
        <v>3143</v>
      </c>
      <c r="E141" s="11" t="s">
        <v>9</v>
      </c>
    </row>
    <row r="142">
      <c r="B142" s="61" t="s">
        <v>1513</v>
      </c>
      <c r="C142" s="45" t="s">
        <v>17</v>
      </c>
      <c r="D142" s="62" t="s">
        <v>2856</v>
      </c>
      <c r="E142" s="11" t="str">
        <f>HYPERLINK("https://youtu.be/4HY0bODMdhc?t=2669","channel 2")</f>
        <v>channel 2</v>
      </c>
    </row>
    <row r="143">
      <c r="B143" s="62" t="s">
        <v>1001</v>
      </c>
      <c r="C143" s="45" t="s">
        <v>324</v>
      </c>
      <c r="D143" s="62" t="s">
        <v>3003</v>
      </c>
      <c r="E143" s="11" t="s">
        <v>9</v>
      </c>
    </row>
    <row r="144">
      <c r="B144" s="61" t="s">
        <v>1513</v>
      </c>
      <c r="C144" s="45" t="s">
        <v>344</v>
      </c>
      <c r="D144" s="62" t="s">
        <v>3143</v>
      </c>
      <c r="E144" s="11" t="str">
        <f>HYPERLINK("https://youtu.be/4HY0bODMdhc?t=3548","channel 2")</f>
        <v>channel 2</v>
      </c>
    </row>
    <row r="145">
      <c r="B145" s="62" t="s">
        <v>3143</v>
      </c>
      <c r="C145" s="45" t="s">
        <v>20</v>
      </c>
      <c r="D145" s="62" t="s">
        <v>2856</v>
      </c>
      <c r="E145" s="11" t="s">
        <v>9</v>
      </c>
    </row>
    <row r="146">
      <c r="B146" s="61" t="s">
        <v>1513</v>
      </c>
      <c r="C146" s="45" t="s">
        <v>181</v>
      </c>
      <c r="D146" s="62" t="s">
        <v>3003</v>
      </c>
      <c r="E146" s="11" t="str">
        <f>HYPERLINK("https://youtu.be/4HY0bODMdhc?t=4560","channel 2")</f>
        <v>channel 2</v>
      </c>
    </row>
    <row r="147">
      <c r="B147" s="62" t="s">
        <v>2856</v>
      </c>
      <c r="C147" s="45" t="s">
        <v>164</v>
      </c>
      <c r="D147" s="62" t="s">
        <v>1001</v>
      </c>
      <c r="E147" s="11" t="s">
        <v>9</v>
      </c>
    </row>
    <row r="148">
      <c r="B148" s="62" t="s">
        <v>3143</v>
      </c>
      <c r="C148" s="45" t="s">
        <v>549</v>
      </c>
      <c r="D148" s="62" t="s">
        <v>3003</v>
      </c>
      <c r="E148" s="11" t="str">
        <f>HYPERLINK("https://youtu.be/4HY0bODMdhc?t=5587","channel 2")</f>
        <v>channel 2</v>
      </c>
    </row>
    <row r="149">
      <c r="B149" s="61" t="s">
        <v>1513</v>
      </c>
      <c r="C149" s="45" t="s">
        <v>323</v>
      </c>
      <c r="D149" s="62" t="s">
        <v>1001</v>
      </c>
      <c r="E149" s="11" t="s">
        <v>9</v>
      </c>
    </row>
    <row r="150">
      <c r="B150" s="62" t="s">
        <v>2856</v>
      </c>
      <c r="C150" s="45" t="s">
        <v>195</v>
      </c>
      <c r="D150" s="62" t="s">
        <v>3003</v>
      </c>
      <c r="E150" s="11" t="str">
        <f>HYPERLINK("https://youtu.be/4HY0bODMdhc?t=6498","channel 2")</f>
        <v>channel 2</v>
      </c>
    </row>
    <row r="151">
      <c r="B151" s="62" t="s">
        <v>3143</v>
      </c>
      <c r="C151" s="45" t="s">
        <v>573</v>
      </c>
      <c r="D151" s="62" t="s">
        <v>1001</v>
      </c>
      <c r="E151" s="11" t="s">
        <v>9</v>
      </c>
    </row>
    <row r="152">
      <c r="B152" s="62" t="s">
        <v>2856</v>
      </c>
      <c r="C152" s="45" t="s">
        <v>184</v>
      </c>
      <c r="D152" s="61" t="s">
        <v>1513</v>
      </c>
      <c r="E152" s="11" t="str">
        <f>HYPERLINK("https://youtu.be/4HY0bODMdhc?t=7501","channel 2")</f>
        <v>channel 2</v>
      </c>
    </row>
    <row r="153">
      <c r="B153" s="62" t="s">
        <v>3003</v>
      </c>
      <c r="C153" s="45" t="s">
        <v>231</v>
      </c>
      <c r="D153" s="62" t="s">
        <v>1001</v>
      </c>
      <c r="E153" s="11" t="s">
        <v>9</v>
      </c>
    </row>
    <row r="154">
      <c r="B154" s="62" t="s">
        <v>3143</v>
      </c>
      <c r="C154" s="45" t="s">
        <v>610</v>
      </c>
      <c r="D154" s="61" t="s">
        <v>1513</v>
      </c>
      <c r="E154" s="11" t="str">
        <f>HYPERLINK("https://youtu.be/4HY0bODMdhc?t=8412","channel 2")</f>
        <v>channel 2</v>
      </c>
    </row>
    <row r="155">
      <c r="B155" s="96" t="s">
        <v>3011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670</v>
      </c>
      <c r="C157" s="45" t="s">
        <v>23</v>
      </c>
      <c r="D157" s="62" t="s">
        <v>3144</v>
      </c>
      <c r="E157" s="11" t="s">
        <v>9</v>
      </c>
    </row>
    <row r="158">
      <c r="B158" s="62" t="s">
        <v>3145</v>
      </c>
      <c r="C158" s="45" t="s">
        <v>202</v>
      </c>
      <c r="D158" s="61" t="s">
        <v>881</v>
      </c>
      <c r="E158" s="11" t="str">
        <f>HYPERLINK("https://youtu.be/yh8HCCBjVfA","channel 2")</f>
        <v>channel 2</v>
      </c>
    </row>
    <row r="159">
      <c r="B159" s="62" t="s">
        <v>1791</v>
      </c>
      <c r="C159" s="45" t="s">
        <v>210</v>
      </c>
      <c r="D159" s="62" t="s">
        <v>670</v>
      </c>
      <c r="E159" s="11" t="s">
        <v>9</v>
      </c>
    </row>
    <row r="160">
      <c r="B160" s="62" t="s">
        <v>3145</v>
      </c>
      <c r="C160" s="45" t="s">
        <v>218</v>
      </c>
      <c r="D160" s="62" t="s">
        <v>3144</v>
      </c>
      <c r="E160" s="11" t="str">
        <f>HYPERLINK("https://youtu.be/yh8HCCBjVfA?t=864","channel 2")</f>
        <v>channel 2</v>
      </c>
    </row>
    <row r="161">
      <c r="B161" s="62" t="s">
        <v>1791</v>
      </c>
      <c r="C161" s="45" t="s">
        <v>208</v>
      </c>
      <c r="D161" s="61" t="s">
        <v>881</v>
      </c>
      <c r="E161" s="11" t="s">
        <v>9</v>
      </c>
    </row>
    <row r="162">
      <c r="B162" s="62" t="s">
        <v>3145</v>
      </c>
      <c r="C162" s="45" t="s">
        <v>302</v>
      </c>
      <c r="D162" s="62" t="s">
        <v>670</v>
      </c>
      <c r="E162" s="11" t="str">
        <f>HYPERLINK("https://youtu.be/yh8HCCBjVfA?t=1854","channel 2")</f>
        <v>channel 2</v>
      </c>
    </row>
    <row r="163">
      <c r="B163" s="62" t="s">
        <v>1791</v>
      </c>
      <c r="C163" s="45" t="s">
        <v>42</v>
      </c>
      <c r="D163" s="62" t="s">
        <v>3144</v>
      </c>
      <c r="E163" s="11" t="s">
        <v>9</v>
      </c>
    </row>
    <row r="164">
      <c r="B164" s="61" t="s">
        <v>881</v>
      </c>
      <c r="C164" s="45" t="s">
        <v>324</v>
      </c>
      <c r="D164" s="62" t="s">
        <v>670</v>
      </c>
      <c r="E164" s="11" t="str">
        <f>HYPERLINK("https://youtu.be/yh8HCCBjVfA?t=2824","channel 2")</f>
        <v>channel 2</v>
      </c>
    </row>
    <row r="165">
      <c r="B165" s="62" t="s">
        <v>1791</v>
      </c>
      <c r="C165" s="45" t="s">
        <v>1277</v>
      </c>
      <c r="D165" s="62" t="s">
        <v>3145</v>
      </c>
      <c r="E165" s="11" t="s">
        <v>9</v>
      </c>
    </row>
    <row r="166">
      <c r="B166" s="61" t="s">
        <v>881</v>
      </c>
      <c r="C166" s="45" t="s">
        <v>7</v>
      </c>
      <c r="D166" s="62" t="s">
        <v>3144</v>
      </c>
      <c r="E166" s="11" t="str">
        <f>HYPERLINK("https://youtu.be/yh8HCCBjVfA?t=3644","channel 2")</f>
        <v>channel 2</v>
      </c>
    </row>
    <row r="167">
      <c r="B167" s="62" t="s">
        <v>3144</v>
      </c>
      <c r="C167" s="45" t="s">
        <v>23</v>
      </c>
      <c r="D167" s="62" t="s">
        <v>670</v>
      </c>
      <c r="E167" s="11" t="s">
        <v>9</v>
      </c>
    </row>
    <row r="168">
      <c r="B168" s="61" t="s">
        <v>881</v>
      </c>
      <c r="C168" s="45" t="s">
        <v>651</v>
      </c>
      <c r="D168" s="62" t="s">
        <v>3145</v>
      </c>
      <c r="E168" s="11" t="str">
        <f>HYPERLINK("https://youtu.be/yh8HCCBjVfA?t=4578","channel 2")</f>
        <v>channel 2</v>
      </c>
    </row>
    <row r="169">
      <c r="B169" s="62" t="s">
        <v>670</v>
      </c>
      <c r="C169" s="45" t="s">
        <v>158</v>
      </c>
      <c r="D169" s="62" t="s">
        <v>1791</v>
      </c>
      <c r="E169" s="11" t="s">
        <v>9</v>
      </c>
    </row>
    <row r="170">
      <c r="B170" s="62" t="s">
        <v>3144</v>
      </c>
      <c r="C170" s="45" t="s">
        <v>44</v>
      </c>
      <c r="D170" s="62" t="s">
        <v>3145</v>
      </c>
      <c r="E170" s="11" t="str">
        <f>HYPERLINK("https://youtu.be/yh8HCCBjVfA?t=5467","channel 2")</f>
        <v>channel 2</v>
      </c>
    </row>
    <row r="171">
      <c r="B171" s="61" t="s">
        <v>881</v>
      </c>
      <c r="C171" s="45" t="s">
        <v>209</v>
      </c>
      <c r="D171" s="62" t="s">
        <v>1791</v>
      </c>
      <c r="E171" s="11" t="s">
        <v>9</v>
      </c>
    </row>
    <row r="172">
      <c r="B172" s="62" t="s">
        <v>670</v>
      </c>
      <c r="C172" s="45" t="s">
        <v>547</v>
      </c>
      <c r="D172" s="62" t="s">
        <v>3145</v>
      </c>
      <c r="E172" s="11" t="str">
        <f>HYPERLINK("https://youtu.be/yh8HCCBjVfA?t=6428","channel 2")</f>
        <v>channel 2</v>
      </c>
    </row>
    <row r="173">
      <c r="B173" s="62" t="s">
        <v>3144</v>
      </c>
      <c r="C173" s="45" t="s">
        <v>162</v>
      </c>
      <c r="D173" s="62" t="s">
        <v>1791</v>
      </c>
      <c r="E173" s="11" t="s">
        <v>9</v>
      </c>
    </row>
    <row r="174">
      <c r="B174" s="62" t="s">
        <v>670</v>
      </c>
      <c r="C174" s="45" t="s">
        <v>433</v>
      </c>
      <c r="D174" s="61" t="s">
        <v>881</v>
      </c>
      <c r="E174" s="11" t="str">
        <f>HYPERLINK("https://youtu.be/yh8HCCBjVfA?t=7450","channel 2")</f>
        <v>channel 2</v>
      </c>
    </row>
    <row r="175">
      <c r="B175" s="62" t="s">
        <v>3145</v>
      </c>
      <c r="C175" s="45" t="s">
        <v>229</v>
      </c>
      <c r="D175" s="62" t="s">
        <v>1791</v>
      </c>
      <c r="E175" s="11" t="s">
        <v>9</v>
      </c>
    </row>
    <row r="176">
      <c r="B176" s="62" t="s">
        <v>3144</v>
      </c>
      <c r="C176" s="45" t="s">
        <v>194</v>
      </c>
      <c r="D176" s="61" t="s">
        <v>881</v>
      </c>
      <c r="E176" s="11" t="str">
        <f>HYPERLINK("https://youtu.be/yh8HCCBjVfA?t=8380","channel 2")</f>
        <v>channel 2</v>
      </c>
    </row>
    <row r="177">
      <c r="B177" s="96" t="s">
        <v>3111</v>
      </c>
      <c r="C177" s="2"/>
      <c r="D177" s="3"/>
      <c r="E177" s="107"/>
    </row>
    <row r="178">
      <c r="B178" s="108" t="s">
        <v>2</v>
      </c>
      <c r="C178" s="109" t="s">
        <v>3</v>
      </c>
      <c r="D178" s="109" t="s">
        <v>4</v>
      </c>
      <c r="E178" s="109" t="s">
        <v>5</v>
      </c>
    </row>
    <row r="179">
      <c r="B179" s="110" t="s">
        <v>3146</v>
      </c>
      <c r="C179" s="111" t="s">
        <v>229</v>
      </c>
      <c r="D179" s="112" t="s">
        <v>1055</v>
      </c>
      <c r="E179" s="33" t="s">
        <v>29</v>
      </c>
    </row>
    <row r="180">
      <c r="B180" s="110" t="s">
        <v>3147</v>
      </c>
      <c r="C180" s="111" t="s">
        <v>205</v>
      </c>
      <c r="D180" s="112" t="s">
        <v>1443</v>
      </c>
      <c r="E180" s="33" t="str">
        <f>HYPERLINK("https://youtu.be/ts2GsOX5fYI","channel 4")</f>
        <v>channel 4</v>
      </c>
    </row>
    <row r="181">
      <c r="B181" s="110" t="s">
        <v>834</v>
      </c>
      <c r="C181" s="111" t="s">
        <v>41</v>
      </c>
      <c r="D181" s="112" t="s">
        <v>3146</v>
      </c>
      <c r="E181" s="33" t="s">
        <v>29</v>
      </c>
    </row>
    <row r="182">
      <c r="B182" s="110" t="s">
        <v>3147</v>
      </c>
      <c r="C182" s="111" t="s">
        <v>195</v>
      </c>
      <c r="D182" s="112" t="s">
        <v>1055</v>
      </c>
      <c r="E182" s="33" t="str">
        <f>HYPERLINK("https://youtu.be/ts2GsOX5fYI?t=996","channel 4")</f>
        <v>channel 4</v>
      </c>
    </row>
    <row r="183">
      <c r="B183" s="110" t="s">
        <v>834</v>
      </c>
      <c r="C183" s="111" t="s">
        <v>17</v>
      </c>
      <c r="D183" s="112" t="s">
        <v>1443</v>
      </c>
      <c r="E183" s="33" t="s">
        <v>29</v>
      </c>
    </row>
    <row r="184">
      <c r="B184" s="110" t="s">
        <v>3147</v>
      </c>
      <c r="C184" s="111" t="s">
        <v>335</v>
      </c>
      <c r="D184" s="112" t="s">
        <v>3146</v>
      </c>
      <c r="E184" s="33" t="str">
        <f>HYPERLINK("https://youtu.be/ts2GsOX5fYI?t=1920","channel 4")</f>
        <v>channel 4</v>
      </c>
    </row>
    <row r="185">
      <c r="B185" s="110" t="s">
        <v>834</v>
      </c>
      <c r="C185" s="111" t="s">
        <v>36</v>
      </c>
      <c r="D185" s="112" t="s">
        <v>1055</v>
      </c>
      <c r="E185" s="33" t="s">
        <v>29</v>
      </c>
    </row>
    <row r="186">
      <c r="B186" s="110" t="s">
        <v>1443</v>
      </c>
      <c r="C186" s="111" t="s">
        <v>225</v>
      </c>
      <c r="D186" s="112" t="s">
        <v>3146</v>
      </c>
      <c r="E186" s="33" t="str">
        <f>HYPERLINK("https://youtu.be/ts2GsOX5fYI?t=2886","channel 4")</f>
        <v>channel 4</v>
      </c>
    </row>
    <row r="187">
      <c r="B187" s="110" t="s">
        <v>834</v>
      </c>
      <c r="C187" s="111" t="s">
        <v>440</v>
      </c>
      <c r="D187" s="112" t="s">
        <v>3147</v>
      </c>
      <c r="E187" s="33" t="s">
        <v>29</v>
      </c>
    </row>
    <row r="188">
      <c r="B188" s="110" t="s">
        <v>1443</v>
      </c>
      <c r="C188" s="111" t="s">
        <v>193</v>
      </c>
      <c r="D188" s="112" t="s">
        <v>1055</v>
      </c>
      <c r="E188" s="33" t="str">
        <f>HYPERLINK("https://youtu.be/ts2GsOX5fYI?t=3908","channel 4")</f>
        <v>channel 4</v>
      </c>
    </row>
    <row r="189">
      <c r="B189" s="110" t="s">
        <v>1055</v>
      </c>
      <c r="C189" s="111" t="s">
        <v>18</v>
      </c>
      <c r="D189" s="112" t="s">
        <v>3146</v>
      </c>
      <c r="E189" s="33" t="s">
        <v>29</v>
      </c>
    </row>
    <row r="190">
      <c r="B190" s="110" t="s">
        <v>1443</v>
      </c>
      <c r="C190" s="111" t="s">
        <v>166</v>
      </c>
      <c r="D190" s="112" t="s">
        <v>3147</v>
      </c>
      <c r="E190" s="33" t="str">
        <f>HYPERLINK("https://youtu.be/ts2GsOX5fYI?t=4932","channel 4")</f>
        <v>channel 4</v>
      </c>
    </row>
    <row r="191">
      <c r="B191" s="110" t="s">
        <v>3146</v>
      </c>
      <c r="C191" s="111" t="s">
        <v>3148</v>
      </c>
      <c r="D191" s="110" t="s">
        <v>834</v>
      </c>
      <c r="E191" s="33" t="s">
        <v>29</v>
      </c>
    </row>
    <row r="192">
      <c r="B192" s="110" t="s">
        <v>1055</v>
      </c>
      <c r="C192" s="111" t="s">
        <v>554</v>
      </c>
      <c r="D192" s="112" t="s">
        <v>3147</v>
      </c>
      <c r="E192" s="33" t="str">
        <f>HYPERLINK("https://youtu.be/ts2GsOX5fYI?t=5980","channel 4")</f>
        <v>channel 4</v>
      </c>
    </row>
    <row r="193">
      <c r="B193" s="110" t="s">
        <v>1443</v>
      </c>
      <c r="C193" s="111" t="s">
        <v>620</v>
      </c>
      <c r="D193" s="110" t="s">
        <v>834</v>
      </c>
      <c r="E193" s="33" t="s">
        <v>29</v>
      </c>
    </row>
    <row r="194">
      <c r="B194" s="110" t="s">
        <v>3146</v>
      </c>
      <c r="C194" s="111" t="s">
        <v>17</v>
      </c>
      <c r="D194" s="112" t="s">
        <v>3147</v>
      </c>
      <c r="E194" s="33" t="str">
        <f>HYPERLINK("https://youtu.be/ts2GsOX5fYI?t=6925","channel 4")</f>
        <v>channel 4</v>
      </c>
    </row>
    <row r="195">
      <c r="B195" s="110" t="s">
        <v>1055</v>
      </c>
      <c r="C195" s="111" t="s">
        <v>3149</v>
      </c>
      <c r="D195" s="110" t="s">
        <v>834</v>
      </c>
      <c r="E195" s="33" t="s">
        <v>29</v>
      </c>
    </row>
    <row r="196">
      <c r="B196" s="110" t="s">
        <v>3146</v>
      </c>
      <c r="C196" s="111" t="s">
        <v>549</v>
      </c>
      <c r="D196" s="112" t="s">
        <v>1443</v>
      </c>
      <c r="E196" s="33" t="str">
        <f>HYPERLINK("https://youtu.be/ts2GsOX5fYI?t=7937","channel 4")</f>
        <v>channel 4</v>
      </c>
    </row>
    <row r="197">
      <c r="B197" s="110" t="s">
        <v>3147</v>
      </c>
      <c r="C197" s="111" t="s">
        <v>1948</v>
      </c>
      <c r="D197" s="110" t="s">
        <v>834</v>
      </c>
      <c r="E197" s="33" t="s">
        <v>29</v>
      </c>
    </row>
    <row r="198">
      <c r="B198" s="110" t="s">
        <v>1055</v>
      </c>
      <c r="C198" s="111" t="s">
        <v>17</v>
      </c>
      <c r="D198" s="112" t="s">
        <v>1443</v>
      </c>
      <c r="E198" s="33" t="str">
        <f>HYPERLINK("https://youtu.be/ts2GsOX5fYI?t=8919","channel 4")</f>
        <v>channel 4</v>
      </c>
    </row>
    <row r="199">
      <c r="B199" s="96" t="s">
        <v>2712</v>
      </c>
      <c r="C199" s="2"/>
      <c r="D199" s="3"/>
      <c r="E199" s="107"/>
    </row>
    <row r="200">
      <c r="B200" s="108" t="s">
        <v>2</v>
      </c>
      <c r="C200" s="109" t="s">
        <v>3</v>
      </c>
      <c r="D200" s="109" t="s">
        <v>4</v>
      </c>
      <c r="E200" s="109" t="s">
        <v>5</v>
      </c>
    </row>
    <row r="201">
      <c r="B201" s="110" t="s">
        <v>3150</v>
      </c>
      <c r="C201" s="111" t="s">
        <v>3151</v>
      </c>
      <c r="D201" s="112" t="s">
        <v>1956</v>
      </c>
      <c r="E201" s="33" t="s">
        <v>29</v>
      </c>
    </row>
    <row r="202">
      <c r="B202" s="110" t="s">
        <v>3152</v>
      </c>
      <c r="C202" s="111" t="s">
        <v>38</v>
      </c>
      <c r="D202" s="112" t="s">
        <v>2061</v>
      </c>
      <c r="E202" s="33" t="str">
        <f>HYPERLINK("https://youtu.be/HiVzfw0JJOo","channel 4")</f>
        <v>channel 4</v>
      </c>
    </row>
    <row r="203">
      <c r="B203" s="110" t="s">
        <v>3153</v>
      </c>
      <c r="C203" s="111" t="s">
        <v>298</v>
      </c>
      <c r="D203" s="112" t="s">
        <v>3150</v>
      </c>
      <c r="E203" s="33" t="s">
        <v>29</v>
      </c>
    </row>
    <row r="204">
      <c r="B204" s="110" t="s">
        <v>3152</v>
      </c>
      <c r="C204" s="111" t="s">
        <v>757</v>
      </c>
      <c r="D204" s="112" t="s">
        <v>1956</v>
      </c>
      <c r="E204" s="33" t="str">
        <f>HYPERLINK("https://youtu.be/HiVzfw0JJOo?t=945","channel 4")</f>
        <v>channel 4</v>
      </c>
    </row>
    <row r="205">
      <c r="B205" s="110" t="s">
        <v>3153</v>
      </c>
      <c r="C205" s="111" t="s">
        <v>19</v>
      </c>
      <c r="D205" s="112" t="s">
        <v>2061</v>
      </c>
      <c r="E205" s="33" t="s">
        <v>29</v>
      </c>
    </row>
    <row r="206">
      <c r="B206" s="110" t="s">
        <v>3152</v>
      </c>
      <c r="C206" s="111" t="s">
        <v>314</v>
      </c>
      <c r="D206" s="112" t="s">
        <v>3150</v>
      </c>
      <c r="E206" s="33" t="str">
        <f>HYPERLINK("https://youtu.be/HiVzfw0JJOo?t=1936","channel 4")</f>
        <v>channel 4</v>
      </c>
    </row>
    <row r="207">
      <c r="B207" s="110" t="s">
        <v>3153</v>
      </c>
      <c r="C207" s="111" t="s">
        <v>239</v>
      </c>
      <c r="D207" s="112" t="s">
        <v>1956</v>
      </c>
      <c r="E207" s="33" t="s">
        <v>29</v>
      </c>
    </row>
    <row r="208">
      <c r="B208" s="110" t="s">
        <v>2061</v>
      </c>
      <c r="C208" s="111" t="s">
        <v>19</v>
      </c>
      <c r="D208" s="112" t="s">
        <v>3150</v>
      </c>
      <c r="E208" s="33" t="str">
        <f>HYPERLINK("https://youtu.be/HiVzfw0JJOo?t=3058","channel 4")</f>
        <v>channel 4</v>
      </c>
    </row>
    <row r="209">
      <c r="B209" s="110" t="s">
        <v>3153</v>
      </c>
      <c r="C209" s="111" t="s">
        <v>244</v>
      </c>
      <c r="D209" s="112" t="s">
        <v>3152</v>
      </c>
      <c r="E209" s="33" t="s">
        <v>29</v>
      </c>
    </row>
    <row r="210">
      <c r="B210" s="110" t="s">
        <v>2061</v>
      </c>
      <c r="C210" s="111" t="s">
        <v>344</v>
      </c>
      <c r="D210" s="112" t="s">
        <v>1956</v>
      </c>
      <c r="E210" s="33" t="str">
        <f>HYPERLINK("https://youtu.be/HiVzfw0JJOo?t=4019","channel 4")</f>
        <v>channel 4</v>
      </c>
    </row>
    <row r="211">
      <c r="B211" s="110" t="s">
        <v>1956</v>
      </c>
      <c r="C211" s="111" t="s">
        <v>268</v>
      </c>
      <c r="D211" s="112" t="s">
        <v>3150</v>
      </c>
      <c r="E211" s="33" t="s">
        <v>29</v>
      </c>
    </row>
    <row r="212">
      <c r="B212" s="110" t="s">
        <v>2061</v>
      </c>
      <c r="C212" s="111" t="s">
        <v>248</v>
      </c>
      <c r="D212" s="112" t="s">
        <v>3152</v>
      </c>
      <c r="E212" s="33" t="str">
        <f>HYPERLINK("https://youtu.be/HiVzfw0JJOo?t=4899","channel 4")</f>
        <v>channel 4</v>
      </c>
    </row>
    <row r="213">
      <c r="B213" s="110" t="s">
        <v>3150</v>
      </c>
      <c r="C213" s="111" t="s">
        <v>244</v>
      </c>
      <c r="D213" s="110" t="s">
        <v>3153</v>
      </c>
      <c r="E213" s="33" t="s">
        <v>29</v>
      </c>
    </row>
    <row r="214">
      <c r="B214" s="110" t="s">
        <v>1956</v>
      </c>
      <c r="C214" s="111" t="s">
        <v>16</v>
      </c>
      <c r="D214" s="112" t="s">
        <v>3152</v>
      </c>
      <c r="E214" s="33" t="str">
        <f>HYPERLINK("https://youtu.be/HiVzfw0JJOo?t=5874","channel 4")</f>
        <v>channel 4</v>
      </c>
    </row>
    <row r="215">
      <c r="B215" s="110" t="s">
        <v>2061</v>
      </c>
      <c r="C215" s="111" t="s">
        <v>290</v>
      </c>
      <c r="D215" s="110" t="s">
        <v>3153</v>
      </c>
      <c r="E215" s="33" t="s">
        <v>29</v>
      </c>
    </row>
    <row r="216">
      <c r="B216" s="110" t="s">
        <v>3150</v>
      </c>
      <c r="C216" s="111" t="s">
        <v>508</v>
      </c>
      <c r="D216" s="112" t="s">
        <v>3152</v>
      </c>
      <c r="E216" s="33" t="str">
        <f>HYPERLINK("https://youtu.be/HiVzfw0JJOo?t=6764","channel 4")</f>
        <v>channel 4</v>
      </c>
    </row>
    <row r="217">
      <c r="B217" s="110" t="s">
        <v>1956</v>
      </c>
      <c r="C217" s="111" t="s">
        <v>20</v>
      </c>
      <c r="D217" s="110" t="s">
        <v>3153</v>
      </c>
      <c r="E217" s="33" t="s">
        <v>29</v>
      </c>
    </row>
    <row r="218">
      <c r="B218" s="110" t="s">
        <v>3150</v>
      </c>
      <c r="C218" s="111" t="s">
        <v>324</v>
      </c>
      <c r="D218" s="112" t="s">
        <v>2061</v>
      </c>
      <c r="E218" s="33" t="str">
        <f>HYPERLINK("https://youtu.be/HiVzfw0JJOo?t=7735","channel 4")</f>
        <v>channel 4</v>
      </c>
    </row>
    <row r="219">
      <c r="B219" s="110" t="s">
        <v>3152</v>
      </c>
      <c r="C219" s="111" t="s">
        <v>3154</v>
      </c>
      <c r="D219" s="110" t="s">
        <v>3153</v>
      </c>
      <c r="E219" s="33" t="s">
        <v>29</v>
      </c>
    </row>
    <row r="220">
      <c r="B220" s="110" t="s">
        <v>1956</v>
      </c>
      <c r="C220" s="111" t="s">
        <v>39</v>
      </c>
      <c r="D220" s="112" t="s">
        <v>2061</v>
      </c>
      <c r="E220" s="33" t="str">
        <f>HYPERLINK("https://youtu.be/HiVzfw0JJOo?t=8710","channel 4")</f>
        <v>channel 4</v>
      </c>
    </row>
    <row r="221">
      <c r="B221" s="96" t="s">
        <v>2495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346</v>
      </c>
      <c r="C223" s="45" t="s">
        <v>303</v>
      </c>
      <c r="D223" s="62" t="s">
        <v>3089</v>
      </c>
      <c r="E223" s="11" t="s">
        <v>9</v>
      </c>
    </row>
    <row r="224">
      <c r="B224" s="62" t="s">
        <v>2430</v>
      </c>
      <c r="C224" s="45" t="s">
        <v>38</v>
      </c>
      <c r="D224" s="61" t="s">
        <v>2447</v>
      </c>
      <c r="E224" s="11" t="str">
        <f>HYPERLINK("https://youtu.be/gvPwWF9-d34","channel 2")</f>
        <v>channel 2</v>
      </c>
    </row>
    <row r="225">
      <c r="B225" s="62" t="s">
        <v>3155</v>
      </c>
      <c r="C225" s="45" t="s">
        <v>248</v>
      </c>
      <c r="D225" s="62" t="s">
        <v>346</v>
      </c>
      <c r="E225" s="11" t="str">
        <f>HYPERLINK("https://youtu.be/GUN0hKV_sok?t=1078","channel 1")</f>
        <v>channel 1</v>
      </c>
    </row>
    <row r="226">
      <c r="B226" s="62" t="s">
        <v>2430</v>
      </c>
      <c r="C226" s="45" t="s">
        <v>165</v>
      </c>
      <c r="D226" s="62" t="s">
        <v>3089</v>
      </c>
      <c r="E226" s="11" t="str">
        <f>HYPERLINK("https://youtu.be/gvPwWF9-d34?t=1033","channel 2")</f>
        <v>channel 2</v>
      </c>
    </row>
    <row r="227">
      <c r="B227" s="62" t="s">
        <v>3155</v>
      </c>
      <c r="C227" s="45" t="s">
        <v>181</v>
      </c>
      <c r="D227" s="61" t="s">
        <v>2447</v>
      </c>
      <c r="E227" s="11" t="str">
        <f>HYPERLINK("https://youtu.be/GUN0hKV_sok?t=1999","channel 1")</f>
        <v>channel 1</v>
      </c>
    </row>
    <row r="228">
      <c r="B228" s="62" t="s">
        <v>2430</v>
      </c>
      <c r="C228" s="45" t="s">
        <v>351</v>
      </c>
      <c r="D228" s="62" t="s">
        <v>346</v>
      </c>
      <c r="E228" s="11" t="str">
        <f>HYPERLINK("https://youtu.be/gvPwWF9-d34?t=2005","channel 2")</f>
        <v>channel 2</v>
      </c>
    </row>
    <row r="229">
      <c r="B229" s="62" t="s">
        <v>3155</v>
      </c>
      <c r="C229" s="45" t="s">
        <v>334</v>
      </c>
      <c r="D229" s="62" t="s">
        <v>3089</v>
      </c>
      <c r="E229" s="11" t="str">
        <f>HYPERLINK("https://youtu.be/GUN0hKV_sok?t=2952","channel 1")</f>
        <v>channel 1</v>
      </c>
    </row>
    <row r="230">
      <c r="B230" s="61" t="s">
        <v>2447</v>
      </c>
      <c r="C230" s="45" t="s">
        <v>910</v>
      </c>
      <c r="D230" s="62" t="s">
        <v>346</v>
      </c>
      <c r="E230" s="11" t="str">
        <f>HYPERLINK("https://youtu.be/gvPwWF9-d34?t=2946","channel 2")</f>
        <v>channel 2</v>
      </c>
    </row>
    <row r="231">
      <c r="B231" s="62" t="s">
        <v>3155</v>
      </c>
      <c r="C231" s="45" t="s">
        <v>23</v>
      </c>
      <c r="D231" s="62" t="s">
        <v>2430</v>
      </c>
      <c r="E231" s="11" t="str">
        <f>HYPERLINK("https://youtu.be/GUN0hKV_sok?t=3885","channel 1")</f>
        <v>channel 1</v>
      </c>
    </row>
    <row r="232">
      <c r="B232" s="61" t="s">
        <v>2447</v>
      </c>
      <c r="C232" s="45" t="s">
        <v>18</v>
      </c>
      <c r="D232" s="62" t="s">
        <v>3089</v>
      </c>
      <c r="E232" s="11" t="str">
        <f>HYPERLINK("https://youtu.be/gvPwWF9-d34?t=3890","channel 2")</f>
        <v>channel 2</v>
      </c>
    </row>
    <row r="233">
      <c r="B233" s="62" t="s">
        <v>3089</v>
      </c>
      <c r="C233" s="45" t="s">
        <v>248</v>
      </c>
      <c r="D233" s="62" t="s">
        <v>346</v>
      </c>
      <c r="E233" s="11" t="str">
        <f>HYPERLINK("https://youtu.be/GUN0hKV_sok?t=4772","channel 1")</f>
        <v>channel 1</v>
      </c>
    </row>
    <row r="234">
      <c r="B234" s="61" t="s">
        <v>2447</v>
      </c>
      <c r="C234" s="45" t="s">
        <v>182</v>
      </c>
      <c r="D234" s="62" t="s">
        <v>2430</v>
      </c>
      <c r="E234" s="11" t="str">
        <f>HYPERLINK("https://youtu.be/gvPwWF9-d34?t=4290","channel 2")</f>
        <v>channel 2</v>
      </c>
    </row>
    <row r="235">
      <c r="B235" s="62" t="s">
        <v>346</v>
      </c>
      <c r="C235" s="45" t="s">
        <v>14</v>
      </c>
      <c r="D235" s="62" t="s">
        <v>3155</v>
      </c>
      <c r="E235" s="11" t="str">
        <f>HYPERLINK("https://youtu.be/GUN0hKV_sok?t=5801","channel 1")</f>
        <v>channel 1</v>
      </c>
    </row>
    <row r="236">
      <c r="B236" s="62" t="s">
        <v>3089</v>
      </c>
      <c r="C236" s="45" t="s">
        <v>696</v>
      </c>
      <c r="D236" s="62" t="s">
        <v>2430</v>
      </c>
      <c r="E236" s="11" t="str">
        <f>HYPERLINK("https://youtu.be/gvPwWF9-d34?t=5241","channel 2")</f>
        <v>channel 2</v>
      </c>
    </row>
    <row r="237">
      <c r="B237" s="61" t="s">
        <v>2447</v>
      </c>
      <c r="C237" s="45" t="s">
        <v>264</v>
      </c>
      <c r="D237" s="62" t="s">
        <v>3155</v>
      </c>
      <c r="E237" s="11" t="str">
        <f>HYPERLINK("https://youtu.be/GUN0hKV_sok?t=6742","channel 1")</f>
        <v>channel 1</v>
      </c>
    </row>
    <row r="238">
      <c r="B238" s="62" t="s">
        <v>346</v>
      </c>
      <c r="C238" s="45" t="s">
        <v>216</v>
      </c>
      <c r="D238" s="62" t="s">
        <v>2430</v>
      </c>
      <c r="E238" s="11" t="str">
        <f>HYPERLINK("https://youtu.be/gvPwWF9-d34?t=6207","channel 2")</f>
        <v>channel 2</v>
      </c>
    </row>
    <row r="239">
      <c r="B239" s="62" t="s">
        <v>3089</v>
      </c>
      <c r="C239" s="45" t="s">
        <v>3156</v>
      </c>
      <c r="D239" s="62" t="s">
        <v>3155</v>
      </c>
      <c r="E239" s="11" t="str">
        <f>HYPERLINK("https://youtu.be/GUN0hKV_sok?t=7746","channel 1")</f>
        <v>channel 1</v>
      </c>
    </row>
    <row r="240">
      <c r="B240" s="62" t="s">
        <v>346</v>
      </c>
      <c r="C240" s="45" t="s">
        <v>158</v>
      </c>
      <c r="D240" s="61" t="s">
        <v>2447</v>
      </c>
      <c r="E240" s="11" t="str">
        <f>HYPERLINK("https://youtu.be/gvPwWF9-d34?t=7159","channel 2")</f>
        <v>channel 2</v>
      </c>
    </row>
    <row r="241">
      <c r="B241" s="62" t="s">
        <v>2430</v>
      </c>
      <c r="C241" s="45" t="s">
        <v>225</v>
      </c>
      <c r="D241" s="62" t="s">
        <v>3155</v>
      </c>
      <c r="E241" s="11" t="str">
        <f>HYPERLINK("https://youtu.be/GUN0hKV_sok?t=8707","channel 1")</f>
        <v>channel 1</v>
      </c>
    </row>
    <row r="242">
      <c r="B242" s="62" t="s">
        <v>3089</v>
      </c>
      <c r="C242" s="45" t="s">
        <v>640</v>
      </c>
      <c r="D242" s="61" t="s">
        <v>2447</v>
      </c>
      <c r="E242" s="11" t="str">
        <f>HYPERLINK("https://youtu.be/gvPwWF9-d34?t=8049","channel 2")</f>
        <v>channel 2</v>
      </c>
    </row>
    <row r="243">
      <c r="B243" s="96" t="s">
        <v>1581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2830</v>
      </c>
      <c r="C245" s="45" t="s">
        <v>940</v>
      </c>
      <c r="D245" s="62" t="s">
        <v>2434</v>
      </c>
      <c r="E245" s="11" t="str">
        <f>HYPERLINK("https://youtu.be/mG_bbXHTHfA","channel 1")</f>
        <v>channel 1</v>
      </c>
    </row>
    <row r="246">
      <c r="B246" s="62" t="s">
        <v>2878</v>
      </c>
      <c r="C246" s="45" t="s">
        <v>508</v>
      </c>
      <c r="D246" s="61" t="s">
        <v>3063</v>
      </c>
      <c r="E246" s="11" t="str">
        <f>HYPERLINK("https://youtu.be/UR-_DaeUg2I","channel 2")</f>
        <v>channel 2</v>
      </c>
    </row>
    <row r="247">
      <c r="B247" s="62" t="s">
        <v>2838</v>
      </c>
      <c r="C247" s="45" t="s">
        <v>245</v>
      </c>
      <c r="D247" s="62" t="s">
        <v>2830</v>
      </c>
      <c r="E247" s="122" t="s">
        <v>9</v>
      </c>
    </row>
    <row r="248">
      <c r="B248" s="62" t="s">
        <v>2878</v>
      </c>
      <c r="C248" s="45" t="s">
        <v>502</v>
      </c>
      <c r="D248" s="62" t="s">
        <v>2434</v>
      </c>
      <c r="E248" s="122" t="s">
        <v>13</v>
      </c>
    </row>
    <row r="249">
      <c r="B249" s="62" t="s">
        <v>2838</v>
      </c>
      <c r="C249" s="45" t="s">
        <v>7</v>
      </c>
      <c r="D249" s="61" t="s">
        <v>3063</v>
      </c>
      <c r="E249" s="122" t="s">
        <v>9</v>
      </c>
    </row>
    <row r="250">
      <c r="B250" s="62" t="s">
        <v>2878</v>
      </c>
      <c r="C250" s="45" t="s">
        <v>344</v>
      </c>
      <c r="D250" s="62" t="s">
        <v>2830</v>
      </c>
      <c r="E250" s="122" t="s">
        <v>13</v>
      </c>
    </row>
    <row r="251">
      <c r="B251" s="62" t="s">
        <v>2838</v>
      </c>
      <c r="C251" s="45" t="s">
        <v>442</v>
      </c>
      <c r="D251" s="62" t="s">
        <v>2434</v>
      </c>
      <c r="E251" s="122" t="s">
        <v>9</v>
      </c>
    </row>
    <row r="252">
      <c r="B252" s="61" t="s">
        <v>3063</v>
      </c>
      <c r="C252" s="45" t="s">
        <v>171</v>
      </c>
      <c r="D252" s="62" t="s">
        <v>2830</v>
      </c>
      <c r="E252" s="122" t="s">
        <v>13</v>
      </c>
    </row>
    <row r="253">
      <c r="B253" s="62" t="s">
        <v>2838</v>
      </c>
      <c r="C253" s="45" t="s">
        <v>203</v>
      </c>
      <c r="D253" s="62" t="s">
        <v>2878</v>
      </c>
      <c r="E253" s="122" t="s">
        <v>9</v>
      </c>
    </row>
    <row r="254">
      <c r="B254" s="61" t="s">
        <v>3063</v>
      </c>
      <c r="C254" s="45" t="s">
        <v>161</v>
      </c>
      <c r="D254" s="62" t="s">
        <v>2434</v>
      </c>
      <c r="E254" s="122" t="s">
        <v>13</v>
      </c>
    </row>
    <row r="255">
      <c r="B255" s="62" t="s">
        <v>2434</v>
      </c>
      <c r="C255" s="45" t="s">
        <v>751</v>
      </c>
      <c r="D255" s="62" t="s">
        <v>2830</v>
      </c>
      <c r="E255" s="122" t="s">
        <v>9</v>
      </c>
    </row>
    <row r="256">
      <c r="B256" s="61" t="s">
        <v>3063</v>
      </c>
      <c r="C256" s="45" t="s">
        <v>301</v>
      </c>
      <c r="D256" s="62" t="s">
        <v>2878</v>
      </c>
      <c r="E256" s="122" t="s">
        <v>13</v>
      </c>
    </row>
    <row r="257">
      <c r="B257" s="62" t="s">
        <v>2830</v>
      </c>
      <c r="C257" s="45" t="s">
        <v>155</v>
      </c>
      <c r="D257" s="62" t="s">
        <v>2838</v>
      </c>
      <c r="E257" s="122" t="s">
        <v>9</v>
      </c>
    </row>
    <row r="258">
      <c r="B258" s="62" t="s">
        <v>2434</v>
      </c>
      <c r="C258" s="45" t="s">
        <v>168</v>
      </c>
      <c r="D258" s="62" t="s">
        <v>2878</v>
      </c>
      <c r="E258" s="122" t="s">
        <v>13</v>
      </c>
    </row>
    <row r="259">
      <c r="B259" s="61" t="s">
        <v>3063</v>
      </c>
      <c r="C259" s="45" t="s">
        <v>466</v>
      </c>
      <c r="D259" s="62" t="s">
        <v>2838</v>
      </c>
      <c r="E259" s="122" t="s">
        <v>9</v>
      </c>
    </row>
    <row r="260">
      <c r="B260" s="62" t="s">
        <v>2830</v>
      </c>
      <c r="C260" s="45" t="s">
        <v>278</v>
      </c>
      <c r="D260" s="62" t="s">
        <v>2878</v>
      </c>
      <c r="E260" s="122" t="s">
        <v>13</v>
      </c>
    </row>
    <row r="261">
      <c r="B261" s="62" t="s">
        <v>2434</v>
      </c>
      <c r="C261" s="45" t="s">
        <v>244</v>
      </c>
      <c r="D261" s="62" t="s">
        <v>2838</v>
      </c>
      <c r="E261" s="122" t="s">
        <v>9</v>
      </c>
    </row>
    <row r="262">
      <c r="B262" s="62" t="s">
        <v>2830</v>
      </c>
      <c r="C262" s="45" t="s">
        <v>208</v>
      </c>
      <c r="D262" s="61" t="s">
        <v>3063</v>
      </c>
      <c r="E262" s="122" t="s">
        <v>13</v>
      </c>
    </row>
    <row r="263">
      <c r="B263" s="62" t="s">
        <v>2878</v>
      </c>
      <c r="C263" s="119" t="s">
        <v>668</v>
      </c>
      <c r="D263" s="62" t="s">
        <v>2838</v>
      </c>
      <c r="E263" s="122" t="s">
        <v>9</v>
      </c>
    </row>
    <row r="264">
      <c r="B264" s="62" t="s">
        <v>2434</v>
      </c>
      <c r="C264" s="119" t="s">
        <v>668</v>
      </c>
      <c r="D264" s="61" t="s">
        <v>3063</v>
      </c>
      <c r="E264" s="122" t="s">
        <v>13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2133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3157</v>
      </c>
      <c r="C3" s="45" t="s">
        <v>442</v>
      </c>
      <c r="D3" s="62" t="s">
        <v>1464</v>
      </c>
      <c r="E3" s="120" t="str">
        <f>HYPERLINK("https://youtu.be/MQWvrGZ50xg","channel 1")</f>
        <v>channel 1</v>
      </c>
    </row>
    <row r="4">
      <c r="A4" s="90"/>
      <c r="B4" s="62" t="s">
        <v>3158</v>
      </c>
      <c r="C4" s="45" t="s">
        <v>41</v>
      </c>
      <c r="D4" s="61" t="s">
        <v>3159</v>
      </c>
      <c r="E4" s="120" t="str">
        <f>HYPERLINK("https://youtu.be/9FJp1ZiMZnA","channel 2")</f>
        <v>channel 2</v>
      </c>
    </row>
    <row r="5">
      <c r="A5" s="90"/>
      <c r="B5" s="62" t="s">
        <v>3160</v>
      </c>
      <c r="C5" s="45" t="s">
        <v>17</v>
      </c>
      <c r="D5" s="62" t="s">
        <v>3157</v>
      </c>
      <c r="E5" s="120" t="str">
        <f>HYPERLINK("https://youtu.be/MQWvrGZ50xg?t=1008","channel 1")</f>
        <v>channel 1</v>
      </c>
    </row>
    <row r="6">
      <c r="A6" s="90"/>
      <c r="B6" s="62" t="s">
        <v>3158</v>
      </c>
      <c r="C6" s="45" t="s">
        <v>1120</v>
      </c>
      <c r="D6" s="62" t="s">
        <v>1464</v>
      </c>
      <c r="E6" s="120" t="str">
        <f>HYPERLINK("https://youtu.be/9FJp1ZiMZnA?t=1080","channel 2")</f>
        <v>channel 2</v>
      </c>
    </row>
    <row r="7">
      <c r="A7" s="90"/>
      <c r="B7" s="62" t="s">
        <v>3160</v>
      </c>
      <c r="C7" s="45" t="s">
        <v>162</v>
      </c>
      <c r="D7" s="61" t="s">
        <v>3159</v>
      </c>
      <c r="E7" s="120" t="str">
        <f>HYPERLINK("https://youtu.be/MQWvrGZ50xg?t=1986","channel 1")</f>
        <v>channel 1</v>
      </c>
    </row>
    <row r="8">
      <c r="A8" s="90"/>
      <c r="B8" s="62" t="s">
        <v>3158</v>
      </c>
      <c r="C8" s="45" t="s">
        <v>14</v>
      </c>
      <c r="D8" s="62" t="s">
        <v>3157</v>
      </c>
      <c r="E8" s="120" t="str">
        <f>HYPERLINK("https://youtu.be/9FJp1ZiMZnA?t=2000","channel 2")</f>
        <v>channel 2</v>
      </c>
      <c r="H8" s="50" t="s">
        <v>3161</v>
      </c>
    </row>
    <row r="9">
      <c r="A9" s="90"/>
      <c r="B9" s="62" t="s">
        <v>3160</v>
      </c>
      <c r="C9" s="45" t="s">
        <v>22</v>
      </c>
      <c r="D9" s="62" t="s">
        <v>1464</v>
      </c>
      <c r="E9" s="120" t="str">
        <f>HYPERLINK("https://youtu.be/MQWvrGZ50xg?t=2907","channel 1")</f>
        <v>channel 1</v>
      </c>
    </row>
    <row r="10">
      <c r="A10" s="90"/>
      <c r="B10" s="61" t="s">
        <v>3159</v>
      </c>
      <c r="C10" s="45" t="s">
        <v>18</v>
      </c>
      <c r="D10" s="62" t="s">
        <v>3157</v>
      </c>
      <c r="E10" s="120" t="str">
        <f>HYPERLINK("https://youtu.be/9FJp1ZiMZnA?t=2925","channel 2")</f>
        <v>channel 2</v>
      </c>
    </row>
    <row r="11">
      <c r="A11" s="90"/>
      <c r="B11" s="62" t="s">
        <v>3160</v>
      </c>
      <c r="C11" s="45" t="s">
        <v>229</v>
      </c>
      <c r="D11" s="62" t="s">
        <v>3158</v>
      </c>
      <c r="E11" s="120" t="str">
        <f>HYPERLINK("https://youtu.be/MQWvrGZ50xg?t=3819","channel 1")</f>
        <v>channel 1</v>
      </c>
    </row>
    <row r="12">
      <c r="A12" s="90"/>
      <c r="B12" s="61" t="s">
        <v>3159</v>
      </c>
      <c r="C12" s="45" t="s">
        <v>38</v>
      </c>
      <c r="D12" s="62" t="s">
        <v>1464</v>
      </c>
      <c r="E12" s="120" t="str">
        <f>HYPERLINK("https://youtu.be/9FJp1ZiMZnA?t=3935","channel 2")</f>
        <v>channel 2</v>
      </c>
    </row>
    <row r="13">
      <c r="A13" s="90"/>
      <c r="B13" s="62" t="s">
        <v>1464</v>
      </c>
      <c r="C13" s="45" t="s">
        <v>640</v>
      </c>
      <c r="D13" s="62" t="s">
        <v>3157</v>
      </c>
      <c r="E13" s="120" t="str">
        <f>HYPERLINK("https://youtu.be/MQWvrGZ50xg?t=4783","channel 1")</f>
        <v>channel 1</v>
      </c>
    </row>
    <row r="14">
      <c r="A14" s="90"/>
      <c r="B14" s="61" t="s">
        <v>3159</v>
      </c>
      <c r="C14" s="45" t="s">
        <v>256</v>
      </c>
      <c r="D14" s="62" t="s">
        <v>3158</v>
      </c>
      <c r="E14" s="120" t="str">
        <f>HYPERLINK("https://youtu.be/9FJp1ZiMZnA?t=4879","channel 2")</f>
        <v>channel 2</v>
      </c>
    </row>
    <row r="15">
      <c r="A15" s="90"/>
      <c r="B15" s="62" t="s">
        <v>3157</v>
      </c>
      <c r="C15" s="45" t="s">
        <v>210</v>
      </c>
      <c r="D15" s="62" t="s">
        <v>3160</v>
      </c>
      <c r="E15" s="120" t="str">
        <f>HYPERLINK("https://youtu.be/MQWvrGZ50xg?t=5732","channel 1")</f>
        <v>channel 1</v>
      </c>
    </row>
    <row r="16">
      <c r="A16" s="90"/>
      <c r="B16" s="62" t="s">
        <v>1464</v>
      </c>
      <c r="C16" s="45" t="s">
        <v>36</v>
      </c>
      <c r="D16" s="62" t="s">
        <v>3158</v>
      </c>
      <c r="E16" s="120" t="str">
        <f>HYPERLINK("https://youtu.be/9FJp1ZiMZnA?t=5800","channel 2")</f>
        <v>channel 2</v>
      </c>
    </row>
    <row r="17">
      <c r="A17" s="90"/>
      <c r="B17" s="61" t="s">
        <v>3159</v>
      </c>
      <c r="C17" s="45" t="s">
        <v>161</v>
      </c>
      <c r="D17" s="62" t="s">
        <v>3160</v>
      </c>
      <c r="E17" s="120" t="str">
        <f>HYPERLINK("https://youtu.be/MQWvrGZ50xg?t=6662","channel 1")</f>
        <v>channel 1</v>
      </c>
    </row>
    <row r="18">
      <c r="A18" s="90"/>
      <c r="B18" s="62" t="s">
        <v>3157</v>
      </c>
      <c r="C18" s="45" t="s">
        <v>357</v>
      </c>
      <c r="D18" s="62" t="s">
        <v>3158</v>
      </c>
      <c r="E18" s="120" t="str">
        <f>HYPERLINK("https://youtu.be/9FJp1ZiMZnA?t=6735","channel 2")</f>
        <v>channel 2</v>
      </c>
    </row>
    <row r="19">
      <c r="A19" s="90"/>
      <c r="B19" s="62" t="s">
        <v>1464</v>
      </c>
      <c r="C19" s="45" t="s">
        <v>20</v>
      </c>
      <c r="D19" s="62" t="s">
        <v>3160</v>
      </c>
      <c r="E19" s="120" t="str">
        <f>HYPERLINK("https://youtu.be/MQWvrGZ50xg?t=7656","channel 1")</f>
        <v>channel 1</v>
      </c>
    </row>
    <row r="20">
      <c r="A20" s="90"/>
      <c r="B20" s="62" t="s">
        <v>3157</v>
      </c>
      <c r="C20" s="45" t="s">
        <v>338</v>
      </c>
      <c r="D20" s="61" t="s">
        <v>3159</v>
      </c>
      <c r="E20" s="120" t="str">
        <f>HYPERLINK("https://youtu.be/9FJp1ZiMZnA?t=7661","channel 2")</f>
        <v>channel 2</v>
      </c>
    </row>
    <row r="21">
      <c r="A21" s="90"/>
      <c r="B21" s="62" t="s">
        <v>3158</v>
      </c>
      <c r="C21" s="45" t="s">
        <v>157</v>
      </c>
      <c r="D21" s="62" t="s">
        <v>3160</v>
      </c>
      <c r="E21" s="120" t="str">
        <f>HYPERLINK("https://youtu.be/MQWvrGZ50xg?t=8604","channel 1")</f>
        <v>channel 1</v>
      </c>
    </row>
    <row r="22">
      <c r="A22" s="90"/>
      <c r="B22" s="62" t="s">
        <v>1464</v>
      </c>
      <c r="C22" s="45" t="s">
        <v>301</v>
      </c>
      <c r="D22" s="61" t="s">
        <v>3159</v>
      </c>
      <c r="E22" s="120" t="str">
        <f>HYPERLINK("https://youtu.be/9FJp1ZiMZnA?t=8591","channel 2")</f>
        <v>channel 2</v>
      </c>
    </row>
    <row r="23">
      <c r="A23" s="90"/>
      <c r="B23" s="96" t="s">
        <v>3162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2183</v>
      </c>
      <c r="C25" s="45" t="s">
        <v>17</v>
      </c>
      <c r="D25" s="62" t="s">
        <v>347</v>
      </c>
      <c r="E25" s="11" t="str">
        <f>HYPERLINK("https://youtu.be/CdL3e2WXR3o","channel 1")</f>
        <v>channel 1</v>
      </c>
    </row>
    <row r="26">
      <c r="A26" s="90"/>
      <c r="B26" s="62" t="s">
        <v>2840</v>
      </c>
      <c r="C26" s="45" t="s">
        <v>708</v>
      </c>
      <c r="D26" s="61" t="s">
        <v>2017</v>
      </c>
      <c r="E26" s="11" t="str">
        <f>HYPERLINK("https://youtu.be/FrdcGWJlLO4","channel 2")</f>
        <v>channel 2</v>
      </c>
    </row>
    <row r="27">
      <c r="A27" s="90"/>
      <c r="B27" s="62" t="s">
        <v>3163</v>
      </c>
      <c r="C27" s="45" t="s">
        <v>181</v>
      </c>
      <c r="D27" s="62" t="s">
        <v>2183</v>
      </c>
      <c r="E27" s="11" t="str">
        <f>HYPERLINK("https://youtu.be/CdL3e2WXR3o?t=1059","channel 1")</f>
        <v>channel 1</v>
      </c>
    </row>
    <row r="28">
      <c r="A28" s="90"/>
      <c r="B28" s="62" t="s">
        <v>2840</v>
      </c>
      <c r="C28" s="45" t="s">
        <v>908</v>
      </c>
      <c r="D28" s="62" t="s">
        <v>347</v>
      </c>
      <c r="E28" s="11" t="str">
        <f>HYPERLINK("https://youtu.be/FrdcGWJlLO4?t=1088","channel 2")</f>
        <v>channel 2</v>
      </c>
    </row>
    <row r="29">
      <c r="A29" s="90"/>
      <c r="B29" s="62" t="s">
        <v>3163</v>
      </c>
      <c r="C29" s="45" t="s">
        <v>1445</v>
      </c>
      <c r="D29" s="61" t="s">
        <v>2017</v>
      </c>
      <c r="E29" s="11" t="str">
        <f>HYPERLINK("https://youtu.be/CdL3e2WXR3o?t=1951","channel 1")</f>
        <v>channel 1</v>
      </c>
    </row>
    <row r="30">
      <c r="A30" s="90"/>
      <c r="B30" s="62" t="s">
        <v>2840</v>
      </c>
      <c r="C30" s="45" t="s">
        <v>525</v>
      </c>
      <c r="D30" s="62" t="s">
        <v>2183</v>
      </c>
      <c r="E30" s="11" t="str">
        <f>HYPERLINK("https://youtu.be/FrdcGWJlLO4?t=2022","channel 2")</f>
        <v>channel 2</v>
      </c>
    </row>
    <row r="31">
      <c r="A31" s="90"/>
      <c r="B31" s="62" t="s">
        <v>3163</v>
      </c>
      <c r="C31" s="45" t="s">
        <v>19</v>
      </c>
      <c r="D31" s="62" t="s">
        <v>347</v>
      </c>
      <c r="E31" s="11" t="str">
        <f>HYPERLINK("https://youtu.be/CdL3e2WXR3o?t=2898","channel 1")</f>
        <v>channel 1</v>
      </c>
    </row>
    <row r="32">
      <c r="A32" s="90"/>
      <c r="B32" s="61" t="s">
        <v>2017</v>
      </c>
      <c r="C32" s="45" t="s">
        <v>574</v>
      </c>
      <c r="D32" s="62" t="s">
        <v>2183</v>
      </c>
      <c r="E32" s="11" t="str">
        <f>HYPERLINK("https://youtu.be/FrdcGWJlLO4?t=2955","channel 2")</f>
        <v>channel 2</v>
      </c>
    </row>
    <row r="33">
      <c r="A33" s="90"/>
      <c r="B33" s="62" t="s">
        <v>3163</v>
      </c>
      <c r="C33" s="45" t="s">
        <v>449</v>
      </c>
      <c r="D33" s="62" t="s">
        <v>2840</v>
      </c>
      <c r="E33" s="11" t="str">
        <f>HYPERLINK("https://youtu.be/CdL3e2WXR3o?t=3826","channel 1")</f>
        <v>channel 1</v>
      </c>
    </row>
    <row r="34">
      <c r="A34" s="90"/>
      <c r="B34" s="61" t="s">
        <v>2017</v>
      </c>
      <c r="C34" s="45" t="s">
        <v>326</v>
      </c>
      <c r="D34" s="62" t="s">
        <v>347</v>
      </c>
      <c r="E34" s="11" t="str">
        <f>HYPERLINK("https://youtu.be/FrdcGWJlLO4?t=3911","channel 2")</f>
        <v>channel 2</v>
      </c>
    </row>
    <row r="35">
      <c r="A35" s="90"/>
      <c r="B35" s="62" t="s">
        <v>347</v>
      </c>
      <c r="C35" s="45" t="s">
        <v>14</v>
      </c>
      <c r="D35" s="62" t="s">
        <v>2183</v>
      </c>
      <c r="E35" s="11" t="str">
        <f>HYPERLINK("https://youtu.be/CdL3e2WXR3o?t=3826","channel 1")</f>
        <v>channel 1</v>
      </c>
    </row>
    <row r="36">
      <c r="A36" s="90"/>
      <c r="B36" s="61" t="s">
        <v>2017</v>
      </c>
      <c r="C36" s="45" t="s">
        <v>292</v>
      </c>
      <c r="D36" s="62" t="s">
        <v>2840</v>
      </c>
      <c r="E36" s="11" t="str">
        <f>HYPERLINK("https://youtu.be/FrdcGWJlLO4?t=4892","channel 2")</f>
        <v>channel 2</v>
      </c>
    </row>
    <row r="37">
      <c r="A37" s="90"/>
      <c r="B37" s="62" t="s">
        <v>2183</v>
      </c>
      <c r="C37" s="45" t="s">
        <v>20</v>
      </c>
      <c r="D37" s="62" t="s">
        <v>3163</v>
      </c>
      <c r="E37" s="11" t="str">
        <f>HYPERLINK("https://youtu.be/CdL3e2WXR3o?t=5713","channel 1")</f>
        <v>channel 1</v>
      </c>
    </row>
    <row r="38">
      <c r="A38" s="90"/>
      <c r="B38" s="62" t="s">
        <v>347</v>
      </c>
      <c r="C38" s="45" t="s">
        <v>313</v>
      </c>
      <c r="D38" s="62" t="s">
        <v>2840</v>
      </c>
      <c r="E38" s="11" t="str">
        <f>HYPERLINK("https://youtu.be/FrdcGWJlLO4?t=5827","channel 2")</f>
        <v>channel 2</v>
      </c>
    </row>
    <row r="39">
      <c r="A39" s="90"/>
      <c r="B39" s="61" t="s">
        <v>2017</v>
      </c>
      <c r="C39" s="45" t="s">
        <v>7</v>
      </c>
      <c r="D39" s="62" t="s">
        <v>3163</v>
      </c>
      <c r="E39" s="11" t="str">
        <f>HYPERLINK("https://youtu.be/CdL3e2WXR3o?t=6673","channel 1")</f>
        <v>channel 1</v>
      </c>
    </row>
    <row r="40">
      <c r="A40" s="90"/>
      <c r="B40" s="62" t="s">
        <v>2183</v>
      </c>
      <c r="C40" s="45" t="s">
        <v>19</v>
      </c>
      <c r="D40" s="62" t="s">
        <v>2840</v>
      </c>
      <c r="E40" s="11" t="str">
        <f>HYPERLINK("https://youtu.be/FrdcGWJlLO4?t=6754","channel 2")</f>
        <v>channel 2</v>
      </c>
    </row>
    <row r="41">
      <c r="A41" s="90"/>
      <c r="B41" s="62" t="s">
        <v>347</v>
      </c>
      <c r="C41" s="45" t="s">
        <v>1603</v>
      </c>
      <c r="D41" s="62" t="s">
        <v>3163</v>
      </c>
      <c r="E41" s="11" t="str">
        <f>HYPERLINK("https://youtu.be/CdL3e2WXR3o?t=7671","channel 1")</f>
        <v>channel 1</v>
      </c>
    </row>
    <row r="42">
      <c r="A42" s="90"/>
      <c r="B42" s="62" t="s">
        <v>2183</v>
      </c>
      <c r="C42" s="45" t="s">
        <v>751</v>
      </c>
      <c r="D42" s="61" t="s">
        <v>2017</v>
      </c>
      <c r="E42" s="11" t="str">
        <f>HYPERLINK("https://youtu.be/FrdcGWJlLO4?t=7689","channel 2")</f>
        <v>channel 2</v>
      </c>
    </row>
    <row r="43">
      <c r="A43" s="90"/>
      <c r="B43" s="62" t="s">
        <v>2840</v>
      </c>
      <c r="C43" s="45" t="s">
        <v>165</v>
      </c>
      <c r="D43" s="62" t="s">
        <v>3163</v>
      </c>
      <c r="E43" s="11" t="str">
        <f>HYPERLINK("https://youtu.be/CdL3e2WXR3o?t=8585","channel 1")</f>
        <v>channel 1</v>
      </c>
    </row>
    <row r="44">
      <c r="A44" s="91"/>
      <c r="B44" s="62" t="s">
        <v>347</v>
      </c>
      <c r="C44" s="45" t="s">
        <v>209</v>
      </c>
      <c r="D44" s="61" t="s">
        <v>2017</v>
      </c>
      <c r="E44" s="11" t="str">
        <f>HYPERLINK("https://youtu.be/FrdcGWJlLO4?t=8624","channel 2")</f>
        <v>channel 2</v>
      </c>
    </row>
    <row r="45">
      <c r="B45" s="96" t="s">
        <v>3040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3164</v>
      </c>
      <c r="C47" s="45" t="s">
        <v>23</v>
      </c>
      <c r="D47" s="62" t="s">
        <v>3165</v>
      </c>
      <c r="E47" s="11" t="str">
        <f>HYPERLINK("https://youtu.be/LoqGIUnatQ4","channel 1")</f>
        <v>channel 1</v>
      </c>
    </row>
    <row r="48">
      <c r="B48" s="62" t="s">
        <v>3166</v>
      </c>
      <c r="C48" s="45" t="s">
        <v>239</v>
      </c>
      <c r="D48" s="61" t="s">
        <v>3167</v>
      </c>
      <c r="E48" s="11" t="str">
        <f>HYPERLINK("https://youtu.be/pzFMZQkFUfw","channel 2")</f>
        <v>channel 2</v>
      </c>
    </row>
    <row r="49">
      <c r="B49" s="62" t="s">
        <v>3168</v>
      </c>
      <c r="C49" s="45" t="s">
        <v>20</v>
      </c>
      <c r="D49" s="62" t="s">
        <v>3164</v>
      </c>
      <c r="E49" s="11" t="str">
        <f>HYPERLINK("https://youtu.be/LoqGIUnatQ4?t=933","channel 1")</f>
        <v>channel 1</v>
      </c>
    </row>
    <row r="50">
      <c r="B50" s="62" t="s">
        <v>3166</v>
      </c>
      <c r="C50" s="45" t="s">
        <v>158</v>
      </c>
      <c r="D50" s="62" t="s">
        <v>3165</v>
      </c>
      <c r="E50" s="11" t="str">
        <f>HYPERLINK("https://youtu.be/pzFMZQkFUfw?t=1033","channel 2")</f>
        <v>channel 2</v>
      </c>
    </row>
    <row r="51">
      <c r="B51" s="62" t="s">
        <v>3168</v>
      </c>
      <c r="C51" s="45" t="s">
        <v>314</v>
      </c>
      <c r="D51" s="61" t="s">
        <v>3167</v>
      </c>
      <c r="E51" s="11" t="str">
        <f>HYPERLINK("https://youtu.be/LoqGIUnatQ4?t=1954","channel 1")</f>
        <v>channel 1</v>
      </c>
    </row>
    <row r="52">
      <c r="B52" s="62" t="s">
        <v>3166</v>
      </c>
      <c r="C52" s="45" t="s">
        <v>574</v>
      </c>
      <c r="D52" s="62" t="s">
        <v>3164</v>
      </c>
      <c r="E52" s="11" t="str">
        <f>HYPERLINK("https://youtu.be/pzFMZQkFUfw?t=2071","channel 2")</f>
        <v>channel 2</v>
      </c>
    </row>
    <row r="53">
      <c r="B53" s="62" t="s">
        <v>3168</v>
      </c>
      <c r="C53" s="45" t="s">
        <v>17</v>
      </c>
      <c r="D53" s="62" t="s">
        <v>3165</v>
      </c>
      <c r="E53" s="11" t="str">
        <f>HYPERLINK("https://youtu.be/LoqGIUnatQ4?t=2850","channel 1")</f>
        <v>channel 1</v>
      </c>
    </row>
    <row r="54">
      <c r="B54" s="61" t="s">
        <v>3167</v>
      </c>
      <c r="C54" s="45" t="s">
        <v>248</v>
      </c>
      <c r="D54" s="62" t="s">
        <v>3164</v>
      </c>
      <c r="E54" s="11" t="str">
        <f>HYPERLINK("https://youtu.be/pzFMZQkFUfw?t=2923","channel 2")</f>
        <v>channel 2</v>
      </c>
    </row>
    <row r="55">
      <c r="B55" s="62" t="s">
        <v>3168</v>
      </c>
      <c r="C55" s="45" t="s">
        <v>17</v>
      </c>
      <c r="D55" s="62" t="s">
        <v>3166</v>
      </c>
      <c r="E55" s="11" t="str">
        <f>HYPERLINK("https://youtu.be/LoqGIUnatQ4?t=3761","channel 1")</f>
        <v>channel 1</v>
      </c>
    </row>
    <row r="56">
      <c r="B56" s="61" t="s">
        <v>3167</v>
      </c>
      <c r="C56" s="45" t="s">
        <v>163</v>
      </c>
      <c r="D56" s="62" t="s">
        <v>3165</v>
      </c>
      <c r="E56" s="11" t="str">
        <f>HYPERLINK("https://youtu.be/pzFMZQkFUfw?t=3846","channel 2")</f>
        <v>channel 2</v>
      </c>
    </row>
    <row r="57">
      <c r="B57" s="62" t="s">
        <v>3165</v>
      </c>
      <c r="C57" s="45" t="s">
        <v>158</v>
      </c>
      <c r="D57" s="62" t="s">
        <v>3164</v>
      </c>
      <c r="E57" s="11" t="str">
        <f>HYPERLINK("https://youtu.be/LoqGIUnatQ4?t=4647","channel 1")</f>
        <v>channel 1</v>
      </c>
    </row>
    <row r="58">
      <c r="B58" s="61" t="s">
        <v>3167</v>
      </c>
      <c r="C58" s="45" t="s">
        <v>158</v>
      </c>
      <c r="D58" s="62" t="s">
        <v>3166</v>
      </c>
      <c r="E58" s="11" t="str">
        <f>HYPERLINK("https://youtu.be/pzFMZQkFUfw?t=4716","channel 2")</f>
        <v>channel 2</v>
      </c>
    </row>
    <row r="59">
      <c r="B59" s="62" t="s">
        <v>3164</v>
      </c>
      <c r="C59" s="45" t="s">
        <v>251</v>
      </c>
      <c r="D59" s="62" t="s">
        <v>3168</v>
      </c>
      <c r="E59" s="11" t="str">
        <f>HYPERLINK("https://youtu.be/LoqGIUnatQ4?t=5534","channel 1")</f>
        <v>channel 1</v>
      </c>
    </row>
    <row r="60">
      <c r="B60" s="62" t="s">
        <v>3165</v>
      </c>
      <c r="C60" s="45" t="s">
        <v>7</v>
      </c>
      <c r="D60" s="62" t="s">
        <v>3166</v>
      </c>
      <c r="E60" s="11" t="str">
        <f>HYPERLINK("https://youtu.be/pzFMZQkFUfw?t=5625","channel 2")</f>
        <v>channel 2</v>
      </c>
    </row>
    <row r="61">
      <c r="B61" s="61" t="s">
        <v>3167</v>
      </c>
      <c r="C61" s="45" t="s">
        <v>248</v>
      </c>
      <c r="D61" s="62" t="s">
        <v>3168</v>
      </c>
      <c r="E61" s="11" t="str">
        <f>HYPERLINK("https://youtu.be/LoqGIUnatQ4?t=6511","channel 1")</f>
        <v>channel 1</v>
      </c>
    </row>
    <row r="62">
      <c r="B62" s="62" t="s">
        <v>3164</v>
      </c>
      <c r="C62" s="45" t="s">
        <v>908</v>
      </c>
      <c r="D62" s="62" t="s">
        <v>3166</v>
      </c>
      <c r="E62" s="11" t="str">
        <f>HYPERLINK("https://youtu.be/pzFMZQkFUfw?t=6622","channel 2")</f>
        <v>channel 2</v>
      </c>
    </row>
    <row r="63">
      <c r="B63" s="62" t="s">
        <v>3165</v>
      </c>
      <c r="C63" s="45" t="s">
        <v>210</v>
      </c>
      <c r="D63" s="62" t="s">
        <v>3168</v>
      </c>
      <c r="E63" s="11" t="str">
        <f>HYPERLINK("https://youtu.be/LoqGIUnatQ4?t=7323","channel 1")</f>
        <v>channel 1</v>
      </c>
    </row>
    <row r="64">
      <c r="B64" s="62" t="s">
        <v>3164</v>
      </c>
      <c r="C64" s="45" t="s">
        <v>17</v>
      </c>
      <c r="D64" s="61" t="s">
        <v>3167</v>
      </c>
      <c r="E64" s="11" t="str">
        <f>HYPERLINK("https://youtu.be/pzFMZQkFUfw?t=7505","channel 2")</f>
        <v>channel 2</v>
      </c>
    </row>
    <row r="65">
      <c r="B65" s="62" t="s">
        <v>3166</v>
      </c>
      <c r="C65" s="45" t="s">
        <v>967</v>
      </c>
      <c r="D65" s="62" t="s">
        <v>3168</v>
      </c>
      <c r="E65" s="11" t="str">
        <f>HYPERLINK("https://youtu.be/LoqGIUnatQ4?t=8201","channel 1")</f>
        <v>channel 1</v>
      </c>
    </row>
    <row r="66">
      <c r="B66" s="62" t="s">
        <v>3165</v>
      </c>
      <c r="C66" s="45" t="s">
        <v>181</v>
      </c>
      <c r="D66" s="61" t="s">
        <v>3167</v>
      </c>
      <c r="E66" s="11" t="str">
        <f>HYPERLINK("https://youtu.be/pzFMZQkFUfw?t=8349","channel 2")</f>
        <v>channel 2</v>
      </c>
    </row>
    <row r="67">
      <c r="B67" s="96" t="s">
        <v>2207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1914</v>
      </c>
      <c r="C69" s="45" t="s">
        <v>549</v>
      </c>
      <c r="D69" s="62" t="s">
        <v>2986</v>
      </c>
      <c r="E69" s="11" t="str">
        <f>HYPERLINK("https://youtu.be/_CqtkmqNnZQ","channel 1")</f>
        <v>channel 1</v>
      </c>
    </row>
    <row r="70">
      <c r="B70" s="62" t="s">
        <v>3169</v>
      </c>
      <c r="C70" s="45" t="s">
        <v>195</v>
      </c>
      <c r="D70" s="61" t="s">
        <v>2690</v>
      </c>
      <c r="E70" s="11" t="str">
        <f>HYPERLINK("https://youtu.be/PiwcF1AKh5k","channel 2")</f>
        <v>channel 2</v>
      </c>
    </row>
    <row r="71">
      <c r="B71" s="62" t="s">
        <v>2985</v>
      </c>
      <c r="C71" s="45" t="s">
        <v>157</v>
      </c>
      <c r="D71" s="62" t="s">
        <v>1914</v>
      </c>
      <c r="E71" s="11" t="str">
        <f>HYPERLINK("https://youtu.be/_CqtkmqNnZQ?t=889","channel 1")</f>
        <v>channel 1</v>
      </c>
    </row>
    <row r="72">
      <c r="B72" s="62" t="s">
        <v>3169</v>
      </c>
      <c r="C72" s="45" t="s">
        <v>19</v>
      </c>
      <c r="D72" s="62" t="s">
        <v>2986</v>
      </c>
      <c r="E72" s="11" t="str">
        <f>HYPERLINK("https://youtu.be/PiwcF1AKh5k?t=987","channel 2")</f>
        <v>channel 2</v>
      </c>
    </row>
    <row r="73">
      <c r="B73" s="62" t="s">
        <v>2985</v>
      </c>
      <c r="C73" s="45" t="s">
        <v>14</v>
      </c>
      <c r="D73" s="61" t="s">
        <v>2690</v>
      </c>
      <c r="E73" s="11" t="str">
        <f>HYPERLINK("https://youtu.be/_CqtkmqNnZQ?t=1882","channel 1")</f>
        <v>channel 1</v>
      </c>
    </row>
    <row r="74">
      <c r="B74" s="62" t="s">
        <v>3169</v>
      </c>
      <c r="C74" s="45" t="s">
        <v>157</v>
      </c>
      <c r="D74" s="62" t="s">
        <v>1914</v>
      </c>
      <c r="E74" s="11" t="str">
        <f>HYPERLINK("https://youtu.be/PiwcF1AKh5k?t=1956","channel 2")</f>
        <v>channel 2</v>
      </c>
    </row>
    <row r="75">
      <c r="B75" s="62" t="s">
        <v>2985</v>
      </c>
      <c r="C75" s="45" t="s">
        <v>218</v>
      </c>
      <c r="D75" s="62" t="s">
        <v>2986</v>
      </c>
      <c r="E75" s="11" t="str">
        <f>HYPERLINK("https://youtu.be/_CqtkmqNnZQ?t=2820","channel 1")</f>
        <v>channel 1</v>
      </c>
    </row>
    <row r="76">
      <c r="B76" s="61" t="s">
        <v>2690</v>
      </c>
      <c r="C76" s="45" t="s">
        <v>173</v>
      </c>
      <c r="D76" s="62" t="s">
        <v>1914</v>
      </c>
      <c r="E76" s="11" t="str">
        <f>HYPERLINK("https://youtu.be/PiwcF1AKh5k?t=2869","channel 2")</f>
        <v>channel 2</v>
      </c>
    </row>
    <row r="77">
      <c r="B77" s="62" t="s">
        <v>2985</v>
      </c>
      <c r="C77" s="45" t="s">
        <v>209</v>
      </c>
      <c r="D77" s="62" t="s">
        <v>3169</v>
      </c>
      <c r="E77" s="11" t="str">
        <f>HYPERLINK("https://youtu.be/_CqtkmqNnZQ?t=3733","channel 1")</f>
        <v>channel 1</v>
      </c>
    </row>
    <row r="78">
      <c r="B78" s="61" t="s">
        <v>2690</v>
      </c>
      <c r="C78" s="45" t="s">
        <v>155</v>
      </c>
      <c r="D78" s="62" t="s">
        <v>2986</v>
      </c>
      <c r="E78" s="11" t="str">
        <f>HYPERLINK("https://youtu.be/PiwcF1AKh5k?t=3779","channel 2")</f>
        <v>channel 2</v>
      </c>
    </row>
    <row r="79">
      <c r="B79" s="62" t="s">
        <v>2986</v>
      </c>
      <c r="C79" s="45" t="s">
        <v>20</v>
      </c>
      <c r="D79" s="62" t="s">
        <v>1914</v>
      </c>
      <c r="E79" s="11" t="str">
        <f>HYPERLINK("https://youtu.be/_CqtkmqNnZQ?t=4653","channel 1")</f>
        <v>channel 1</v>
      </c>
    </row>
    <row r="80">
      <c r="B80" s="61" t="s">
        <v>2690</v>
      </c>
      <c r="C80" s="45" t="s">
        <v>302</v>
      </c>
      <c r="D80" s="62" t="s">
        <v>3169</v>
      </c>
      <c r="E80" s="11" t="str">
        <f>HYPERLINK("https://youtu.be/PiwcF1AKh5k?t=4705","channel 2")</f>
        <v>channel 2</v>
      </c>
    </row>
    <row r="81">
      <c r="B81" s="62" t="s">
        <v>1914</v>
      </c>
      <c r="C81" s="45" t="s">
        <v>932</v>
      </c>
      <c r="D81" s="62" t="s">
        <v>2985</v>
      </c>
      <c r="E81" s="11" t="str">
        <f>HYPERLINK("https://youtu.be/_CqtkmqNnZQ?t=5517","channel 1")</f>
        <v>channel 1</v>
      </c>
    </row>
    <row r="82">
      <c r="B82" s="62" t="s">
        <v>2986</v>
      </c>
      <c r="C82" s="45" t="s">
        <v>219</v>
      </c>
      <c r="D82" s="62" t="s">
        <v>3169</v>
      </c>
      <c r="E82" s="11" t="str">
        <f>HYPERLINK("https://youtu.be/PiwcF1AKh5k?t=5598","channel 2")</f>
        <v>channel 2</v>
      </c>
    </row>
    <row r="83">
      <c r="B83" s="61" t="s">
        <v>2690</v>
      </c>
      <c r="C83" s="45" t="s">
        <v>20</v>
      </c>
      <c r="D83" s="62" t="s">
        <v>2985</v>
      </c>
      <c r="E83" s="11" t="str">
        <f>HYPERLINK("https://youtu.be/_CqtkmqNnZQ?t=6479","channel 1")</f>
        <v>channel 1</v>
      </c>
    </row>
    <row r="84">
      <c r="B84" s="62" t="s">
        <v>1914</v>
      </c>
      <c r="C84" s="45" t="s">
        <v>674</v>
      </c>
      <c r="D84" s="62" t="s">
        <v>3169</v>
      </c>
      <c r="E84" s="11" t="str">
        <f>HYPERLINK("https://youtu.be/PiwcF1AKh5k?t=6585","channel 2")</f>
        <v>channel 2</v>
      </c>
    </row>
    <row r="85">
      <c r="B85" s="62" t="s">
        <v>2986</v>
      </c>
      <c r="C85" s="45" t="s">
        <v>258</v>
      </c>
      <c r="D85" s="62" t="s">
        <v>2985</v>
      </c>
      <c r="E85" s="11" t="str">
        <f>HYPERLINK("https://youtu.be/_CqtkmqNnZQ?t=7396","channel 1")</f>
        <v>channel 1</v>
      </c>
    </row>
    <row r="86">
      <c r="B86" s="62" t="s">
        <v>1914</v>
      </c>
      <c r="C86" s="45" t="s">
        <v>487</v>
      </c>
      <c r="D86" s="61" t="s">
        <v>2690</v>
      </c>
      <c r="E86" s="11" t="str">
        <f>HYPERLINK("https://youtu.be/PiwcF1AKh5k?t=7569","channel 2")</f>
        <v>channel 2</v>
      </c>
    </row>
    <row r="87">
      <c r="B87" s="62" t="s">
        <v>3169</v>
      </c>
      <c r="C87" s="45" t="s">
        <v>1162</v>
      </c>
      <c r="D87" s="62" t="s">
        <v>2985</v>
      </c>
      <c r="E87" s="11" t="str">
        <f>HYPERLINK("https://youtu.be/_CqtkmqNnZQ?t=8344","channel 1")</f>
        <v>channel 1</v>
      </c>
    </row>
    <row r="88">
      <c r="B88" s="62" t="s">
        <v>2986</v>
      </c>
      <c r="C88" s="45" t="s">
        <v>43</v>
      </c>
      <c r="D88" s="61" t="s">
        <v>2690</v>
      </c>
      <c r="E88" s="11" t="str">
        <f>HYPERLINK("https://youtu.be/PiwcF1AKh5k?t=8422","channel 2")</f>
        <v>channel 2</v>
      </c>
    </row>
    <row r="89">
      <c r="B89" s="96" t="s">
        <v>3170</v>
      </c>
      <c r="C89" s="2"/>
      <c r="D89" s="3"/>
      <c r="E89" s="107"/>
    </row>
    <row r="90">
      <c r="B90" s="108" t="s">
        <v>2</v>
      </c>
      <c r="C90" s="109" t="s">
        <v>3</v>
      </c>
      <c r="D90" s="109" t="s">
        <v>4</v>
      </c>
      <c r="E90" s="109" t="s">
        <v>5</v>
      </c>
    </row>
    <row r="91">
      <c r="B91" s="110" t="s">
        <v>3171</v>
      </c>
      <c r="C91" s="111" t="s">
        <v>20</v>
      </c>
      <c r="D91" s="112" t="s">
        <v>3172</v>
      </c>
      <c r="E91" s="120" t="str">
        <f>HYPERLINK("https://youtu.be/2M9ugG2xu9g","channel 3")</f>
        <v>channel 3</v>
      </c>
    </row>
    <row r="92">
      <c r="B92" s="110" t="s">
        <v>2215</v>
      </c>
      <c r="C92" s="111" t="s">
        <v>17</v>
      </c>
      <c r="D92" s="112" t="s">
        <v>3173</v>
      </c>
      <c r="E92" s="120" t="str">
        <f>HYPERLINK("https://youtu.be/3EvwxFygU58","channel 4")</f>
        <v>channel 4</v>
      </c>
    </row>
    <row r="93">
      <c r="B93" s="123" t="s">
        <v>3174</v>
      </c>
      <c r="C93" s="111" t="s">
        <v>162</v>
      </c>
      <c r="D93" s="112" t="s">
        <v>3171</v>
      </c>
      <c r="E93" s="120" t="str">
        <f>HYPERLINK("https://youtu.be/2M9ugG2xu9g?t=1055","channel 3")</f>
        <v>channel 3</v>
      </c>
    </row>
    <row r="94">
      <c r="B94" s="110" t="s">
        <v>2215</v>
      </c>
      <c r="C94" s="111" t="s">
        <v>24</v>
      </c>
      <c r="D94" s="112" t="s">
        <v>3172</v>
      </c>
      <c r="E94" s="120" t="str">
        <f>HYPERLINK("https://youtu.be/3EvwxFygU58?t=957","channel 4")</f>
        <v>channel 4</v>
      </c>
    </row>
    <row r="95">
      <c r="B95" s="123" t="s">
        <v>3174</v>
      </c>
      <c r="C95" s="111" t="s">
        <v>324</v>
      </c>
      <c r="D95" s="112" t="s">
        <v>3173</v>
      </c>
      <c r="E95" s="120" t="str">
        <f>HYPERLINK("https://youtu.be/2M9ugG2xu9g?t=1929","channel 3")</f>
        <v>channel 3</v>
      </c>
    </row>
    <row r="96">
      <c r="B96" s="110" t="s">
        <v>2215</v>
      </c>
      <c r="C96" s="111" t="s">
        <v>184</v>
      </c>
      <c r="D96" s="112" t="s">
        <v>3171</v>
      </c>
      <c r="E96" s="120" t="str">
        <f>HYPERLINK("https://youtu.be/3EvwxFygU58?t=1848","channel 4")</f>
        <v>channel 4</v>
      </c>
    </row>
    <row r="97">
      <c r="B97" s="123" t="s">
        <v>3174</v>
      </c>
      <c r="C97" s="111" t="s">
        <v>163</v>
      </c>
      <c r="D97" s="112" t="s">
        <v>3172</v>
      </c>
      <c r="E97" s="120" t="str">
        <f>HYPERLINK("https://youtu.be/2M9ugG2xu9g?t=2851","channel 3")</f>
        <v>channel 3</v>
      </c>
    </row>
    <row r="98">
      <c r="B98" s="110" t="s">
        <v>3173</v>
      </c>
      <c r="C98" s="111" t="s">
        <v>357</v>
      </c>
      <c r="D98" s="112" t="s">
        <v>3171</v>
      </c>
      <c r="E98" s="120" t="str">
        <f>HYPERLINK("https://youtu.be/3EvwxFygU58?t=2747","channel 4")</f>
        <v>channel 4</v>
      </c>
    </row>
    <row r="99">
      <c r="B99" s="123" t="s">
        <v>3174</v>
      </c>
      <c r="C99" s="111" t="s">
        <v>195</v>
      </c>
      <c r="D99" s="112" t="s">
        <v>2215</v>
      </c>
      <c r="E99" s="120" t="str">
        <f>HYPERLINK("https://youtu.be/2M9ugG2xu9g?t=3669","channel 3")</f>
        <v>channel 3</v>
      </c>
    </row>
    <row r="100">
      <c r="B100" s="110" t="s">
        <v>3173</v>
      </c>
      <c r="C100" s="111" t="s">
        <v>442</v>
      </c>
      <c r="D100" s="112" t="s">
        <v>3172</v>
      </c>
      <c r="E100" s="120" t="str">
        <f>HYPERLINK("https://youtu.be/3EvwxFygU58?t=3638","channel 4")</f>
        <v>channel 4</v>
      </c>
    </row>
    <row r="101">
      <c r="B101" s="110" t="s">
        <v>3172</v>
      </c>
      <c r="C101" s="111" t="s">
        <v>442</v>
      </c>
      <c r="D101" s="112" t="s">
        <v>3171</v>
      </c>
      <c r="E101" s="120" t="str">
        <f>HYPERLINK("https://youtu.be/2M9ugG2xu9g?t=4528","channel 3")</f>
        <v>channel 3</v>
      </c>
    </row>
    <row r="102">
      <c r="B102" s="110" t="s">
        <v>3173</v>
      </c>
      <c r="C102" s="111" t="s">
        <v>549</v>
      </c>
      <c r="D102" s="112" t="s">
        <v>2215</v>
      </c>
      <c r="E102" s="120" t="str">
        <f>HYPERLINK("https://youtu.be/3EvwxFygU58?t=4506","channel 4")</f>
        <v>channel 4</v>
      </c>
    </row>
    <row r="103">
      <c r="B103" s="110" t="s">
        <v>3171</v>
      </c>
      <c r="C103" s="111" t="s">
        <v>357</v>
      </c>
      <c r="D103" s="123" t="s">
        <v>3174</v>
      </c>
      <c r="E103" s="120" t="str">
        <f>HYPERLINK("https://youtu.be/2M9ugG2xu9g?t=5352","channel 3")</f>
        <v>channel 3</v>
      </c>
    </row>
    <row r="104">
      <c r="B104" s="110" t="s">
        <v>3172</v>
      </c>
      <c r="C104" s="111" t="s">
        <v>220</v>
      </c>
      <c r="D104" s="112" t="s">
        <v>2215</v>
      </c>
      <c r="E104" s="120" t="str">
        <f>HYPERLINK("https://youtu.be/3EvwxFygU58?t=5341","channel 4")</f>
        <v>channel 4</v>
      </c>
    </row>
    <row r="105">
      <c r="B105" s="110" t="s">
        <v>3173</v>
      </c>
      <c r="C105" s="111" t="s">
        <v>278</v>
      </c>
      <c r="D105" s="123" t="s">
        <v>3174</v>
      </c>
      <c r="E105" s="120" t="str">
        <f>HYPERLINK("https://youtu.be/2M9ugG2xu9g?t=6978","channel 3")</f>
        <v>channel 3</v>
      </c>
    </row>
    <row r="106">
      <c r="B106" s="110" t="s">
        <v>3171</v>
      </c>
      <c r="C106" s="111" t="s">
        <v>743</v>
      </c>
      <c r="D106" s="112" t="s">
        <v>2215</v>
      </c>
      <c r="E106" s="120" t="str">
        <f>HYPERLINK("https://youtu.be/3EvwxFygU58?t=6885","channel 4")</f>
        <v>channel 4</v>
      </c>
    </row>
    <row r="107">
      <c r="B107" s="110" t="s">
        <v>3172</v>
      </c>
      <c r="C107" s="111" t="s">
        <v>441</v>
      </c>
      <c r="D107" s="123" t="s">
        <v>3174</v>
      </c>
      <c r="E107" s="120" t="str">
        <f>HYPERLINK("https://youtu.be/2M9ugG2xu9g?t=7914","channel 3")</f>
        <v>channel 3</v>
      </c>
      <c r="H107" s="50" t="s">
        <v>514</v>
      </c>
    </row>
    <row r="108">
      <c r="B108" s="110" t="s">
        <v>3171</v>
      </c>
      <c r="C108" s="111" t="s">
        <v>195</v>
      </c>
      <c r="D108" s="112" t="s">
        <v>3173</v>
      </c>
      <c r="E108" s="120" t="str">
        <f>HYPERLINK("https://youtu.be/3EvwxFygU58?t=7870","channel 4")</f>
        <v>channel 4</v>
      </c>
    </row>
    <row r="109">
      <c r="B109" s="110" t="s">
        <v>2215</v>
      </c>
      <c r="C109" s="111" t="s">
        <v>155</v>
      </c>
      <c r="D109" s="123" t="s">
        <v>3174</v>
      </c>
      <c r="E109" s="120" t="str">
        <f>HYPERLINK("https://youtu.be/2M9ugG2xu9g?t=8820","channel 3")</f>
        <v>channel 3</v>
      </c>
    </row>
    <row r="110">
      <c r="B110" s="110" t="s">
        <v>3172</v>
      </c>
      <c r="C110" s="111" t="s">
        <v>44</v>
      </c>
      <c r="D110" s="112" t="s">
        <v>3173</v>
      </c>
      <c r="E110" s="120" t="str">
        <f>HYPERLINK("https://youtu.be/3EvwxFygU58?t=8769","channel 4")</f>
        <v>channel 4</v>
      </c>
    </row>
    <row r="111">
      <c r="B111" s="96" t="s">
        <v>2982</v>
      </c>
      <c r="C111" s="2"/>
      <c r="D111" s="3"/>
      <c r="E111" s="107"/>
    </row>
    <row r="112">
      <c r="B112" s="108" t="s">
        <v>2</v>
      </c>
      <c r="C112" s="109" t="s">
        <v>3</v>
      </c>
      <c r="D112" s="109" t="s">
        <v>4</v>
      </c>
      <c r="E112" s="109" t="s">
        <v>5</v>
      </c>
    </row>
    <row r="113">
      <c r="B113" s="110" t="s">
        <v>3175</v>
      </c>
      <c r="C113" s="111" t="s">
        <v>43</v>
      </c>
      <c r="D113" s="112" t="s">
        <v>3147</v>
      </c>
      <c r="E113" s="120" t="str">
        <f>HYPERLINK("https://youtu.be/vxbUESI3If8","channel 3")</f>
        <v>channel 3</v>
      </c>
    </row>
    <row r="114">
      <c r="B114" s="110" t="s">
        <v>3176</v>
      </c>
      <c r="C114" s="111" t="s">
        <v>18</v>
      </c>
      <c r="D114" s="112" t="s">
        <v>2220</v>
      </c>
      <c r="E114" s="120" t="str">
        <f>HYPERLINK("https://youtu.be/fYk8I4MsMh0","channel 4")</f>
        <v>channel 4</v>
      </c>
    </row>
    <row r="115">
      <c r="B115" s="123" t="s">
        <v>3177</v>
      </c>
      <c r="C115" s="111" t="s">
        <v>342</v>
      </c>
      <c r="D115" s="112" t="s">
        <v>3175</v>
      </c>
      <c r="E115" s="120" t="str">
        <f>HYPERLINK("https://youtu.be/vxbUESI3If8?t=953","channel 3")</f>
        <v>channel 3</v>
      </c>
    </row>
    <row r="116">
      <c r="B116" s="110" t="s">
        <v>3176</v>
      </c>
      <c r="C116" s="111" t="s">
        <v>184</v>
      </c>
      <c r="D116" s="112" t="s">
        <v>3147</v>
      </c>
      <c r="E116" s="120" t="str">
        <f>HYPERLINK("https://youtu.be/fYk8I4MsMh0?t=972","channel 4")</f>
        <v>channel 4</v>
      </c>
    </row>
    <row r="117">
      <c r="B117" s="123" t="s">
        <v>3177</v>
      </c>
      <c r="C117" s="111" t="s">
        <v>18</v>
      </c>
      <c r="D117" s="112" t="s">
        <v>2220</v>
      </c>
      <c r="E117" s="120" t="str">
        <f>HYPERLINK("https://youtu.be/vxbUESI3If8?t=1877","channel 3")</f>
        <v>channel 3</v>
      </c>
    </row>
    <row r="118">
      <c r="B118" s="110" t="s">
        <v>3176</v>
      </c>
      <c r="C118" s="111" t="s">
        <v>162</v>
      </c>
      <c r="D118" s="112" t="s">
        <v>3175</v>
      </c>
      <c r="E118" s="120" t="str">
        <f>HYPERLINK("https://youtu.be/fYk8I4MsMh0?t=1908","channel 4")</f>
        <v>channel 4</v>
      </c>
    </row>
    <row r="119">
      <c r="B119" s="123" t="s">
        <v>3177</v>
      </c>
      <c r="C119" s="111" t="s">
        <v>426</v>
      </c>
      <c r="D119" s="112" t="s">
        <v>3147</v>
      </c>
      <c r="E119" s="120" t="str">
        <f>HYPERLINK("https://youtu.be/vxbUESI3If8?t=2769","channel 3")</f>
        <v>channel 3</v>
      </c>
    </row>
    <row r="120">
      <c r="B120" s="110" t="s">
        <v>2220</v>
      </c>
      <c r="C120" s="111" t="s">
        <v>311</v>
      </c>
      <c r="D120" s="112" t="s">
        <v>3175</v>
      </c>
      <c r="E120" s="120" t="str">
        <f>HYPERLINK("https://youtu.be/fYk8I4MsMh0?t=2871","channel 4")</f>
        <v>channel 4</v>
      </c>
    </row>
    <row r="121">
      <c r="B121" s="123" t="s">
        <v>3177</v>
      </c>
      <c r="C121" s="111" t="s">
        <v>465</v>
      </c>
      <c r="D121" s="112" t="s">
        <v>3176</v>
      </c>
      <c r="E121" s="120" t="str">
        <f>HYPERLINK("https://youtu.be/vxbUESI3If8?t=3706","channel 3")</f>
        <v>channel 3</v>
      </c>
      <c r="I121" s="50" t="s">
        <v>514</v>
      </c>
    </row>
    <row r="122">
      <c r="B122" s="110" t="s">
        <v>2220</v>
      </c>
      <c r="C122" s="111" t="s">
        <v>198</v>
      </c>
      <c r="D122" s="112" t="s">
        <v>3147</v>
      </c>
      <c r="E122" s="120" t="str">
        <f>HYPERLINK("https://youtu.be/fYk8I4MsMh0?t=3792","channel 4")</f>
        <v>channel 4</v>
      </c>
    </row>
    <row r="123">
      <c r="B123" s="110" t="s">
        <v>3147</v>
      </c>
      <c r="C123" s="111" t="s">
        <v>264</v>
      </c>
      <c r="D123" s="112" t="s">
        <v>3175</v>
      </c>
      <c r="E123" s="120" t="str">
        <f>HYPERLINK("https://youtu.be/vxbUESI3If8?t=4846","channel 3")</f>
        <v>channel 3</v>
      </c>
      <c r="J123" s="50" t="s">
        <v>514</v>
      </c>
    </row>
    <row r="124">
      <c r="B124" s="110" t="s">
        <v>2220</v>
      </c>
      <c r="C124" s="111" t="s">
        <v>239</v>
      </c>
      <c r="D124" s="112" t="s">
        <v>3176</v>
      </c>
      <c r="E124" s="120" t="str">
        <f>HYPERLINK("https://youtu.be/fYk8I4MsMh0?t=4716","channel 4")</f>
        <v>channel 4</v>
      </c>
      <c r="H124" s="50" t="s">
        <v>514</v>
      </c>
    </row>
    <row r="125">
      <c r="B125" s="110" t="s">
        <v>3175</v>
      </c>
      <c r="C125" s="111" t="s">
        <v>183</v>
      </c>
      <c r="D125" s="124" t="s">
        <v>3177</v>
      </c>
      <c r="E125" s="120" t="str">
        <f>HYPERLINK("https://youtu.be/vxbUESI3If8?t=5698","channel 3")</f>
        <v>channel 3</v>
      </c>
    </row>
    <row r="126">
      <c r="B126" s="110" t="s">
        <v>3147</v>
      </c>
      <c r="C126" s="111" t="s">
        <v>193</v>
      </c>
      <c r="D126" s="112" t="s">
        <v>3176</v>
      </c>
      <c r="E126" s="120" t="str">
        <f>HYPERLINK("https://youtu.be/fYk8I4MsMh0?t=5694","channel 4")</f>
        <v>channel 4</v>
      </c>
    </row>
    <row r="127">
      <c r="B127" s="110" t="s">
        <v>2220</v>
      </c>
      <c r="C127" s="111" t="s">
        <v>171</v>
      </c>
      <c r="D127" s="124" t="s">
        <v>3177</v>
      </c>
      <c r="E127" s="120" t="str">
        <f>HYPERLINK("https://youtu.be/vxbUESI3If8?t=6605","channel 3")</f>
        <v>channel 3</v>
      </c>
    </row>
    <row r="128">
      <c r="B128" s="110" t="s">
        <v>3175</v>
      </c>
      <c r="C128" s="111" t="s">
        <v>209</v>
      </c>
      <c r="D128" s="112" t="s">
        <v>3176</v>
      </c>
      <c r="E128" s="120" t="str">
        <f>HYPERLINK("https://youtu.be/fYk8I4MsMh0?t=6620","channel 4")</f>
        <v>channel 4</v>
      </c>
    </row>
    <row r="129">
      <c r="B129" s="110" t="s">
        <v>3147</v>
      </c>
      <c r="C129" s="111" t="s">
        <v>219</v>
      </c>
      <c r="D129" s="124" t="s">
        <v>3177</v>
      </c>
      <c r="E129" s="120" t="str">
        <f>HYPERLINK("https://youtu.be/vxbUESI3If8?t=7576","channel 3")</f>
        <v>channel 3</v>
      </c>
    </row>
    <row r="130">
      <c r="B130" s="110" t="s">
        <v>3175</v>
      </c>
      <c r="C130" s="111" t="s">
        <v>233</v>
      </c>
      <c r="D130" s="112" t="s">
        <v>2220</v>
      </c>
      <c r="E130" s="120" t="str">
        <f>HYPERLINK("https://youtu.be/fYk8I4MsMh0?t=7644","channel 4")</f>
        <v>channel 4</v>
      </c>
    </row>
    <row r="131">
      <c r="B131" s="110" t="s">
        <v>3176</v>
      </c>
      <c r="C131" s="111" t="s">
        <v>14</v>
      </c>
      <c r="D131" s="124" t="s">
        <v>3177</v>
      </c>
      <c r="E131" s="120" t="str">
        <f>HYPERLINK("https://youtu.be/vxbUESI3If8?t=8592","channel 3")</f>
        <v>channel 3</v>
      </c>
    </row>
    <row r="132">
      <c r="B132" s="110" t="s">
        <v>3147</v>
      </c>
      <c r="C132" s="111" t="s">
        <v>16</v>
      </c>
      <c r="D132" s="112" t="s">
        <v>2220</v>
      </c>
      <c r="E132" s="120" t="str">
        <f>HYPERLINK("https://youtu.be/fYk8I4MsMh0?t=8665","channel 4")</f>
        <v>channel 4</v>
      </c>
    </row>
    <row r="133">
      <c r="B133" s="96" t="s">
        <v>3008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2321</v>
      </c>
      <c r="C135" s="45" t="s">
        <v>281</v>
      </c>
      <c r="D135" s="62" t="s">
        <v>3178</v>
      </c>
      <c r="E135" s="11" t="str">
        <f>HYPERLINK("https://youtu.be/sJYjFEIHVVc","channel 1")</f>
        <v>channel 1</v>
      </c>
    </row>
    <row r="136">
      <c r="B136" s="62" t="s">
        <v>3179</v>
      </c>
      <c r="C136" s="45" t="s">
        <v>250</v>
      </c>
      <c r="D136" s="61" t="s">
        <v>1237</v>
      </c>
      <c r="E136" s="11" t="str">
        <f>HYPERLINK("https://youtu.be/ALEhcsUFXqo","channel 2")</f>
        <v>channel 2</v>
      </c>
    </row>
    <row r="137">
      <c r="B137" s="62" t="s">
        <v>3180</v>
      </c>
      <c r="C137" s="45" t="s">
        <v>442</v>
      </c>
      <c r="D137" s="62" t="s">
        <v>2321</v>
      </c>
      <c r="E137" s="11" t="str">
        <f>HYPERLINK("https://youtu.be/sJYjFEIHVVc?t=889","channel 1")</f>
        <v>channel 1</v>
      </c>
    </row>
    <row r="138">
      <c r="B138" s="62" t="s">
        <v>3179</v>
      </c>
      <c r="C138" s="45" t="s">
        <v>43</v>
      </c>
      <c r="D138" s="62" t="s">
        <v>3178</v>
      </c>
      <c r="E138" s="11" t="str">
        <f>HYPERLINK("https://youtu.be/ALEhcsUFXqo?t=806","channel 2")</f>
        <v>channel 2</v>
      </c>
    </row>
    <row r="139">
      <c r="B139" s="62" t="s">
        <v>3180</v>
      </c>
      <c r="C139" s="45" t="s">
        <v>351</v>
      </c>
      <c r="D139" s="61" t="s">
        <v>1237</v>
      </c>
      <c r="E139" s="11" t="str">
        <f>HYPERLINK("https://youtu.be/sJYjFEIHVVc?t=1844","channel 1")</f>
        <v>channel 1</v>
      </c>
    </row>
    <row r="140">
      <c r="B140" s="62" t="s">
        <v>3179</v>
      </c>
      <c r="C140" s="45" t="s">
        <v>257</v>
      </c>
      <c r="D140" s="62" t="s">
        <v>2321</v>
      </c>
      <c r="E140" s="11" t="str">
        <f>HYPERLINK("https://youtu.be/ALEhcsUFXqo?t=1740","channel 2")</f>
        <v>channel 2</v>
      </c>
    </row>
    <row r="141">
      <c r="B141" s="62" t="s">
        <v>3180</v>
      </c>
      <c r="C141" s="45" t="s">
        <v>16</v>
      </c>
      <c r="D141" s="62" t="s">
        <v>3178</v>
      </c>
      <c r="E141" s="11" t="str">
        <f>HYPERLINK("https://youtu.be/sJYjFEIHVVc?t=2703","channel 1")</f>
        <v>channel 1</v>
      </c>
    </row>
    <row r="142">
      <c r="B142" s="61" t="s">
        <v>1237</v>
      </c>
      <c r="C142" s="45" t="s">
        <v>344</v>
      </c>
      <c r="D142" s="62" t="s">
        <v>2321</v>
      </c>
      <c r="E142" s="11" t="str">
        <f>HYPERLINK("https://youtu.be/ALEhcsUFXqo?t=2554","channel 2")</f>
        <v>channel 2</v>
      </c>
    </row>
    <row r="143">
      <c r="B143" s="62" t="s">
        <v>3180</v>
      </c>
      <c r="C143" s="45" t="s">
        <v>507</v>
      </c>
      <c r="D143" s="62" t="s">
        <v>3179</v>
      </c>
      <c r="E143" s="11" t="str">
        <f>HYPERLINK("https://youtu.be/sJYjFEIHVVc","channel 1")</f>
        <v>channel 1</v>
      </c>
    </row>
    <row r="144">
      <c r="B144" s="61" t="s">
        <v>1237</v>
      </c>
      <c r="C144" s="45" t="s">
        <v>38</v>
      </c>
      <c r="D144" s="62" t="s">
        <v>3178</v>
      </c>
      <c r="E144" s="11" t="str">
        <f>HYPERLINK("https://youtu.be/ALEhcsUFXqo?t=3476","channel 2")</f>
        <v>channel 2</v>
      </c>
    </row>
    <row r="145">
      <c r="B145" s="62" t="s">
        <v>3178</v>
      </c>
      <c r="C145" s="45" t="s">
        <v>173</v>
      </c>
      <c r="D145" s="62" t="s">
        <v>2321</v>
      </c>
      <c r="E145" s="11" t="str">
        <f>HYPERLINK("https://youtu.be/sJYjFEIHVVc?t=4514","channel 1")</f>
        <v>channel 1</v>
      </c>
    </row>
    <row r="146">
      <c r="B146" s="61" t="s">
        <v>1237</v>
      </c>
      <c r="C146" s="45" t="s">
        <v>194</v>
      </c>
      <c r="D146" s="62" t="s">
        <v>3179</v>
      </c>
      <c r="E146" s="11" t="str">
        <f>HYPERLINK("https://youtu.be/ALEhcsUFXqo?t=4260","channel 2")</f>
        <v>channel 2</v>
      </c>
    </row>
    <row r="147">
      <c r="B147" s="62" t="s">
        <v>2321</v>
      </c>
      <c r="C147" s="45" t="s">
        <v>425</v>
      </c>
      <c r="D147" s="62" t="s">
        <v>3180</v>
      </c>
      <c r="E147" s="11" t="str">
        <f>HYPERLINK("https://youtu.be/sJYjFEIHVVc?t=5382","channel 1")</f>
        <v>channel 1</v>
      </c>
    </row>
    <row r="148">
      <c r="B148" s="62" t="s">
        <v>3178</v>
      </c>
      <c r="C148" s="45" t="s">
        <v>43</v>
      </c>
      <c r="D148" s="62" t="s">
        <v>3179</v>
      </c>
      <c r="E148" s="11" t="str">
        <f>HYPERLINK("https://youtu.be/ALEhcsUFXqo?t=5159","channel 2")</f>
        <v>channel 2</v>
      </c>
    </row>
    <row r="149">
      <c r="B149" s="61" t="s">
        <v>1237</v>
      </c>
      <c r="C149" s="45" t="s">
        <v>162</v>
      </c>
      <c r="D149" s="62" t="s">
        <v>3180</v>
      </c>
      <c r="E149" s="11" t="str">
        <f>HYPERLINK("https://youtu.be/sJYjFEIHVVc?t=6300","channel 1")</f>
        <v>channel 1</v>
      </c>
    </row>
    <row r="150">
      <c r="B150" s="62" t="s">
        <v>2321</v>
      </c>
      <c r="C150" s="45" t="s">
        <v>208</v>
      </c>
      <c r="D150" s="62" t="s">
        <v>3179</v>
      </c>
      <c r="E150" s="11" t="str">
        <f>HYPERLINK("https://youtu.be/ALEhcsUFXqo?t=6089","channel 2")</f>
        <v>channel 2</v>
      </c>
    </row>
    <row r="151">
      <c r="B151" s="62" t="s">
        <v>3178</v>
      </c>
      <c r="C151" s="45" t="s">
        <v>193</v>
      </c>
      <c r="D151" s="62" t="s">
        <v>3180</v>
      </c>
      <c r="E151" s="11" t="str">
        <f>HYPERLINK("https://youtu.be/sJYjFEIHVVc?t=7211","channel 1")</f>
        <v>channel 1</v>
      </c>
    </row>
    <row r="152">
      <c r="B152" s="62" t="s">
        <v>2321</v>
      </c>
      <c r="C152" s="45" t="s">
        <v>43</v>
      </c>
      <c r="D152" s="61" t="s">
        <v>1237</v>
      </c>
      <c r="E152" s="11" t="str">
        <f>HYPERLINK("https://youtu.be/ALEhcsUFXqo?t=6999","channel 2")</f>
        <v>channel 2</v>
      </c>
    </row>
    <row r="153">
      <c r="B153" s="62" t="s">
        <v>3179</v>
      </c>
      <c r="C153" s="45" t="s">
        <v>162</v>
      </c>
      <c r="D153" s="62" t="s">
        <v>3180</v>
      </c>
      <c r="E153" s="11" t="str">
        <f>HYPERLINK("https://youtu.be/sJYjFEIHVVc?t=8166","channel 1")</f>
        <v>channel 1</v>
      </c>
    </row>
    <row r="154">
      <c r="B154" s="62" t="s">
        <v>3178</v>
      </c>
      <c r="C154" s="45" t="s">
        <v>442</v>
      </c>
      <c r="D154" s="61" t="s">
        <v>1237</v>
      </c>
      <c r="E154" s="11" t="str">
        <f>HYPERLINK("https://youtu.be/ALEhcsUFXqo?t=7871","channel 2")</f>
        <v>channel 2</v>
      </c>
    </row>
    <row r="155">
      <c r="B155" s="96" t="s">
        <v>3011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103</v>
      </c>
      <c r="C157" s="45" t="s">
        <v>185</v>
      </c>
      <c r="D157" s="62" t="s">
        <v>3100</v>
      </c>
      <c r="E157" s="11" t="str">
        <f>HYPERLINK("https://youtu.be/1cmBcILDLrE","channel 1")</f>
        <v>channel 1</v>
      </c>
    </row>
    <row r="158">
      <c r="B158" s="62" t="s">
        <v>3181</v>
      </c>
      <c r="C158" s="45" t="s">
        <v>696</v>
      </c>
      <c r="D158" s="61" t="s">
        <v>434</v>
      </c>
      <c r="E158" s="11" t="str">
        <f>HYPERLINK("https://youtu.be/spglRTmq4XA","channel 2")</f>
        <v>channel 2</v>
      </c>
    </row>
    <row r="159">
      <c r="B159" s="62" t="s">
        <v>3099</v>
      </c>
      <c r="C159" s="45" t="s">
        <v>225</v>
      </c>
      <c r="D159" s="62" t="s">
        <v>103</v>
      </c>
      <c r="E159" s="11" t="str">
        <f>HYPERLINK("https://youtu.be/1cmBcILDLrE?t=936","channel 1")</f>
        <v>channel 1</v>
      </c>
    </row>
    <row r="160">
      <c r="B160" s="62" t="s">
        <v>3181</v>
      </c>
      <c r="C160" s="45" t="s">
        <v>38</v>
      </c>
      <c r="D160" s="62" t="s">
        <v>3100</v>
      </c>
      <c r="E160" s="11" t="str">
        <f>HYPERLINK("https://youtu.be/spglRTmq4XA?t=510","channel 2")</f>
        <v>channel 2</v>
      </c>
    </row>
    <row r="161">
      <c r="B161" s="62" t="s">
        <v>3099</v>
      </c>
      <c r="C161" s="45" t="s">
        <v>209</v>
      </c>
      <c r="D161" s="61" t="s">
        <v>434</v>
      </c>
      <c r="E161" s="11" t="str">
        <f>HYPERLINK("https://youtu.be/1cmBcILDLrE?t=1924","channel 1")</f>
        <v>channel 1</v>
      </c>
    </row>
    <row r="162">
      <c r="B162" s="62" t="s">
        <v>3181</v>
      </c>
      <c r="C162" s="45" t="s">
        <v>750</v>
      </c>
      <c r="D162" s="62" t="s">
        <v>103</v>
      </c>
      <c r="E162" s="11" t="str">
        <f>HYPERLINK("https://youtu.be/spglRTmq4XA?t=1372","channel 2")</f>
        <v>channel 2</v>
      </c>
    </row>
    <row r="163">
      <c r="B163" s="62" t="s">
        <v>3099</v>
      </c>
      <c r="C163" s="45" t="s">
        <v>11</v>
      </c>
      <c r="D163" s="62" t="s">
        <v>3100</v>
      </c>
      <c r="E163" s="11" t="str">
        <f>HYPERLINK("https://youtu.be/1cmBcILDLrE?t=2870","channel 1")</f>
        <v>channel 1</v>
      </c>
    </row>
    <row r="164">
      <c r="B164" s="61" t="s">
        <v>434</v>
      </c>
      <c r="C164" s="45" t="s">
        <v>251</v>
      </c>
      <c r="D164" s="62" t="s">
        <v>103</v>
      </c>
      <c r="E164" s="11" t="str">
        <f>HYPERLINK("https://youtu.be/spglRTmq4XA?t=2220","channel 2")</f>
        <v>channel 2</v>
      </c>
    </row>
    <row r="165">
      <c r="B165" s="62" t="s">
        <v>3099</v>
      </c>
      <c r="C165" s="45" t="s">
        <v>344</v>
      </c>
      <c r="D165" s="62" t="s">
        <v>3181</v>
      </c>
      <c r="E165" s="11" t="str">
        <f>HYPERLINK("https://youtu.be/1cmBcILDLrE?t=3775","channel 1")</f>
        <v>channel 1</v>
      </c>
    </row>
    <row r="166">
      <c r="B166" s="61" t="s">
        <v>434</v>
      </c>
      <c r="C166" s="45" t="s">
        <v>14</v>
      </c>
      <c r="D166" s="62" t="s">
        <v>3100</v>
      </c>
      <c r="E166" s="11" t="str">
        <f>HYPERLINK("https://youtu.be/spglRTmq4XA?t=3248","channel 2")</f>
        <v>channel 2</v>
      </c>
    </row>
    <row r="167">
      <c r="B167" s="62" t="s">
        <v>3100</v>
      </c>
      <c r="C167" s="45" t="s">
        <v>171</v>
      </c>
      <c r="D167" s="62" t="s">
        <v>103</v>
      </c>
      <c r="E167" s="11" t="str">
        <f>HYPERLINK("https://youtu.be/1cmBcILDLrE?t=4686","channel 1")</f>
        <v>channel 1</v>
      </c>
    </row>
    <row r="168">
      <c r="B168" s="61" t="s">
        <v>434</v>
      </c>
      <c r="C168" s="45" t="s">
        <v>21</v>
      </c>
      <c r="D168" s="62" t="s">
        <v>3181</v>
      </c>
      <c r="E168" s="11" t="str">
        <f>HYPERLINK("https://youtu.be/spglRTmq4XA?t=4168","channel 2")</f>
        <v>channel 2</v>
      </c>
    </row>
    <row r="169">
      <c r="B169" s="62" t="s">
        <v>103</v>
      </c>
      <c r="C169" s="45" t="s">
        <v>556</v>
      </c>
      <c r="D169" s="62" t="s">
        <v>3099</v>
      </c>
      <c r="E169" s="11" t="str">
        <f>HYPERLINK("https://youtu.be/1cmBcILDLrE?t=5595","channel 1")</f>
        <v>channel 1</v>
      </c>
    </row>
    <row r="170">
      <c r="B170" s="62" t="s">
        <v>3100</v>
      </c>
      <c r="C170" s="45" t="s">
        <v>41</v>
      </c>
      <c r="D170" s="62" t="s">
        <v>3181</v>
      </c>
      <c r="E170" s="11" t="str">
        <f>HYPERLINK("https://youtu.be/spglRTmq4XA?t=5062","channel 2")</f>
        <v>channel 2</v>
      </c>
    </row>
    <row r="171">
      <c r="B171" s="61" t="s">
        <v>434</v>
      </c>
      <c r="C171" s="45" t="s">
        <v>166</v>
      </c>
      <c r="D171" s="62" t="s">
        <v>3099</v>
      </c>
      <c r="E171" s="11" t="str">
        <f>HYPERLINK("https://youtu.be/1cmBcILDLrE?t=6511","channel 1")</f>
        <v>channel 1</v>
      </c>
    </row>
    <row r="172">
      <c r="B172" s="62" t="s">
        <v>103</v>
      </c>
      <c r="C172" s="45" t="s">
        <v>357</v>
      </c>
      <c r="D172" s="62" t="s">
        <v>3181</v>
      </c>
      <c r="E172" s="11" t="str">
        <f>HYPERLINK("https://youtu.be/spglRTmq4XA?t=6170","channel 2")</f>
        <v>channel 2</v>
      </c>
    </row>
    <row r="173">
      <c r="B173" s="62" t="s">
        <v>3100</v>
      </c>
      <c r="C173" s="45" t="s">
        <v>18</v>
      </c>
      <c r="D173" s="62" t="s">
        <v>3099</v>
      </c>
      <c r="E173" s="11" t="str">
        <f>HYPERLINK("https://youtu.be/1cmBcILDLrE?t=7451","channel 1")</f>
        <v>channel 1</v>
      </c>
    </row>
    <row r="174">
      <c r="B174" s="62" t="s">
        <v>103</v>
      </c>
      <c r="C174" s="45" t="s">
        <v>344</v>
      </c>
      <c r="D174" s="61" t="s">
        <v>434</v>
      </c>
      <c r="E174" s="11" t="str">
        <f>HYPERLINK("https://youtu.be/spglRTmq4XA?t=6976","channel 2")</f>
        <v>channel 2</v>
      </c>
    </row>
    <row r="175">
      <c r="B175" s="62" t="s">
        <v>3181</v>
      </c>
      <c r="C175" s="45" t="s">
        <v>43</v>
      </c>
      <c r="D175" s="62" t="s">
        <v>3099</v>
      </c>
      <c r="E175" s="11" t="str">
        <f>HYPERLINK("https://youtu.be/1cmBcILDLrE?t=8384","channel 1")</f>
        <v>channel 1</v>
      </c>
    </row>
    <row r="176">
      <c r="B176" s="62" t="s">
        <v>3100</v>
      </c>
      <c r="C176" s="45" t="s">
        <v>184</v>
      </c>
      <c r="D176" s="61" t="s">
        <v>434</v>
      </c>
      <c r="E176" s="11" t="str">
        <f>HYPERLINK("https://youtu.be/spglRTmq4XA?t=7976","channel 2")</f>
        <v>channel 2</v>
      </c>
    </row>
    <row r="177">
      <c r="B177" s="96" t="s">
        <v>2748</v>
      </c>
      <c r="C177" s="2"/>
      <c r="D177" s="3"/>
      <c r="E177" s="107"/>
    </row>
    <row r="178">
      <c r="B178" s="108" t="s">
        <v>2</v>
      </c>
      <c r="C178" s="109" t="s">
        <v>3</v>
      </c>
      <c r="D178" s="109" t="s">
        <v>4</v>
      </c>
      <c r="E178" s="109" t="s">
        <v>5</v>
      </c>
    </row>
    <row r="179">
      <c r="B179" s="110" t="s">
        <v>3023</v>
      </c>
      <c r="C179" s="111" t="s">
        <v>20</v>
      </c>
      <c r="D179" s="112" t="s">
        <v>2352</v>
      </c>
      <c r="E179" s="120" t="str">
        <f>HYPERLINK("https://youtu.be/oGItuPwSy60","channel 3")</f>
        <v>channel 3</v>
      </c>
    </row>
    <row r="180">
      <c r="B180" s="110" t="s">
        <v>3182</v>
      </c>
      <c r="C180" s="111" t="s">
        <v>42</v>
      </c>
      <c r="D180" s="112" t="s">
        <v>2278</v>
      </c>
      <c r="E180" s="120" t="str">
        <f>HYPERLINK("https://youtu.be/iditUJfA-1k","channel 4")</f>
        <v>channel 4</v>
      </c>
    </row>
    <row r="181">
      <c r="B181" s="123" t="s">
        <v>2694</v>
      </c>
      <c r="C181" s="111" t="s">
        <v>21</v>
      </c>
      <c r="D181" s="112" t="s">
        <v>3023</v>
      </c>
      <c r="E181" s="120" t="str">
        <f>HYPERLINK("https://youtu.be/oGItuPwSy60?t=1034","channel 3")</f>
        <v>channel 3</v>
      </c>
    </row>
    <row r="182">
      <c r="B182" s="110" t="s">
        <v>3182</v>
      </c>
      <c r="C182" s="111" t="s">
        <v>1389</v>
      </c>
      <c r="D182" s="112" t="s">
        <v>2352</v>
      </c>
      <c r="E182" s="120" t="str">
        <f>HYPERLINK("https://youtu.be/iditUJfA-1k?t=992","channel 4")</f>
        <v>channel 4</v>
      </c>
    </row>
    <row r="183">
      <c r="B183" s="123" t="s">
        <v>2694</v>
      </c>
      <c r="C183" s="111" t="s">
        <v>239</v>
      </c>
      <c r="D183" s="112" t="s">
        <v>2278</v>
      </c>
      <c r="E183" s="120" t="str">
        <f>HYPERLINK("https://youtu.be/oGItuPwSy60?t=1943","channel 3")</f>
        <v>channel 3</v>
      </c>
    </row>
    <row r="184">
      <c r="B184" s="110" t="s">
        <v>3182</v>
      </c>
      <c r="C184" s="111" t="s">
        <v>16</v>
      </c>
      <c r="D184" s="112" t="s">
        <v>3023</v>
      </c>
      <c r="E184" s="120" t="str">
        <f>HYPERLINK("https://youtu.be/iditUJfA-1k?t=1925","channel 4")</f>
        <v>channel 4</v>
      </c>
    </row>
    <row r="185">
      <c r="B185" s="123" t="s">
        <v>2694</v>
      </c>
      <c r="C185" s="111" t="s">
        <v>187</v>
      </c>
      <c r="D185" s="112" t="s">
        <v>2352</v>
      </c>
      <c r="E185" s="120" t="str">
        <f>HYPERLINK("https://youtu.be/oGItuPwSy60?t=2957","channel 3")</f>
        <v>channel 3</v>
      </c>
    </row>
    <row r="186">
      <c r="B186" s="110" t="s">
        <v>2278</v>
      </c>
      <c r="C186" s="111" t="s">
        <v>161</v>
      </c>
      <c r="D186" s="112" t="s">
        <v>3023</v>
      </c>
      <c r="E186" s="33" t="str">
        <f>HYPERLINK("https://youtu.be/iditUJfA-1k?t=2864","channel 4")</f>
        <v>channel 4</v>
      </c>
    </row>
    <row r="187">
      <c r="B187" s="123" t="s">
        <v>2694</v>
      </c>
      <c r="C187" s="111" t="s">
        <v>291</v>
      </c>
      <c r="D187" s="112" t="s">
        <v>3182</v>
      </c>
      <c r="E187" s="120" t="str">
        <f>HYPERLINK("https://youtu.be/oGItuPwSy60?t=3866","channel 3")</f>
        <v>channel 3</v>
      </c>
    </row>
    <row r="188">
      <c r="B188" s="110" t="s">
        <v>2278</v>
      </c>
      <c r="C188" s="111" t="s">
        <v>315</v>
      </c>
      <c r="D188" s="112" t="s">
        <v>2352</v>
      </c>
      <c r="E188" s="120" t="str">
        <f>HYPERLINK("https://youtu.be/iditUJfA-1k?t=3817","channel 4")</f>
        <v>channel 4</v>
      </c>
    </row>
    <row r="189">
      <c r="B189" s="110" t="s">
        <v>2352</v>
      </c>
      <c r="C189" s="111" t="s">
        <v>229</v>
      </c>
      <c r="D189" s="112" t="s">
        <v>3023</v>
      </c>
      <c r="E189" s="120" t="str">
        <f>HYPERLINK("https://youtu.be/oGItuPwSy60?t=4825","channel 3")</f>
        <v>channel 3</v>
      </c>
    </row>
    <row r="190">
      <c r="B190" s="110" t="s">
        <v>2278</v>
      </c>
      <c r="C190" s="111" t="s">
        <v>20</v>
      </c>
      <c r="D190" s="112" t="s">
        <v>3182</v>
      </c>
      <c r="E190" s="120" t="str">
        <f>HYPERLINK("https://youtu.be/iditUJfA-1k?t=4776","channel 4")</f>
        <v>channel 4</v>
      </c>
    </row>
    <row r="191">
      <c r="B191" s="110" t="s">
        <v>3023</v>
      </c>
      <c r="C191" s="111" t="s">
        <v>302</v>
      </c>
      <c r="D191" s="123" t="s">
        <v>2694</v>
      </c>
      <c r="E191" s="120" t="str">
        <f>HYPERLINK("https://youtu.be/oGItuPwSy60?t=5744","channel 3")</f>
        <v>channel 3</v>
      </c>
    </row>
    <row r="192">
      <c r="B192" s="110" t="s">
        <v>2352</v>
      </c>
      <c r="C192" s="111" t="s">
        <v>220</v>
      </c>
      <c r="D192" s="112" t="s">
        <v>3182</v>
      </c>
      <c r="E192" s="120" t="str">
        <f>HYPERLINK("https://youtu.be/iditUJfA-1k?t=5777","channel 4")</f>
        <v>channel 4</v>
      </c>
    </row>
    <row r="193">
      <c r="B193" s="110" t="s">
        <v>2278</v>
      </c>
      <c r="C193" s="111" t="s">
        <v>219</v>
      </c>
      <c r="D193" s="123" t="s">
        <v>2694</v>
      </c>
      <c r="E193" s="120" t="str">
        <f>HYPERLINK("https://youtu.be/oGItuPwSy60?t=6844","channel 3")</f>
        <v>channel 3</v>
      </c>
    </row>
    <row r="194">
      <c r="B194" s="110" t="s">
        <v>3023</v>
      </c>
      <c r="C194" s="111" t="s">
        <v>524</v>
      </c>
      <c r="D194" s="112" t="s">
        <v>3182</v>
      </c>
      <c r="E194" s="120" t="str">
        <f>HYPERLINK("https://youtu.be/iditUJfA-1k?t=6730","channel 4")</f>
        <v>channel 4</v>
      </c>
    </row>
    <row r="195">
      <c r="B195" s="110" t="s">
        <v>2352</v>
      </c>
      <c r="C195" s="111" t="s">
        <v>27</v>
      </c>
      <c r="D195" s="123" t="s">
        <v>2694</v>
      </c>
      <c r="E195" s="120" t="str">
        <f>HYPERLINK("https://youtu.be/oGItuPwSy60?t=7717","channel 3")</f>
        <v>channel 3</v>
      </c>
    </row>
    <row r="196">
      <c r="B196" s="110" t="s">
        <v>3023</v>
      </c>
      <c r="C196" s="111" t="s">
        <v>313</v>
      </c>
      <c r="D196" s="112" t="s">
        <v>2278</v>
      </c>
      <c r="E196" s="120" t="str">
        <f>HYPERLINK("https://youtu.be/iditUJfA-1k?t=7766","channel 4")</f>
        <v>channel 4</v>
      </c>
    </row>
    <row r="197">
      <c r="B197" s="110" t="s">
        <v>3182</v>
      </c>
      <c r="C197" s="111" t="s">
        <v>219</v>
      </c>
      <c r="D197" s="123" t="s">
        <v>2694</v>
      </c>
      <c r="E197" s="120" t="str">
        <f>HYPERLINK("https://youtu.be/oGItuPwSy60?t=8636","channel 3")</f>
        <v>channel 3</v>
      </c>
    </row>
    <row r="198">
      <c r="B198" s="110" t="s">
        <v>2352</v>
      </c>
      <c r="C198" s="111" t="s">
        <v>3183</v>
      </c>
      <c r="D198" s="112" t="s">
        <v>2278</v>
      </c>
      <c r="E198" s="120" t="str">
        <f>HYPERLINK("https://youtu.be/iditUJfA-1k?t=8637","channel 4")</f>
        <v>channel 4</v>
      </c>
    </row>
    <row r="199">
      <c r="B199" s="96" t="s">
        <v>3016</v>
      </c>
      <c r="C199" s="2"/>
      <c r="D199" s="3"/>
      <c r="E199" s="107"/>
    </row>
    <row r="200">
      <c r="B200" s="108" t="s">
        <v>2</v>
      </c>
      <c r="C200" s="109" t="s">
        <v>3</v>
      </c>
      <c r="D200" s="109" t="s">
        <v>4</v>
      </c>
      <c r="E200" s="109" t="s">
        <v>5</v>
      </c>
    </row>
    <row r="201">
      <c r="B201" s="61" t="s">
        <v>2651</v>
      </c>
      <c r="C201" s="45" t="s">
        <v>205</v>
      </c>
      <c r="D201" s="61" t="s">
        <v>328</v>
      </c>
      <c r="E201" s="120" t="str">
        <f>HYPERLINK("https://youtu.be/Vn8TU08F600","channel 3")</f>
        <v>channel 3</v>
      </c>
    </row>
    <row r="202">
      <c r="B202" s="61" t="s">
        <v>1564</v>
      </c>
      <c r="C202" s="111" t="s">
        <v>19</v>
      </c>
      <c r="D202" s="61" t="s">
        <v>3184</v>
      </c>
      <c r="E202" s="120" t="str">
        <f>HYPERLINK("https://youtu.be/Fpv8Z8Nkrsc","channel 4")</f>
        <v>channel 4</v>
      </c>
    </row>
    <row r="203">
      <c r="B203" s="56" t="s">
        <v>1981</v>
      </c>
      <c r="C203" s="45" t="s">
        <v>7</v>
      </c>
      <c r="D203" s="61" t="s">
        <v>2651</v>
      </c>
      <c r="E203" s="120" t="str">
        <f>HYPERLINK("https://youtu.be/Vn8TU08F600?t=1125","channel 3")</f>
        <v>channel 3</v>
      </c>
    </row>
    <row r="204">
      <c r="B204" s="61" t="s">
        <v>1564</v>
      </c>
      <c r="C204" s="111" t="s">
        <v>210</v>
      </c>
      <c r="D204" s="61" t="s">
        <v>328</v>
      </c>
      <c r="E204" s="120" t="str">
        <f>HYPERLINK("https://youtu.be/Fpv8Z8Nkrsc?t=1004","channel 4")</f>
        <v>channel 4</v>
      </c>
    </row>
    <row r="205">
      <c r="B205" s="56" t="s">
        <v>1981</v>
      </c>
      <c r="C205" s="45" t="s">
        <v>155</v>
      </c>
      <c r="D205" s="61" t="s">
        <v>3184</v>
      </c>
      <c r="E205" s="120" t="str">
        <f>HYPERLINK("https://youtu.be/Vn8TU08F600?t=2023","channel 3")</f>
        <v>channel 3</v>
      </c>
    </row>
    <row r="206">
      <c r="B206" s="61" t="s">
        <v>1564</v>
      </c>
      <c r="C206" s="45" t="s">
        <v>43</v>
      </c>
      <c r="D206" s="61" t="s">
        <v>2651</v>
      </c>
      <c r="E206" s="120" t="str">
        <f>HYPERLINK("https://youtu.be/Fpv8Z8Nkrsc?t=1922","channel 4")</f>
        <v>channel 4</v>
      </c>
      <c r="G206" s="50" t="s">
        <v>514</v>
      </c>
    </row>
    <row r="207">
      <c r="B207" s="56" t="s">
        <v>1981</v>
      </c>
      <c r="C207" s="45" t="s">
        <v>774</v>
      </c>
      <c r="D207" s="61" t="s">
        <v>328</v>
      </c>
      <c r="E207" s="120" t="str">
        <f>HYPERLINK("https://youtu.be/Vn8TU08F600?t=2939","channel 3")</f>
        <v>channel 3</v>
      </c>
    </row>
    <row r="208">
      <c r="B208" s="61" t="s">
        <v>3184</v>
      </c>
      <c r="C208" s="45" t="s">
        <v>525</v>
      </c>
      <c r="D208" s="61" t="s">
        <v>2651</v>
      </c>
      <c r="E208" s="120" t="str">
        <f>HYPERLINK("https://youtu.be/Fpv8Z8Nkrsc?t=2867","channel 4")</f>
        <v>channel 4</v>
      </c>
    </row>
    <row r="209">
      <c r="B209" s="56" t="s">
        <v>1981</v>
      </c>
      <c r="C209" s="45" t="s">
        <v>195</v>
      </c>
      <c r="D209" s="61" t="s">
        <v>1564</v>
      </c>
      <c r="E209" s="120" t="str">
        <f>HYPERLINK("https://youtu.be/Vn8TU08F600?t=3902","channel 3")</f>
        <v>channel 3</v>
      </c>
    </row>
    <row r="210">
      <c r="B210" s="61" t="s">
        <v>3184</v>
      </c>
      <c r="C210" s="45" t="s">
        <v>41</v>
      </c>
      <c r="D210" s="61" t="s">
        <v>328</v>
      </c>
      <c r="E210" s="120" t="str">
        <f>HYPERLINK("https://youtu.be/Fpv8Z8Nkrsc?t=3849","channel 4")</f>
        <v>channel 4</v>
      </c>
    </row>
    <row r="211">
      <c r="B211" s="61" t="s">
        <v>328</v>
      </c>
      <c r="C211" s="45" t="s">
        <v>157</v>
      </c>
      <c r="D211" s="61" t="s">
        <v>2651</v>
      </c>
      <c r="E211" s="120" t="str">
        <f>HYPERLINK("https://youtu.be/Vn8TU08F600?t=4854","channel 3")</f>
        <v>channel 3</v>
      </c>
    </row>
    <row r="212">
      <c r="B212" s="61" t="s">
        <v>3184</v>
      </c>
      <c r="C212" s="45" t="s">
        <v>517</v>
      </c>
      <c r="D212" s="61" t="s">
        <v>1564</v>
      </c>
      <c r="E212" s="120" t="str">
        <f>HYPERLINK("https://youtu.be/Fpv8Z8Nkrsc?t=4847","channel 4")</f>
        <v>channel 4</v>
      </c>
    </row>
    <row r="213">
      <c r="B213" s="61" t="s">
        <v>2651</v>
      </c>
      <c r="C213" s="45" t="s">
        <v>163</v>
      </c>
      <c r="D213" s="56" t="s">
        <v>1981</v>
      </c>
      <c r="E213" s="120" t="str">
        <f>HYPERLINK("https://youtu.be/Vn8TU08F600?t=5831","channel 3")</f>
        <v>channel 3</v>
      </c>
    </row>
    <row r="214">
      <c r="B214" s="61" t="s">
        <v>328</v>
      </c>
      <c r="C214" s="45" t="s">
        <v>302</v>
      </c>
      <c r="D214" s="61" t="s">
        <v>1564</v>
      </c>
      <c r="E214" s="120" t="str">
        <f>HYPERLINK("https://youtu.be/Fpv8Z8Nkrsc?t=5780","channel 4")</f>
        <v>channel 4</v>
      </c>
    </row>
    <row r="215">
      <c r="B215" s="61" t="s">
        <v>3184</v>
      </c>
      <c r="C215" s="45" t="s">
        <v>44</v>
      </c>
      <c r="D215" s="56" t="s">
        <v>1981</v>
      </c>
      <c r="E215" s="120" t="str">
        <f>HYPERLINK("https://youtu.be/Vn8TU08F600?t=6846","channel 3")</f>
        <v>channel 3</v>
      </c>
    </row>
    <row r="216">
      <c r="B216" s="61" t="s">
        <v>2651</v>
      </c>
      <c r="C216" s="45" t="s">
        <v>42</v>
      </c>
      <c r="D216" s="61" t="s">
        <v>1564</v>
      </c>
      <c r="E216" s="120" t="str">
        <f>HYPERLINK("https://youtu.be/Fpv8Z8Nkrsc?t=6750","channel 4")</f>
        <v>channel 4</v>
      </c>
    </row>
    <row r="217">
      <c r="B217" s="61" t="s">
        <v>328</v>
      </c>
      <c r="C217" s="45" t="s">
        <v>688</v>
      </c>
      <c r="D217" s="56" t="s">
        <v>1981</v>
      </c>
      <c r="E217" s="120" t="str">
        <f>HYPERLINK("https://youtu.be/Vn8TU08F600?t=7819","channel 3")</f>
        <v>channel 3</v>
      </c>
    </row>
    <row r="218">
      <c r="B218" s="61" t="s">
        <v>2651</v>
      </c>
      <c r="C218" s="45" t="s">
        <v>1185</v>
      </c>
      <c r="D218" s="61" t="s">
        <v>3184</v>
      </c>
      <c r="E218" s="120" t="str">
        <f>HYPERLINK("https://youtu.be/Fpv8Z8Nkrsc?t=7702","channel 4")</f>
        <v>channel 4</v>
      </c>
    </row>
    <row r="219">
      <c r="B219" s="61" t="s">
        <v>1564</v>
      </c>
      <c r="C219" s="45" t="s">
        <v>18</v>
      </c>
      <c r="D219" s="56" t="s">
        <v>1981</v>
      </c>
      <c r="E219" s="120" t="str">
        <f>HYPERLINK("https://youtu.be/Vn8TU08F600?t=8771","channel 3")</f>
        <v>channel 3</v>
      </c>
    </row>
    <row r="220">
      <c r="B220" s="61" t="s">
        <v>328</v>
      </c>
      <c r="C220" s="45" t="s">
        <v>186</v>
      </c>
      <c r="D220" s="61" t="s">
        <v>3184</v>
      </c>
      <c r="E220" s="120" t="str">
        <f>HYPERLINK("https://youtu.be/Fpv8Z8Nkrsc?t=8712","channel 4")</f>
        <v>channel 4</v>
      </c>
    </row>
    <row r="221">
      <c r="B221" s="96" t="s">
        <v>2495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814</v>
      </c>
      <c r="C223" s="45" t="s">
        <v>239</v>
      </c>
      <c r="D223" s="62" t="s">
        <v>2717</v>
      </c>
      <c r="E223" s="11" t="str">
        <f>HYPERLINK("https://youtu.be/PwXP35w53j8","channel 1")</f>
        <v>channel 1</v>
      </c>
    </row>
    <row r="224">
      <c r="B224" s="62" t="s">
        <v>475</v>
      </c>
      <c r="C224" s="45" t="s">
        <v>176</v>
      </c>
      <c r="D224" s="61" t="s">
        <v>805</v>
      </c>
      <c r="E224" s="11" t="str">
        <f>HYPERLINK("https://youtu.be/AT1W2AgFvaI","channel 2")</f>
        <v>channel 2</v>
      </c>
    </row>
    <row r="225">
      <c r="B225" s="62" t="s">
        <v>3185</v>
      </c>
      <c r="C225" s="45" t="s">
        <v>194</v>
      </c>
      <c r="D225" s="62" t="s">
        <v>814</v>
      </c>
      <c r="E225" s="11" t="str">
        <f>HYPERLINK("https://youtu.be/PwXP35w53j8?t=1010","channel 1")</f>
        <v>channel 1</v>
      </c>
    </row>
    <row r="226">
      <c r="B226" s="62" t="s">
        <v>475</v>
      </c>
      <c r="C226" s="45" t="s">
        <v>264</v>
      </c>
      <c r="D226" s="62" t="s">
        <v>2717</v>
      </c>
      <c r="E226" s="11" t="str">
        <f>HYPERLINK("https://youtu.be/AT1W2AgFvaI?t=1013","channel 2")</f>
        <v>channel 2</v>
      </c>
    </row>
    <row r="227">
      <c r="B227" s="62" t="s">
        <v>3185</v>
      </c>
      <c r="C227" s="45" t="s">
        <v>219</v>
      </c>
      <c r="D227" s="61" t="s">
        <v>805</v>
      </c>
      <c r="E227" s="11" t="str">
        <f>HYPERLINK("https://youtu.be/PwXP35w53j8?t=1915","channel 1")</f>
        <v>channel 1</v>
      </c>
    </row>
    <row r="228">
      <c r="B228" s="62" t="s">
        <v>475</v>
      </c>
      <c r="C228" s="45" t="s">
        <v>16</v>
      </c>
      <c r="D228" s="62" t="s">
        <v>814</v>
      </c>
      <c r="E228" s="11" t="str">
        <f>HYPERLINK("https://youtu.be/AT1W2AgFvaI?t=1907","channel 2")</f>
        <v>channel 2</v>
      </c>
    </row>
    <row r="229">
      <c r="B229" s="62" t="s">
        <v>3185</v>
      </c>
      <c r="C229" s="45" t="s">
        <v>291</v>
      </c>
      <c r="D229" s="62" t="s">
        <v>2717</v>
      </c>
      <c r="E229" s="11" t="str">
        <f>HYPERLINK("https://youtu.be/PwXP35w53j8?t=2844","channel 1")</f>
        <v>channel 1</v>
      </c>
    </row>
    <row r="230">
      <c r="B230" s="61" t="s">
        <v>805</v>
      </c>
      <c r="C230" s="45" t="s">
        <v>17</v>
      </c>
      <c r="D230" s="62" t="s">
        <v>814</v>
      </c>
      <c r="E230" s="11" t="str">
        <f>HYPERLINK("https://youtu.be/AT1W2AgFvaI?t=2828","channel 2")</f>
        <v>channel 2</v>
      </c>
    </row>
    <row r="231">
      <c r="B231" s="62" t="s">
        <v>3185</v>
      </c>
      <c r="C231" s="45" t="s">
        <v>209</v>
      </c>
      <c r="D231" s="62" t="s">
        <v>475</v>
      </c>
      <c r="E231" s="11" t="str">
        <f>HYPERLINK("https://youtu.be/PwXP35w53j8?t=3753","channel 1")</f>
        <v>channel 1</v>
      </c>
    </row>
    <row r="232">
      <c r="B232" s="61" t="s">
        <v>805</v>
      </c>
      <c r="C232" s="45" t="s">
        <v>173</v>
      </c>
      <c r="D232" s="62" t="s">
        <v>2717</v>
      </c>
      <c r="E232" s="11" t="str">
        <f>HYPERLINK("https://youtu.be/AT1W2AgFvaI?t=3735","channel 2")</f>
        <v>channel 2</v>
      </c>
    </row>
    <row r="233">
      <c r="B233" s="62" t="s">
        <v>2717</v>
      </c>
      <c r="C233" s="45" t="s">
        <v>162</v>
      </c>
      <c r="D233" s="62" t="s">
        <v>814</v>
      </c>
      <c r="E233" s="11" t="str">
        <f>HYPERLINK("https://youtu.be/PwXP35w53j8?t=4657","channel 1")</f>
        <v>channel 1</v>
      </c>
    </row>
    <row r="234">
      <c r="B234" s="61" t="s">
        <v>805</v>
      </c>
      <c r="C234" s="45" t="s">
        <v>380</v>
      </c>
      <c r="D234" s="62" t="s">
        <v>475</v>
      </c>
      <c r="E234" s="11" t="str">
        <f>HYPERLINK("https://youtu.be/AT1W2AgFvaI?t=4624","channel 2")</f>
        <v>channel 2</v>
      </c>
    </row>
    <row r="235">
      <c r="B235" s="62" t="s">
        <v>814</v>
      </c>
      <c r="C235" s="45" t="s">
        <v>157</v>
      </c>
      <c r="D235" s="62" t="s">
        <v>3185</v>
      </c>
      <c r="E235" s="11" t="str">
        <f>HYPERLINK("https://youtu.be/PwXP35w53j8?t=5576","channel 1")</f>
        <v>channel 1</v>
      </c>
    </row>
    <row r="236">
      <c r="B236" s="62" t="s">
        <v>2717</v>
      </c>
      <c r="C236" s="45" t="s">
        <v>222</v>
      </c>
      <c r="D236" s="62" t="s">
        <v>475</v>
      </c>
      <c r="E236" s="11" t="str">
        <f>HYPERLINK("https://youtu.be/AT1W2AgFvaI?t=5543","channel 2")</f>
        <v>channel 2</v>
      </c>
    </row>
    <row r="237">
      <c r="B237" s="61" t="s">
        <v>805</v>
      </c>
      <c r="C237" s="45" t="s">
        <v>366</v>
      </c>
      <c r="D237" s="62" t="s">
        <v>3185</v>
      </c>
      <c r="E237" s="11" t="str">
        <f>HYPERLINK("https://youtu.be/PwXP35w53j8?t=6489","channel 1")</f>
        <v>channel 1</v>
      </c>
    </row>
    <row r="238">
      <c r="B238" s="62" t="s">
        <v>814</v>
      </c>
      <c r="C238" s="45" t="s">
        <v>37</v>
      </c>
      <c r="D238" s="62" t="s">
        <v>475</v>
      </c>
      <c r="E238" s="11" t="str">
        <f>HYPERLINK("https://youtu.be/AT1W2AgFvaI?t=6502","channel 2")</f>
        <v>channel 2</v>
      </c>
    </row>
    <row r="239">
      <c r="B239" s="62" t="s">
        <v>2717</v>
      </c>
      <c r="C239" s="45" t="s">
        <v>173</v>
      </c>
      <c r="D239" s="62" t="s">
        <v>3185</v>
      </c>
      <c r="E239" s="11" t="str">
        <f>HYPERLINK("https://youtu.be/PwXP35w53j8?t=7408","channel 1")</f>
        <v>channel 1</v>
      </c>
    </row>
    <row r="240">
      <c r="B240" s="62" t="s">
        <v>814</v>
      </c>
      <c r="C240" s="45" t="s">
        <v>18</v>
      </c>
      <c r="D240" s="61" t="s">
        <v>805</v>
      </c>
      <c r="E240" s="11" t="str">
        <f>HYPERLINK("https://youtu.be/AT1W2AgFvaI?t=7447","channel 2")</f>
        <v>channel 2</v>
      </c>
    </row>
    <row r="241">
      <c r="B241" s="62" t="s">
        <v>475</v>
      </c>
      <c r="C241" s="45" t="s">
        <v>222</v>
      </c>
      <c r="D241" s="62" t="s">
        <v>3185</v>
      </c>
      <c r="E241" s="11" t="str">
        <f>HYPERLINK("https://youtu.be/PwXP35w53j8?t=8312","channel 1")</f>
        <v>channel 1</v>
      </c>
    </row>
    <row r="242">
      <c r="B242" s="62" t="s">
        <v>2717</v>
      </c>
      <c r="C242" s="45" t="s">
        <v>176</v>
      </c>
      <c r="D242" s="61" t="s">
        <v>805</v>
      </c>
      <c r="E242" s="11" t="str">
        <f>HYPERLINK("https://youtu.be/AT1W2AgFvaI?t=8256","channel 2")</f>
        <v>channel 2</v>
      </c>
    </row>
    <row r="243">
      <c r="B243" s="96" t="s">
        <v>3026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2933</v>
      </c>
      <c r="C245" s="45" t="s">
        <v>219</v>
      </c>
      <c r="D245" s="62" t="s">
        <v>3186</v>
      </c>
      <c r="E245" s="11" t="str">
        <f>HYPERLINK("https://youtu.be/B2dGNBt7dZk","channel 1")</f>
        <v>channel 1</v>
      </c>
    </row>
    <row r="246">
      <c r="B246" s="62" t="s">
        <v>1883</v>
      </c>
      <c r="C246" s="45" t="s">
        <v>289</v>
      </c>
      <c r="D246" s="61" t="s">
        <v>1699</v>
      </c>
      <c r="E246" s="11" t="str">
        <f>HYPERLINK("https://youtu.be/GiUT4PkXnzQ","channel 2")</f>
        <v>channel 2</v>
      </c>
    </row>
    <row r="247">
      <c r="B247" s="62" t="s">
        <v>3028</v>
      </c>
      <c r="C247" s="45" t="s">
        <v>27</v>
      </c>
      <c r="D247" s="62" t="s">
        <v>2933</v>
      </c>
      <c r="E247" s="11" t="str">
        <f>HYPERLINK("https://youtu.be/B2dGNBt7dZk?t=1025","channel 1")</f>
        <v>channel 1</v>
      </c>
    </row>
    <row r="248">
      <c r="B248" s="62" t="s">
        <v>1883</v>
      </c>
      <c r="C248" s="45" t="s">
        <v>856</v>
      </c>
      <c r="D248" s="62" t="s">
        <v>3186</v>
      </c>
      <c r="E248" s="11" t="str">
        <f>HYPERLINK("https://youtu.be/GiUT4PkXnzQ?t=1082","channel 2")</f>
        <v>channel 2</v>
      </c>
    </row>
    <row r="249">
      <c r="B249" s="62" t="s">
        <v>3028</v>
      </c>
      <c r="C249" s="45" t="s">
        <v>1066</v>
      </c>
      <c r="D249" s="61" t="s">
        <v>1699</v>
      </c>
      <c r="E249" s="11" t="str">
        <f>HYPERLINK("https://youtu.be/B2dGNBt7dZk?t=1941","channel 1")</f>
        <v>channel 1</v>
      </c>
    </row>
    <row r="250">
      <c r="B250" s="62" t="s">
        <v>1883</v>
      </c>
      <c r="C250" s="45" t="s">
        <v>193</v>
      </c>
      <c r="D250" s="62" t="s">
        <v>2933</v>
      </c>
      <c r="E250" s="11" t="str">
        <f>HYPERLINK("https://youtu.be/GiUT4PkXnzQ?t=2000","channel 2")</f>
        <v>channel 2</v>
      </c>
    </row>
    <row r="251">
      <c r="B251" s="62" t="s">
        <v>3028</v>
      </c>
      <c r="C251" s="45" t="s">
        <v>21</v>
      </c>
      <c r="D251" s="62" t="s">
        <v>3186</v>
      </c>
      <c r="E251" s="11" t="str">
        <f>HYPERLINK("https://youtu.be/B2dGNBt7dZk?t=2872","channel 1")</f>
        <v>channel 1</v>
      </c>
    </row>
    <row r="252">
      <c r="B252" s="61" t="s">
        <v>1699</v>
      </c>
      <c r="C252" s="45" t="s">
        <v>184</v>
      </c>
      <c r="D252" s="62" t="s">
        <v>2933</v>
      </c>
      <c r="E252" s="11" t="str">
        <f>HYPERLINK("https://youtu.be/GiUT4PkXnzQ?t=2969","channel 2")</f>
        <v>channel 2</v>
      </c>
    </row>
    <row r="253">
      <c r="B253" s="62" t="s">
        <v>3028</v>
      </c>
      <c r="C253" s="45" t="s">
        <v>443</v>
      </c>
      <c r="D253" s="62" t="s">
        <v>1883</v>
      </c>
      <c r="E253" s="11" t="str">
        <f>HYPERLINK("https://youtu.be/B2dGNBt7dZk?t=3788","channel 1")</f>
        <v>channel 1</v>
      </c>
    </row>
    <row r="254">
      <c r="B254" s="61" t="s">
        <v>1699</v>
      </c>
      <c r="C254" s="45" t="s">
        <v>248</v>
      </c>
      <c r="D254" s="62" t="s">
        <v>3186</v>
      </c>
      <c r="E254" s="11" t="str">
        <f>HYPERLINK("https://youtu.be/GiUT4PkXnzQ?t=3900","channel 2")</f>
        <v>channel 2</v>
      </c>
    </row>
    <row r="255">
      <c r="B255" s="62" t="s">
        <v>3186</v>
      </c>
      <c r="C255" s="45" t="s">
        <v>257</v>
      </c>
      <c r="D255" s="62" t="s">
        <v>2933</v>
      </c>
      <c r="E255" s="11" t="str">
        <f>HYPERLINK("https://youtu.be/B2dGNBt7dZk?t=4743","channel 1")</f>
        <v>channel 1</v>
      </c>
    </row>
    <row r="256">
      <c r="B256" s="61" t="s">
        <v>1699</v>
      </c>
      <c r="C256" s="45" t="s">
        <v>531</v>
      </c>
      <c r="D256" s="62" t="s">
        <v>1883</v>
      </c>
      <c r="E256" s="11" t="str">
        <f>HYPERLINK("https://youtu.be/GiUT4PkXnzQ?t=4812","channel 2")</f>
        <v>channel 2</v>
      </c>
    </row>
    <row r="257">
      <c r="B257" s="62" t="s">
        <v>2933</v>
      </c>
      <c r="C257" s="45" t="s">
        <v>41</v>
      </c>
      <c r="D257" s="62" t="s">
        <v>3028</v>
      </c>
      <c r="E257" s="11" t="str">
        <f>HYPERLINK("https://youtu.be/B2dGNBt7dZk?t=5695","channel 1")</f>
        <v>channel 1</v>
      </c>
    </row>
    <row r="258">
      <c r="B258" s="62" t="s">
        <v>3186</v>
      </c>
      <c r="C258" s="45" t="s">
        <v>3187</v>
      </c>
      <c r="D258" s="62" t="s">
        <v>1883</v>
      </c>
      <c r="E258" s="11" t="str">
        <f>HYPERLINK("https://youtu.be/GiUT4PkXnzQ?t=5787","channel 2")</f>
        <v>channel 2</v>
      </c>
    </row>
    <row r="259">
      <c r="B259" s="61" t="s">
        <v>1699</v>
      </c>
      <c r="C259" s="45" t="s">
        <v>1619</v>
      </c>
      <c r="D259" s="62" t="s">
        <v>3028</v>
      </c>
      <c r="E259" s="11" t="str">
        <f>HYPERLINK("https://youtu.be/B2dGNBt7dZk?t=6634","channel 1")</f>
        <v>channel 1</v>
      </c>
    </row>
    <row r="260">
      <c r="B260" s="62" t="s">
        <v>2933</v>
      </c>
      <c r="C260" s="45" t="s">
        <v>271</v>
      </c>
      <c r="D260" s="62" t="s">
        <v>1883</v>
      </c>
      <c r="E260" s="11" t="str">
        <f>HYPERLINK("https://youtu.be/GiUT4PkXnzQ?t=6751","channel 2")</f>
        <v>channel 2</v>
      </c>
    </row>
    <row r="261">
      <c r="B261" s="62" t="s">
        <v>3186</v>
      </c>
      <c r="C261" s="45" t="s">
        <v>182</v>
      </c>
      <c r="D261" s="62" t="s">
        <v>3028</v>
      </c>
      <c r="E261" s="11" t="str">
        <f>HYPERLINK("https://youtu.be/B2dGNBt7dZk?t=7602","channel 1")</f>
        <v>channel 1</v>
      </c>
    </row>
    <row r="262">
      <c r="B262" s="62" t="s">
        <v>2933</v>
      </c>
      <c r="C262" s="45" t="s">
        <v>162</v>
      </c>
      <c r="D262" s="61" t="s">
        <v>1699</v>
      </c>
      <c r="E262" s="11" t="str">
        <f>HYPERLINK("https://youtu.be/GiUT4PkXnzQ?t=7716","channel 2")</f>
        <v>channel 2</v>
      </c>
    </row>
    <row r="263">
      <c r="B263" s="62" t="s">
        <v>1883</v>
      </c>
      <c r="C263" s="45" t="s">
        <v>1173</v>
      </c>
      <c r="D263" s="62" t="s">
        <v>3028</v>
      </c>
      <c r="E263" s="11" t="str">
        <f>HYPERLINK("https://youtu.be/B2dGNBt7dZk?t=8519","channel 1")</f>
        <v>channel 1</v>
      </c>
    </row>
    <row r="264">
      <c r="B264" s="62" t="s">
        <v>3186</v>
      </c>
      <c r="C264" s="45" t="s">
        <v>181</v>
      </c>
      <c r="D264" s="61" t="s">
        <v>1699</v>
      </c>
      <c r="E264" s="11" t="str">
        <f>HYPERLINK("https://youtu.be/GiUT4PkXnzQ?t=8664","channel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2195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2492</v>
      </c>
      <c r="C3" s="45" t="s">
        <v>24</v>
      </c>
      <c r="D3" s="62" t="s">
        <v>3095</v>
      </c>
      <c r="E3" s="120" t="str">
        <f>HYPERLINK("https://youtu.be/e2LU78RoSWE","channel 1")</f>
        <v>channel 1</v>
      </c>
    </row>
    <row r="4">
      <c r="A4" s="90"/>
      <c r="B4" s="62" t="s">
        <v>3188</v>
      </c>
      <c r="C4" s="45" t="s">
        <v>290</v>
      </c>
      <c r="D4" s="61" t="s">
        <v>2634</v>
      </c>
      <c r="E4" s="120" t="str">
        <f>HYPERLINK("https://youtu.be/2yabTlmKLro","channel 2")</f>
        <v>channel 2</v>
      </c>
    </row>
    <row r="5">
      <c r="A5" s="90"/>
      <c r="B5" s="62" t="s">
        <v>1904</v>
      </c>
      <c r="C5" s="45" t="s">
        <v>693</v>
      </c>
      <c r="D5" s="62" t="s">
        <v>2492</v>
      </c>
      <c r="E5" s="120" t="str">
        <f>HYPERLINK("https://youtu.be/e2LU78RoSWE?t=1032","channel 1")</f>
        <v>channel 1</v>
      </c>
    </row>
    <row r="6">
      <c r="A6" s="90"/>
      <c r="B6" s="62" t="s">
        <v>3188</v>
      </c>
      <c r="C6" s="45" t="s">
        <v>292</v>
      </c>
      <c r="D6" s="62" t="s">
        <v>3095</v>
      </c>
      <c r="E6" s="120" t="str">
        <f>HYPERLINK("https://youtu.be/2yabTlmKLro?t=1110","channel 2")</f>
        <v>channel 2</v>
      </c>
    </row>
    <row r="7">
      <c r="A7" s="90"/>
      <c r="B7" s="62" t="s">
        <v>1904</v>
      </c>
      <c r="C7" s="45" t="s">
        <v>292</v>
      </c>
      <c r="D7" s="61" t="s">
        <v>2634</v>
      </c>
      <c r="E7" s="120" t="str">
        <f>HYPERLINK("https://youtu.be/e2LU78RoSWE?t=2005","channel 1")</f>
        <v>channel 1</v>
      </c>
    </row>
    <row r="8">
      <c r="A8" s="90"/>
      <c r="B8" s="62" t="s">
        <v>3188</v>
      </c>
      <c r="C8" s="45" t="s">
        <v>281</v>
      </c>
      <c r="D8" s="62" t="s">
        <v>2492</v>
      </c>
      <c r="E8" s="120" t="str">
        <f>HYPERLINK("https://youtu.be/2yabTlmKLro?t=2053","channel 2")</f>
        <v>channel 2</v>
      </c>
    </row>
    <row r="9">
      <c r="A9" s="90"/>
      <c r="B9" s="62" t="s">
        <v>1904</v>
      </c>
      <c r="C9" s="45" t="s">
        <v>210</v>
      </c>
      <c r="D9" s="62" t="s">
        <v>3095</v>
      </c>
      <c r="E9" s="120" t="str">
        <f>HYPERLINK("https://youtu.be/e2LU78RoSWE?t=2886","channel 1")</f>
        <v>channel 1</v>
      </c>
    </row>
    <row r="10">
      <c r="A10" s="90"/>
      <c r="B10" s="61" t="s">
        <v>2634</v>
      </c>
      <c r="C10" s="45" t="s">
        <v>158</v>
      </c>
      <c r="D10" s="62" t="s">
        <v>2492</v>
      </c>
      <c r="E10" s="120" t="str">
        <f>HYPERLINK("https://youtu.be/2yabTlmKLro?t=2981","channel 2")</f>
        <v>channel 2</v>
      </c>
    </row>
    <row r="11">
      <c r="A11" s="90"/>
      <c r="B11" s="62" t="s">
        <v>1904</v>
      </c>
      <c r="C11" s="45" t="s">
        <v>316</v>
      </c>
      <c r="D11" s="62" t="s">
        <v>3188</v>
      </c>
      <c r="E11" s="120" t="str">
        <f>HYPERLINK("https://youtu.be/e2LU78RoSWE?t=3840","channel 1")</f>
        <v>channel 1</v>
      </c>
    </row>
    <row r="12">
      <c r="A12" s="90"/>
      <c r="B12" s="61" t="s">
        <v>2634</v>
      </c>
      <c r="C12" s="45" t="s">
        <v>23</v>
      </c>
      <c r="D12" s="62" t="s">
        <v>3095</v>
      </c>
      <c r="E12" s="120" t="str">
        <f>HYPERLINK("https://youtu.be/2yabTlmKLro?t=3935","channel 2")</f>
        <v>channel 2</v>
      </c>
    </row>
    <row r="13">
      <c r="A13" s="90"/>
      <c r="B13" s="62" t="s">
        <v>3095</v>
      </c>
      <c r="C13" s="45" t="s">
        <v>7</v>
      </c>
      <c r="D13" s="62" t="s">
        <v>2492</v>
      </c>
      <c r="E13" s="120" t="str">
        <f>HYPERLINK("https://youtu.be/e2LU78RoSWE?t=4805","channel 1")</f>
        <v>channel 1</v>
      </c>
    </row>
    <row r="14">
      <c r="A14" s="90"/>
      <c r="B14" s="61" t="s">
        <v>2634</v>
      </c>
      <c r="C14" s="45" t="s">
        <v>166</v>
      </c>
      <c r="D14" s="62" t="s">
        <v>3188</v>
      </c>
      <c r="E14" s="120" t="str">
        <f>HYPERLINK("https://youtu.be/2yabTlmKLro?t=4866","channel 2")</f>
        <v>channel 2</v>
      </c>
    </row>
    <row r="15">
      <c r="A15" s="90"/>
      <c r="B15" s="62" t="s">
        <v>2492</v>
      </c>
      <c r="C15" s="45" t="s">
        <v>23</v>
      </c>
      <c r="D15" s="62" t="s">
        <v>1904</v>
      </c>
      <c r="E15" s="120" t="str">
        <f>HYPERLINK("https://youtu.be/e2LU78RoSWE?t=5737","channel 1")</f>
        <v>channel 1</v>
      </c>
    </row>
    <row r="16">
      <c r="A16" s="90"/>
      <c r="B16" s="62" t="s">
        <v>3095</v>
      </c>
      <c r="C16" s="45" t="s">
        <v>44</v>
      </c>
      <c r="D16" s="62" t="s">
        <v>3188</v>
      </c>
      <c r="E16" s="120" t="str">
        <f>HYPERLINK("https://youtu.be/2yabTlmKLro?t=5783","channel 2")</f>
        <v>channel 2</v>
      </c>
    </row>
    <row r="17">
      <c r="A17" s="90"/>
      <c r="B17" s="61" t="s">
        <v>2634</v>
      </c>
      <c r="C17" s="45" t="s">
        <v>507</v>
      </c>
      <c r="D17" s="62" t="s">
        <v>1904</v>
      </c>
      <c r="E17" s="120" t="str">
        <f>HYPERLINK("https://youtu.be/e2LU78RoSWE?t=6667","channel 1")</f>
        <v>channel 1</v>
      </c>
    </row>
    <row r="18">
      <c r="A18" s="90"/>
      <c r="B18" s="62" t="s">
        <v>2492</v>
      </c>
      <c r="C18" s="45" t="s">
        <v>244</v>
      </c>
      <c r="D18" s="62" t="s">
        <v>3188</v>
      </c>
      <c r="E18" s="120" t="str">
        <f>HYPERLINK("https://youtu.be/2yabTlmKLro?t=6710","channel 2")</f>
        <v>channel 2</v>
      </c>
    </row>
    <row r="19">
      <c r="A19" s="90"/>
      <c r="B19" s="62" t="s">
        <v>3095</v>
      </c>
      <c r="C19" s="45" t="s">
        <v>160</v>
      </c>
      <c r="D19" s="62" t="s">
        <v>1904</v>
      </c>
      <c r="E19" s="120" t="str">
        <f>HYPERLINK("https://youtu.be/e2LU78RoSWE?t=7582","channel 1")</f>
        <v>channel 1</v>
      </c>
    </row>
    <row r="20">
      <c r="A20" s="90"/>
      <c r="B20" s="62" t="s">
        <v>2492</v>
      </c>
      <c r="C20" s="45" t="s">
        <v>17</v>
      </c>
      <c r="D20" s="61" t="s">
        <v>2634</v>
      </c>
      <c r="E20" s="120" t="str">
        <f>HYPERLINK("https://youtu.be/2yabTlmKLro?t=7679","channel 2")</f>
        <v>channel 2</v>
      </c>
    </row>
    <row r="21">
      <c r="A21" s="90"/>
      <c r="B21" s="62" t="s">
        <v>3188</v>
      </c>
      <c r="C21" s="45" t="s">
        <v>232</v>
      </c>
      <c r="D21" s="62" t="s">
        <v>1904</v>
      </c>
      <c r="E21" s="120" t="str">
        <f>HYPERLINK("https://youtu.be/e2LU78RoSWE?t=8532","channel 1")</f>
        <v>channel 1</v>
      </c>
    </row>
    <row r="22">
      <c r="A22" s="90"/>
      <c r="B22" s="62" t="s">
        <v>3095</v>
      </c>
      <c r="C22" s="45" t="s">
        <v>545</v>
      </c>
      <c r="D22" s="61" t="s">
        <v>2634</v>
      </c>
      <c r="E22" s="120" t="str">
        <f>HYPERLINK("https://youtu.be/2yabTlmKLro?t=8619","channel 2")</f>
        <v>channel 2</v>
      </c>
    </row>
    <row r="23">
      <c r="A23" s="90"/>
      <c r="B23" s="96" t="s">
        <v>3189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2060</v>
      </c>
      <c r="C25" s="45" t="s">
        <v>18</v>
      </c>
      <c r="D25" s="62" t="s">
        <v>3190</v>
      </c>
      <c r="E25" s="11" t="str">
        <f>HYPERLINK("https://youtu.be/ioWnzSmhmUQ","channel 1")</f>
        <v>channel 1</v>
      </c>
    </row>
    <row r="26">
      <c r="A26" s="90"/>
      <c r="B26" s="62" t="s">
        <v>3191</v>
      </c>
      <c r="C26" s="45" t="s">
        <v>203</v>
      </c>
      <c r="D26" s="61" t="s">
        <v>3192</v>
      </c>
      <c r="E26" s="11" t="str">
        <f>HYPERLINK("https://youtu.be/s17drWLvF90","channel 2")</f>
        <v>channel 2</v>
      </c>
    </row>
    <row r="27">
      <c r="A27" s="90"/>
      <c r="B27" s="62" t="s">
        <v>3153</v>
      </c>
      <c r="C27" s="45" t="s">
        <v>210</v>
      </c>
      <c r="D27" s="62" t="s">
        <v>2060</v>
      </c>
      <c r="E27" s="11" t="str">
        <f>HYPERLINK("https://youtu.be/ioWnzSmhmUQ?t=1023","channel 1")</f>
        <v>channel 1</v>
      </c>
    </row>
    <row r="28">
      <c r="A28" s="90"/>
      <c r="B28" s="62" t="s">
        <v>3191</v>
      </c>
      <c r="C28" s="45" t="s">
        <v>291</v>
      </c>
      <c r="D28" s="62" t="s">
        <v>3190</v>
      </c>
      <c r="E28" s="11" t="str">
        <f>HYPERLINK("https://youtu.be/s17drWLvF90?t=1098","channel 2")</f>
        <v>channel 2</v>
      </c>
    </row>
    <row r="29">
      <c r="A29" s="90"/>
      <c r="B29" s="62" t="s">
        <v>3153</v>
      </c>
      <c r="C29" s="45" t="s">
        <v>18</v>
      </c>
      <c r="D29" s="61" t="s">
        <v>3192</v>
      </c>
      <c r="E29" s="11" t="str">
        <f>HYPERLINK("https://youtu.be/ioWnzSmhmUQ?t=1966","channel 1")</f>
        <v>channel 1</v>
      </c>
    </row>
    <row r="30">
      <c r="A30" s="90"/>
      <c r="B30" s="62" t="s">
        <v>3191</v>
      </c>
      <c r="C30" s="45" t="s">
        <v>279</v>
      </c>
      <c r="D30" s="62" t="s">
        <v>2060</v>
      </c>
      <c r="E30" s="11" t="str">
        <f>HYPERLINK("https://youtu.be/s17drWLvF90?t=2042","channel 2")</f>
        <v>channel 2</v>
      </c>
    </row>
    <row r="31">
      <c r="A31" s="90"/>
      <c r="B31" s="62" t="s">
        <v>3153</v>
      </c>
      <c r="C31" s="45" t="s">
        <v>209</v>
      </c>
      <c r="D31" s="62" t="s">
        <v>3190</v>
      </c>
      <c r="E31" s="11" t="str">
        <f>HYPERLINK("https://youtu.be/ioWnzSmhmUQ?t=2897","channel 1")</f>
        <v>channel 1</v>
      </c>
    </row>
    <row r="32">
      <c r="A32" s="90"/>
      <c r="B32" s="61" t="s">
        <v>3192</v>
      </c>
      <c r="C32" s="45" t="s">
        <v>20</v>
      </c>
      <c r="D32" s="62" t="s">
        <v>2060</v>
      </c>
      <c r="E32" s="11" t="str">
        <f>HYPERLINK("https://youtu.be/s17drWLvF90?t=2986","channel 2")</f>
        <v>channel 2</v>
      </c>
    </row>
    <row r="33">
      <c r="A33" s="90"/>
      <c r="B33" s="62" t="s">
        <v>3153</v>
      </c>
      <c r="C33" s="45" t="s">
        <v>290</v>
      </c>
      <c r="D33" s="62" t="s">
        <v>3191</v>
      </c>
      <c r="E33" s="11" t="str">
        <f>HYPERLINK("https://youtu.be/ioWnzSmhmUQ?t=3865","channel 1")</f>
        <v>channel 1</v>
      </c>
    </row>
    <row r="34">
      <c r="A34" s="90"/>
      <c r="B34" s="61" t="s">
        <v>3192</v>
      </c>
      <c r="C34" s="45" t="s">
        <v>155</v>
      </c>
      <c r="D34" s="62" t="s">
        <v>3190</v>
      </c>
      <c r="E34" s="11" t="str">
        <f>HYPERLINK("https://youtu.be/s17drWLvF90?t=3922","channel 2")</f>
        <v>channel 2</v>
      </c>
    </row>
    <row r="35">
      <c r="A35" s="90"/>
      <c r="B35" s="62" t="s">
        <v>3190</v>
      </c>
      <c r="C35" s="45" t="s">
        <v>193</v>
      </c>
      <c r="D35" s="62" t="s">
        <v>2060</v>
      </c>
      <c r="E35" s="11" t="str">
        <f>HYPERLINK("https://youtu.be/ioWnzSmhmUQ?t=4783","channel 1")</f>
        <v>channel 1</v>
      </c>
    </row>
    <row r="36">
      <c r="A36" s="90"/>
      <c r="B36" s="61" t="s">
        <v>3192</v>
      </c>
      <c r="C36" s="45" t="s">
        <v>1553</v>
      </c>
      <c r="D36" s="62" t="s">
        <v>3191</v>
      </c>
      <c r="E36" s="11" t="str">
        <f>HYPERLINK("https://youtu.be/s17drWLvF90?t=4847","channel 2")</f>
        <v>channel 2</v>
      </c>
    </row>
    <row r="37">
      <c r="A37" s="90"/>
      <c r="B37" s="62" t="s">
        <v>2060</v>
      </c>
      <c r="C37" s="45" t="s">
        <v>158</v>
      </c>
      <c r="D37" s="62" t="s">
        <v>3153</v>
      </c>
      <c r="E37" s="11" t="str">
        <f>HYPERLINK("https://youtu.be/ioWnzSmhmUQ?t=5706","channel 1")</f>
        <v>channel 1</v>
      </c>
    </row>
    <row r="38">
      <c r="A38" s="90"/>
      <c r="B38" s="62" t="s">
        <v>3190</v>
      </c>
      <c r="C38" s="45" t="s">
        <v>31</v>
      </c>
      <c r="D38" s="62" t="s">
        <v>3191</v>
      </c>
      <c r="E38" s="11" t="str">
        <f>HYPERLINK("https://youtu.be/s17drWLvF90?t=5769","channel 2")</f>
        <v>channel 2</v>
      </c>
    </row>
    <row r="39">
      <c r="A39" s="90"/>
      <c r="B39" s="61" t="s">
        <v>3192</v>
      </c>
      <c r="C39" s="45" t="s">
        <v>381</v>
      </c>
      <c r="D39" s="62" t="s">
        <v>3153</v>
      </c>
      <c r="E39" s="11" t="str">
        <f>HYPERLINK("https://youtu.be/ioWnzSmhmUQ?t=6620","channel 1")</f>
        <v>channel 1</v>
      </c>
    </row>
    <row r="40">
      <c r="A40" s="90"/>
      <c r="B40" s="62" t="s">
        <v>2060</v>
      </c>
      <c r="C40" s="45" t="s">
        <v>17</v>
      </c>
      <c r="D40" s="62" t="s">
        <v>3191</v>
      </c>
      <c r="E40" s="11" t="str">
        <f>HYPERLINK("https://youtu.be/s17drWLvF90?t=6674","channel 2")</f>
        <v>channel 2</v>
      </c>
    </row>
    <row r="41">
      <c r="A41" s="90"/>
      <c r="B41" s="62" t="s">
        <v>3190</v>
      </c>
      <c r="C41" s="45" t="s">
        <v>196</v>
      </c>
      <c r="D41" s="62" t="s">
        <v>3153</v>
      </c>
      <c r="E41" s="11" t="str">
        <f>HYPERLINK("https://youtu.be/ioWnzSmhmUQ?t=7575","channel 1")</f>
        <v>channel 1</v>
      </c>
    </row>
    <row r="42">
      <c r="A42" s="90"/>
      <c r="B42" s="62" t="s">
        <v>2060</v>
      </c>
      <c r="C42" s="45" t="s">
        <v>257</v>
      </c>
      <c r="D42" s="61" t="s">
        <v>3192</v>
      </c>
      <c r="E42" s="11" t="str">
        <f>HYPERLINK("https://youtu.be/s17drWLvF90?t=7588","channel 2")</f>
        <v>channel 2</v>
      </c>
    </row>
    <row r="43">
      <c r="A43" s="90"/>
      <c r="B43" s="62" t="s">
        <v>3191</v>
      </c>
      <c r="C43" s="45" t="s">
        <v>3193</v>
      </c>
      <c r="D43" s="62" t="s">
        <v>3153</v>
      </c>
      <c r="E43" s="11" t="str">
        <f>HYPERLINK("https://youtu.be/ioWnzSmhmUQ?t=8458","channel 1")</f>
        <v>channel 1</v>
      </c>
    </row>
    <row r="44">
      <c r="A44" s="91"/>
      <c r="B44" s="62" t="s">
        <v>3190</v>
      </c>
      <c r="C44" s="45" t="s">
        <v>196</v>
      </c>
      <c r="D44" s="61" t="s">
        <v>3192</v>
      </c>
      <c r="E44" s="11" t="str">
        <f>HYPERLINK("https://youtu.be/s17drWLvF90?t=8597","channel 2")</f>
        <v>channel 2</v>
      </c>
    </row>
    <row r="45">
      <c r="B45" s="96" t="s">
        <v>2998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1152</v>
      </c>
      <c r="C47" s="45" t="s">
        <v>162</v>
      </c>
      <c r="D47" s="62" t="s">
        <v>3194</v>
      </c>
      <c r="E47" s="11" t="str">
        <f>HYPERLINK("https://youtu.be/WeBgqusHjEg","channel 1")</f>
        <v>channel 1</v>
      </c>
    </row>
    <row r="48">
      <c r="B48" s="62" t="s">
        <v>3195</v>
      </c>
      <c r="C48" s="45" t="s">
        <v>233</v>
      </c>
      <c r="D48" s="61" t="s">
        <v>135</v>
      </c>
      <c r="E48" s="11" t="str">
        <f>HYPERLINK("https://youtu.be/p5fcIXT4FHs","channel 2")</f>
        <v>channel 2</v>
      </c>
    </row>
    <row r="49">
      <c r="B49" s="62" t="s">
        <v>629</v>
      </c>
      <c r="C49" s="45" t="s">
        <v>17</v>
      </c>
      <c r="D49" s="62" t="s">
        <v>1152</v>
      </c>
      <c r="E49" s="11" t="str">
        <f>HYPERLINK("https://youtu.be/WeBgqusHjEg?t=1008","channel 1")</f>
        <v>channel 1</v>
      </c>
    </row>
    <row r="50">
      <c r="B50" s="62" t="s">
        <v>3195</v>
      </c>
      <c r="C50" s="45" t="s">
        <v>554</v>
      </c>
      <c r="D50" s="62" t="s">
        <v>3194</v>
      </c>
      <c r="E50" s="11" t="str">
        <f>HYPERLINK("https://youtu.be/p5fcIXT4FHs?t=1089","channel 2")</f>
        <v>channel 2</v>
      </c>
    </row>
    <row r="51">
      <c r="B51" s="62" t="s">
        <v>629</v>
      </c>
      <c r="C51" s="45" t="s">
        <v>158</v>
      </c>
      <c r="D51" s="61" t="s">
        <v>135</v>
      </c>
      <c r="E51" s="11" t="str">
        <f>HYPERLINK("https://youtu.be/WeBgqusHjEg?t=1989","channel 1")</f>
        <v>channel 1</v>
      </c>
    </row>
    <row r="52">
      <c r="B52" s="62" t="s">
        <v>3195</v>
      </c>
      <c r="C52" s="45" t="s">
        <v>575</v>
      </c>
      <c r="D52" s="62" t="s">
        <v>1152</v>
      </c>
      <c r="E52" s="11" t="str">
        <f>HYPERLINK("https://youtu.be/p5fcIXT4FHs?t=2037","channel 2")</f>
        <v>channel 2</v>
      </c>
    </row>
    <row r="53">
      <c r="B53" s="62" t="s">
        <v>629</v>
      </c>
      <c r="C53" s="45" t="s">
        <v>181</v>
      </c>
      <c r="D53" s="62" t="s">
        <v>3194</v>
      </c>
      <c r="E53" s="11" t="str">
        <f>HYPERLINK("https://youtu.be/WeBgqusHjEg?t=2886","channel 1")</f>
        <v>channel 1</v>
      </c>
    </row>
    <row r="54">
      <c r="B54" s="61" t="s">
        <v>135</v>
      </c>
      <c r="C54" s="45" t="s">
        <v>7</v>
      </c>
      <c r="D54" s="62" t="s">
        <v>1152</v>
      </c>
      <c r="E54" s="11" t="str">
        <f>HYPERLINK("https://youtu.be/p5fcIXT4FHs?t=2984","channel 2")</f>
        <v>channel 2</v>
      </c>
    </row>
    <row r="55">
      <c r="B55" s="62" t="s">
        <v>629</v>
      </c>
      <c r="C55" s="45" t="s">
        <v>657</v>
      </c>
      <c r="D55" s="62" t="s">
        <v>3195</v>
      </c>
      <c r="E55" s="11" t="str">
        <f>HYPERLINK("https://youtu.be/WeBgqusHjEg?t=3799","channel 1")</f>
        <v>channel 1</v>
      </c>
    </row>
    <row r="56">
      <c r="B56" s="61" t="s">
        <v>135</v>
      </c>
      <c r="C56" s="45" t="s">
        <v>248</v>
      </c>
      <c r="D56" s="62" t="s">
        <v>3194</v>
      </c>
      <c r="E56" s="11" t="str">
        <f>HYPERLINK("https://youtu.be/p5fcIXT4FHs?t=4013","channel 2")</f>
        <v>channel 2</v>
      </c>
    </row>
    <row r="57">
      <c r="B57" s="62" t="s">
        <v>3194</v>
      </c>
      <c r="C57" s="45" t="s">
        <v>208</v>
      </c>
      <c r="D57" s="62" t="s">
        <v>1152</v>
      </c>
      <c r="E57" s="11" t="str">
        <f>HYPERLINK("https://youtu.be/WeBgqusHjEg?t=4898","channel 1")</f>
        <v>channel 1</v>
      </c>
    </row>
    <row r="58">
      <c r="B58" s="61" t="s">
        <v>135</v>
      </c>
      <c r="C58" s="45" t="s">
        <v>165</v>
      </c>
      <c r="D58" s="62" t="s">
        <v>3195</v>
      </c>
      <c r="E58" s="11" t="str">
        <f>HYPERLINK("https://youtu.be/p5fcIXT4FHs?t=4966","channel 2")</f>
        <v>channel 2</v>
      </c>
    </row>
    <row r="59">
      <c r="B59" s="62" t="s">
        <v>1152</v>
      </c>
      <c r="C59" s="45" t="s">
        <v>210</v>
      </c>
      <c r="D59" s="62" t="s">
        <v>629</v>
      </c>
      <c r="E59" s="11" t="str">
        <f>HYPERLINK("https://youtu.be/WeBgqusHjEg?t=5800","channel 1")</f>
        <v>channel 1</v>
      </c>
    </row>
    <row r="60">
      <c r="B60" s="62" t="s">
        <v>3194</v>
      </c>
      <c r="C60" s="45" t="s">
        <v>3092</v>
      </c>
      <c r="D60" s="62" t="s">
        <v>3195</v>
      </c>
      <c r="E60" s="11" t="str">
        <f>HYPERLINK("https://youtu.be/p5fcIXT4FHs?t=5894","channel 2")</f>
        <v>channel 2</v>
      </c>
    </row>
    <row r="61">
      <c r="B61" s="61" t="s">
        <v>135</v>
      </c>
      <c r="C61" s="45" t="s">
        <v>219</v>
      </c>
      <c r="D61" s="62" t="s">
        <v>629</v>
      </c>
      <c r="E61" s="11" t="str">
        <f>HYPERLINK("https://youtu.be/WeBgqusHjEg?t=6703","channel 1")</f>
        <v>channel 1</v>
      </c>
    </row>
    <row r="62">
      <c r="B62" s="62" t="s">
        <v>1152</v>
      </c>
      <c r="C62" s="45" t="s">
        <v>41</v>
      </c>
      <c r="D62" s="62" t="s">
        <v>3195</v>
      </c>
      <c r="E62" s="11" t="str">
        <f>HYPERLINK("https://youtu.be/p5fcIXT4FHs?t=6827","channel 2")</f>
        <v>channel 2</v>
      </c>
    </row>
    <row r="63">
      <c r="B63" s="62" t="s">
        <v>3194</v>
      </c>
      <c r="C63" s="45" t="s">
        <v>17</v>
      </c>
      <c r="D63" s="62" t="s">
        <v>629</v>
      </c>
      <c r="E63" s="11" t="str">
        <f>HYPERLINK("https://youtu.be/WeBgqusHjEg?t=7661","channel 1")</f>
        <v>channel 1</v>
      </c>
    </row>
    <row r="64">
      <c r="B64" s="62" t="s">
        <v>1152</v>
      </c>
      <c r="C64" s="45" t="s">
        <v>17</v>
      </c>
      <c r="D64" s="61" t="s">
        <v>135</v>
      </c>
      <c r="E64" s="11" t="str">
        <f>HYPERLINK("https://youtu.be/p5fcIXT4FHs?t=7734","channel 2")</f>
        <v>channel 2</v>
      </c>
    </row>
    <row r="65">
      <c r="B65" s="62" t="s">
        <v>3195</v>
      </c>
      <c r="C65" s="45" t="s">
        <v>301</v>
      </c>
      <c r="D65" s="62" t="s">
        <v>629</v>
      </c>
      <c r="E65" s="11" t="str">
        <f>HYPERLINK("https://youtu.be/WeBgqusHjEg?t=8541","channel 1")</f>
        <v>channel 1</v>
      </c>
    </row>
    <row r="66">
      <c r="B66" s="62" t="s">
        <v>3194</v>
      </c>
      <c r="C66" s="45" t="s">
        <v>418</v>
      </c>
      <c r="D66" s="61" t="s">
        <v>135</v>
      </c>
      <c r="E66" s="11" t="str">
        <f>HYPERLINK("https://youtu.be/p5fcIXT4FHs?t=8702","channel 2")</f>
        <v>channel 2</v>
      </c>
    </row>
    <row r="67">
      <c r="B67" s="96" t="s">
        <v>2410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506</v>
      </c>
      <c r="C69" s="45" t="s">
        <v>38</v>
      </c>
      <c r="D69" s="62" t="s">
        <v>3196</v>
      </c>
      <c r="E69" s="11" t="str">
        <f>HYPERLINK("https://youtu.be/b9YjSBXKdyA","channel 1")</f>
        <v>channel 1</v>
      </c>
    </row>
    <row r="70">
      <c r="B70" s="62" t="s">
        <v>3197</v>
      </c>
      <c r="C70" s="45" t="s">
        <v>508</v>
      </c>
      <c r="D70" s="61" t="s">
        <v>1735</v>
      </c>
      <c r="E70" s="11" t="str">
        <f>HYPERLINK("https://youtu.be/YY-RI5x9Pcc","channel 2")</f>
        <v>channel 2</v>
      </c>
    </row>
    <row r="71">
      <c r="B71" s="62" t="s">
        <v>59</v>
      </c>
      <c r="C71" s="45" t="s">
        <v>292</v>
      </c>
      <c r="D71" s="62" t="s">
        <v>506</v>
      </c>
      <c r="E71" s="11" t="str">
        <f>HYPERLINK("https://youtu.be/b9YjSBXKdyA?t=925","channel 1")</f>
        <v>channel 1</v>
      </c>
    </row>
    <row r="72">
      <c r="B72" s="62" t="s">
        <v>3197</v>
      </c>
      <c r="C72" s="45" t="s">
        <v>304</v>
      </c>
      <c r="D72" s="62" t="s">
        <v>3196</v>
      </c>
      <c r="E72" s="11" t="str">
        <f>HYPERLINK("https://youtu.be/YY-RI5x9Pcc?t=1105","channel 2")</f>
        <v>channel 2</v>
      </c>
    </row>
    <row r="73">
      <c r="B73" s="62" t="s">
        <v>59</v>
      </c>
      <c r="C73" s="45" t="s">
        <v>44</v>
      </c>
      <c r="D73" s="61" t="s">
        <v>1735</v>
      </c>
      <c r="E73" s="11" t="str">
        <f>HYPERLINK("https://youtu.be/b9YjSBXKdyA?t=1850","channel 1")</f>
        <v>channel 1</v>
      </c>
    </row>
    <row r="74">
      <c r="B74" s="62" t="s">
        <v>3197</v>
      </c>
      <c r="C74" s="45" t="s">
        <v>177</v>
      </c>
      <c r="D74" s="62" t="s">
        <v>506</v>
      </c>
      <c r="E74" s="11" t="str">
        <f>HYPERLINK("https://youtu.be/YY-RI5x9Pcc?t=2037","channel 2")</f>
        <v>channel 2</v>
      </c>
    </row>
    <row r="75">
      <c r="B75" s="62" t="s">
        <v>59</v>
      </c>
      <c r="C75" s="45" t="s">
        <v>210</v>
      </c>
      <c r="D75" s="62" t="s">
        <v>3196</v>
      </c>
      <c r="E75" s="11" t="str">
        <f>HYPERLINK("https://youtu.be/b9YjSBXKdyA?t=2792","channel 1")</f>
        <v>channel 1</v>
      </c>
    </row>
    <row r="76">
      <c r="B76" s="61" t="s">
        <v>1735</v>
      </c>
      <c r="C76" s="45" t="s">
        <v>177</v>
      </c>
      <c r="D76" s="62" t="s">
        <v>506</v>
      </c>
      <c r="E76" s="11" t="str">
        <f>HYPERLINK("https://youtu.be/YY-RI5x9Pcc?t=2950","channel 2")</f>
        <v>channel 2</v>
      </c>
    </row>
    <row r="77">
      <c r="B77" s="62" t="s">
        <v>59</v>
      </c>
      <c r="C77" s="45" t="s">
        <v>173</v>
      </c>
      <c r="D77" s="62" t="s">
        <v>3197</v>
      </c>
      <c r="E77" s="11" t="str">
        <f>HYPERLINK("https://youtu.be/b9YjSBXKdyA?t=3745","channel 1")</f>
        <v>channel 1</v>
      </c>
    </row>
    <row r="78">
      <c r="B78" s="61" t="s">
        <v>1735</v>
      </c>
      <c r="C78" s="45" t="s">
        <v>17</v>
      </c>
      <c r="D78" s="62" t="s">
        <v>3196</v>
      </c>
      <c r="E78" s="11" t="str">
        <f>HYPERLINK("https://youtu.be/YY-RI5x9Pcc?t=3856","channel 2")</f>
        <v>channel 2</v>
      </c>
    </row>
    <row r="79">
      <c r="B79" s="62" t="s">
        <v>3196</v>
      </c>
      <c r="C79" s="45" t="s">
        <v>43</v>
      </c>
      <c r="D79" s="62" t="s">
        <v>506</v>
      </c>
      <c r="E79" s="11" t="str">
        <f>HYPERLINK("https://youtu.be/b9YjSBXKdyA?t=4649","channel 1")</f>
        <v>channel 1</v>
      </c>
    </row>
    <row r="80">
      <c r="B80" s="61" t="s">
        <v>1735</v>
      </c>
      <c r="C80" s="45" t="s">
        <v>196</v>
      </c>
      <c r="D80" s="62" t="s">
        <v>3197</v>
      </c>
      <c r="E80" s="11" t="str">
        <f>HYPERLINK("https://youtu.be/YY-RI5x9Pcc?t=4792","channel 2")</f>
        <v>channel 2</v>
      </c>
    </row>
    <row r="81">
      <c r="B81" s="62" t="s">
        <v>506</v>
      </c>
      <c r="C81" s="45" t="s">
        <v>158</v>
      </c>
      <c r="D81" s="62" t="s">
        <v>59</v>
      </c>
      <c r="E81" s="11" t="str">
        <f>HYPERLINK("https://youtu.be/b9YjSBXKdyA?t=5684","channel 1")</f>
        <v>channel 1</v>
      </c>
    </row>
    <row r="82">
      <c r="B82" s="62" t="s">
        <v>3196</v>
      </c>
      <c r="C82" s="45" t="s">
        <v>24</v>
      </c>
      <c r="D82" s="62" t="s">
        <v>3197</v>
      </c>
      <c r="E82" s="11" t="str">
        <f>HYPERLINK("https://youtu.be/YY-RI5x9Pcc?t=5846","channel 2")</f>
        <v>channel 2</v>
      </c>
    </row>
    <row r="83">
      <c r="B83" s="61" t="s">
        <v>1735</v>
      </c>
      <c r="C83" s="45" t="s">
        <v>219</v>
      </c>
      <c r="D83" s="62" t="s">
        <v>59</v>
      </c>
      <c r="E83" s="11" t="str">
        <f>HYPERLINK("https://youtu.be/b9YjSBXKdyA?t=6587","channel 1")</f>
        <v>channel 1</v>
      </c>
    </row>
    <row r="84">
      <c r="B84" s="62" t="s">
        <v>506</v>
      </c>
      <c r="C84" s="45" t="s">
        <v>342</v>
      </c>
      <c r="D84" s="62" t="s">
        <v>3197</v>
      </c>
      <c r="E84" s="11" t="str">
        <f>HYPERLINK("https://youtu.be/YY-RI5x9Pcc?t=6744","channel 2")</f>
        <v>channel 2</v>
      </c>
    </row>
    <row r="85">
      <c r="B85" s="62" t="s">
        <v>3196</v>
      </c>
      <c r="C85" s="45" t="s">
        <v>7</v>
      </c>
      <c r="D85" s="62" t="s">
        <v>59</v>
      </c>
      <c r="E85" s="11" t="str">
        <f>HYPERLINK("https://youtu.be/b9YjSBXKdyA?t=7580","channel 1")</f>
        <v>channel 1</v>
      </c>
    </row>
    <row r="86">
      <c r="B86" s="62" t="s">
        <v>506</v>
      </c>
      <c r="C86" s="45" t="s">
        <v>18</v>
      </c>
      <c r="D86" s="61" t="s">
        <v>1735</v>
      </c>
      <c r="E86" s="11" t="str">
        <f>HYPERLINK("https://youtu.be/YY-RI5x9Pcc?t=7613","channel 2")</f>
        <v>channel 2</v>
      </c>
    </row>
    <row r="87">
      <c r="B87" s="62" t="s">
        <v>3197</v>
      </c>
      <c r="C87" s="45" t="s">
        <v>7</v>
      </c>
      <c r="D87" s="62" t="s">
        <v>59</v>
      </c>
      <c r="E87" s="11" t="str">
        <f>HYPERLINK("https://youtu.be/b9YjSBXKdyA?t=8518","channel 1")</f>
        <v>channel 1</v>
      </c>
    </row>
    <row r="88">
      <c r="B88" s="62" t="s">
        <v>3196</v>
      </c>
      <c r="C88" s="45" t="s">
        <v>185</v>
      </c>
      <c r="D88" s="61" t="s">
        <v>1735</v>
      </c>
      <c r="E88" s="11" t="str">
        <f>HYPERLINK("https://youtu.be/YY-RI5x9Pcc?t=8546","channel 2")</f>
        <v>channel 2</v>
      </c>
    </row>
    <row r="89">
      <c r="B89" s="96" t="s">
        <v>3198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2699</v>
      </c>
      <c r="C91" s="45" t="s">
        <v>14</v>
      </c>
      <c r="D91" s="62" t="s">
        <v>2146</v>
      </c>
      <c r="E91" s="11" t="str">
        <f>HYPERLINK("https://youtu.be/oLoyHeUlqC8","channel 3")</f>
        <v>channel 3</v>
      </c>
    </row>
    <row r="92">
      <c r="B92" s="62" t="s">
        <v>1257</v>
      </c>
      <c r="C92" s="45" t="s">
        <v>290</v>
      </c>
      <c r="D92" s="61" t="s">
        <v>1505</v>
      </c>
      <c r="E92" s="11" t="str">
        <f>HYPERLINK("https://youtu.be/iluhyls9vPo","channel 4")</f>
        <v>channel 4</v>
      </c>
    </row>
    <row r="93">
      <c r="B93" s="62" t="s">
        <v>3199</v>
      </c>
      <c r="C93" s="45" t="s">
        <v>16</v>
      </c>
      <c r="D93" s="62" t="s">
        <v>2699</v>
      </c>
      <c r="E93" s="11" t="str">
        <f>HYPERLINK("https://youtu.be/oLoyHeUlqC8?t=905","channel 3")</f>
        <v>channel 3</v>
      </c>
    </row>
    <row r="94">
      <c r="B94" s="62" t="s">
        <v>1257</v>
      </c>
      <c r="C94" s="45" t="s">
        <v>3200</v>
      </c>
      <c r="D94" s="62" t="s">
        <v>2146</v>
      </c>
      <c r="E94" s="11" t="str">
        <f>HYPERLINK("https://youtu.be/iluhyls9vPo?t=897","channel 4")</f>
        <v>channel 4</v>
      </c>
    </row>
    <row r="95">
      <c r="B95" s="62" t="s">
        <v>3199</v>
      </c>
      <c r="C95" s="45" t="s">
        <v>292</v>
      </c>
      <c r="D95" s="61" t="s">
        <v>1505</v>
      </c>
      <c r="E95" s="11" t="str">
        <f>HYPERLINK("https://youtu.be/oLoyHeUlqC8?t=1742","channel 3")</f>
        <v>channel 3</v>
      </c>
    </row>
    <row r="96">
      <c r="B96" s="62" t="s">
        <v>1257</v>
      </c>
      <c r="C96" s="45" t="s">
        <v>250</v>
      </c>
      <c r="D96" s="62" t="s">
        <v>2699</v>
      </c>
      <c r="E96" s="11" t="str">
        <f>HYPERLINK("https://youtu.be/iluhyls9vPo?t=1783","channel 4")</f>
        <v>channel 4</v>
      </c>
    </row>
    <row r="97">
      <c r="B97" s="62" t="s">
        <v>3199</v>
      </c>
      <c r="C97" s="45" t="s">
        <v>289</v>
      </c>
      <c r="D97" s="62" t="s">
        <v>2146</v>
      </c>
      <c r="E97" s="11" t="str">
        <f>HYPERLINK("https://youtu.be/oLoyHeUlqC8?t=2535","channel 3")</f>
        <v>channel 3</v>
      </c>
    </row>
    <row r="98">
      <c r="B98" s="61" t="s">
        <v>1505</v>
      </c>
      <c r="C98" s="45" t="s">
        <v>258</v>
      </c>
      <c r="D98" s="62" t="s">
        <v>2699</v>
      </c>
      <c r="E98" s="11" t="str">
        <f>HYPERLINK("https://youtu.be/iluhyls9vPo?t=2663","channel 4")</f>
        <v>channel 4</v>
      </c>
    </row>
    <row r="99">
      <c r="B99" s="62" t="s">
        <v>3199</v>
      </c>
      <c r="C99" s="45" t="s">
        <v>3201</v>
      </c>
      <c r="D99" s="62" t="s">
        <v>1257</v>
      </c>
      <c r="E99" s="11" t="str">
        <f>HYPERLINK("https://youtu.be/oLoyHeUlqC8?t=3347","channel 3")</f>
        <v>channel 3</v>
      </c>
    </row>
    <row r="100">
      <c r="B100" s="61" t="s">
        <v>1505</v>
      </c>
      <c r="C100" s="45" t="s">
        <v>18</v>
      </c>
      <c r="D100" s="62" t="s">
        <v>2146</v>
      </c>
      <c r="E100" s="11" t="str">
        <f>HYPERLINK("https://youtu.be/iluhyls9vPo?t=3515","channel 4")</f>
        <v>channel 4</v>
      </c>
    </row>
    <row r="101">
      <c r="B101" s="62" t="s">
        <v>2146</v>
      </c>
      <c r="C101" s="45" t="s">
        <v>534</v>
      </c>
      <c r="D101" s="62" t="s">
        <v>2699</v>
      </c>
      <c r="E101" s="11" t="str">
        <f>HYPERLINK("https://youtu.be/oLoyHeUlqC8?t=4273","channel 3")</f>
        <v>channel 3</v>
      </c>
    </row>
    <row r="102">
      <c r="B102" s="61" t="s">
        <v>1505</v>
      </c>
      <c r="C102" s="45" t="s">
        <v>20</v>
      </c>
      <c r="D102" s="62" t="s">
        <v>1257</v>
      </c>
      <c r="E102" s="11" t="str">
        <f>HYPERLINK("https://youtu.be/iluhyls9vPo?t=4287","channel 4")</f>
        <v>channel 4</v>
      </c>
    </row>
    <row r="103">
      <c r="B103" s="62" t="s">
        <v>2699</v>
      </c>
      <c r="C103" s="45" t="s">
        <v>168</v>
      </c>
      <c r="D103" s="62" t="s">
        <v>3199</v>
      </c>
      <c r="E103" s="11" t="str">
        <f>HYPERLINK("https://youtu.be/oLoyHeUlqC8?t=5158","channel 3")</f>
        <v>channel 3</v>
      </c>
    </row>
    <row r="104">
      <c r="B104" s="62" t="s">
        <v>2146</v>
      </c>
      <c r="C104" s="45" t="s">
        <v>335</v>
      </c>
      <c r="D104" s="62" t="s">
        <v>1257</v>
      </c>
      <c r="E104" s="11" t="str">
        <f>HYPERLINK("https://youtu.be/iluhyls9vPo?t=5113","channel 4")</f>
        <v>channel 4</v>
      </c>
    </row>
    <row r="105">
      <c r="B105" s="61" t="s">
        <v>1505</v>
      </c>
      <c r="C105" s="45" t="s">
        <v>24</v>
      </c>
      <c r="D105" s="62" t="s">
        <v>3199</v>
      </c>
      <c r="E105" s="11" t="str">
        <f>HYPERLINK("https://youtu.be/oLoyHeUlqC8?t=6024","channel 3")</f>
        <v>channel 3</v>
      </c>
    </row>
    <row r="106">
      <c r="B106" s="62" t="s">
        <v>2699</v>
      </c>
      <c r="C106" s="45" t="s">
        <v>18</v>
      </c>
      <c r="D106" s="62" t="s">
        <v>1257</v>
      </c>
      <c r="E106" s="11" t="str">
        <f>HYPERLINK("https://youtu.be/iluhyls9vPo?t=6013","channel 4")</f>
        <v>channel 4</v>
      </c>
    </row>
    <row r="107">
      <c r="B107" s="62" t="s">
        <v>2146</v>
      </c>
      <c r="C107" s="45" t="s">
        <v>23</v>
      </c>
      <c r="D107" s="62" t="s">
        <v>3199</v>
      </c>
      <c r="E107" s="11" t="str">
        <f>HYPERLINK("https://youtu.be/oLoyHeUlqC8?t=6896","channel 3")</f>
        <v>channel 3</v>
      </c>
    </row>
    <row r="108">
      <c r="B108" s="62" t="s">
        <v>2699</v>
      </c>
      <c r="C108" s="45" t="s">
        <v>940</v>
      </c>
      <c r="D108" s="61" t="s">
        <v>1505</v>
      </c>
      <c r="E108" s="11" t="str">
        <f>HYPERLINK("https://youtu.be/iluhyls9vPo?t=6872","channel 4")</f>
        <v>channel 4</v>
      </c>
    </row>
    <row r="109">
      <c r="B109" s="62" t="s">
        <v>1257</v>
      </c>
      <c r="C109" s="45" t="s">
        <v>165</v>
      </c>
      <c r="D109" s="62" t="s">
        <v>3199</v>
      </c>
      <c r="E109" s="11" t="str">
        <f>HYPERLINK("https://youtu.be/oLoyHeUlqC8?t=7690","channel 3")</f>
        <v>channel 3</v>
      </c>
    </row>
    <row r="110">
      <c r="B110" s="62" t="s">
        <v>2146</v>
      </c>
      <c r="C110" s="45" t="s">
        <v>193</v>
      </c>
      <c r="D110" s="61" t="s">
        <v>1505</v>
      </c>
      <c r="E110" s="11" t="str">
        <f>HYPERLINK("https://youtu.be/iluhyls9vPo?t=7698","channel 4")</f>
        <v>channel 4</v>
      </c>
    </row>
    <row r="111">
      <c r="B111" s="96" t="s">
        <v>2650</v>
      </c>
      <c r="C111" s="2"/>
      <c r="D111" s="3"/>
      <c r="E111" s="5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1981</v>
      </c>
      <c r="C113" s="45" t="s">
        <v>24</v>
      </c>
      <c r="D113" s="62" t="s">
        <v>3202</v>
      </c>
      <c r="E113" s="11" t="str">
        <f>HYPERLINK("https://youtu.be/1mPudCoM_Yo","channel 3")</f>
        <v>channel 3</v>
      </c>
    </row>
    <row r="114">
      <c r="B114" s="62" t="s">
        <v>3203</v>
      </c>
      <c r="C114" s="45" t="s">
        <v>41</v>
      </c>
      <c r="D114" s="61" t="s">
        <v>3137</v>
      </c>
      <c r="E114" s="11" t="str">
        <f>HYPERLINK("https://youtu.be/WxrejWZmu50","channel 4")</f>
        <v>channel 4</v>
      </c>
    </row>
    <row r="115">
      <c r="B115" s="62" t="s">
        <v>3204</v>
      </c>
      <c r="C115" s="45" t="s">
        <v>344</v>
      </c>
      <c r="D115" s="62" t="s">
        <v>1981</v>
      </c>
      <c r="E115" s="11" t="str">
        <f>HYPERLINK("https://youtu.be/1mPudCoM_Yo?t=1025","channel 3")</f>
        <v>channel 3</v>
      </c>
    </row>
    <row r="116">
      <c r="B116" s="62" t="s">
        <v>3203</v>
      </c>
      <c r="C116" s="45" t="s">
        <v>176</v>
      </c>
      <c r="D116" s="62" t="s">
        <v>3202</v>
      </c>
      <c r="E116" s="11" t="str">
        <f>HYPERLINK("https://youtu.be/WxrejWZmu50?t=735","channel 4")</f>
        <v>channel 4</v>
      </c>
    </row>
    <row r="117">
      <c r="B117" s="62" t="s">
        <v>3204</v>
      </c>
      <c r="C117" s="45" t="s">
        <v>301</v>
      </c>
      <c r="D117" s="61" t="s">
        <v>3137</v>
      </c>
      <c r="E117" s="11" t="str">
        <f>HYPERLINK("https://youtu.be/1mPudCoM_Yo?t=1868","channel 3")</f>
        <v>channel 3</v>
      </c>
    </row>
    <row r="118">
      <c r="B118" s="62" t="s">
        <v>3203</v>
      </c>
      <c r="C118" s="45" t="s">
        <v>1402</v>
      </c>
      <c r="D118" s="62" t="s">
        <v>1981</v>
      </c>
      <c r="E118" s="11" t="str">
        <f>HYPERLINK("https://youtu.be/WxrejWZmu50?t=1587","channel 4")</f>
        <v>channel 4</v>
      </c>
    </row>
    <row r="119">
      <c r="B119" s="62" t="s">
        <v>3204</v>
      </c>
      <c r="C119" s="45" t="s">
        <v>23</v>
      </c>
      <c r="D119" s="62" t="s">
        <v>3202</v>
      </c>
      <c r="E119" s="11" t="str">
        <f>HYPERLINK("https://youtu.be/1mPudCoM_Yo?t=2817","channel 3")</f>
        <v>channel 3</v>
      </c>
    </row>
    <row r="120">
      <c r="B120" s="61" t="s">
        <v>3137</v>
      </c>
      <c r="C120" s="45" t="s">
        <v>352</v>
      </c>
      <c r="D120" s="62" t="s">
        <v>1981</v>
      </c>
      <c r="E120" s="11" t="str">
        <f>HYPERLINK("https://youtu.be/WxrejWZmu50?t=2538","channel 4")</f>
        <v>channel 4</v>
      </c>
    </row>
    <row r="121">
      <c r="B121" s="62" t="s">
        <v>3204</v>
      </c>
      <c r="C121" s="45" t="s">
        <v>24</v>
      </c>
      <c r="D121" s="62" t="s">
        <v>3203</v>
      </c>
      <c r="E121" s="11" t="str">
        <f>HYPERLINK("https://youtu.be/1mPudCoM_Yo?t=3665","channel 3")</f>
        <v>channel 3</v>
      </c>
    </row>
    <row r="122">
      <c r="B122" s="61" t="s">
        <v>3137</v>
      </c>
      <c r="C122" s="45" t="s">
        <v>232</v>
      </c>
      <c r="D122" s="62" t="s">
        <v>3202</v>
      </c>
      <c r="E122" s="11" t="str">
        <f>HYPERLINK("https://youtu.be/WxrejWZmu50?t=3430","channel 4")</f>
        <v>channel 4</v>
      </c>
    </row>
    <row r="123">
      <c r="B123" s="62" t="s">
        <v>3202</v>
      </c>
      <c r="C123" s="45" t="s">
        <v>324</v>
      </c>
      <c r="D123" s="62" t="s">
        <v>1981</v>
      </c>
      <c r="E123" s="11" t="str">
        <f>HYPERLINK("https://youtu.be/1mPudCoM_Yo?t=4574","channel 3")</f>
        <v>channel 3</v>
      </c>
    </row>
    <row r="124">
      <c r="B124" s="61" t="s">
        <v>3137</v>
      </c>
      <c r="C124" s="45" t="s">
        <v>271</v>
      </c>
      <c r="D124" s="62" t="s">
        <v>3203</v>
      </c>
      <c r="E124" s="11" t="str">
        <f>HYPERLINK("https://youtu.be/WxrejWZmu50?t=4277","channel 4")</f>
        <v>channel 4</v>
      </c>
    </row>
    <row r="125">
      <c r="B125" s="62" t="s">
        <v>1981</v>
      </c>
      <c r="C125" s="45" t="s">
        <v>158</v>
      </c>
      <c r="D125" s="62" t="s">
        <v>3204</v>
      </c>
      <c r="E125" s="11" t="str">
        <f>HYPERLINK("https://youtu.be/1mPudCoM_Yo?t=5427","channel 3")</f>
        <v>channel 3</v>
      </c>
    </row>
    <row r="126">
      <c r="B126" s="62" t="s">
        <v>3202</v>
      </c>
      <c r="C126" s="45" t="s">
        <v>381</v>
      </c>
      <c r="D126" s="62" t="s">
        <v>3203</v>
      </c>
      <c r="E126" s="11" t="str">
        <f>HYPERLINK("https://youtu.be/WxrejWZmu50?t=5117","channel 4")</f>
        <v>channel 4</v>
      </c>
    </row>
    <row r="127">
      <c r="B127" s="61" t="s">
        <v>3137</v>
      </c>
      <c r="C127" s="45" t="s">
        <v>23</v>
      </c>
      <c r="D127" s="62" t="s">
        <v>3204</v>
      </c>
      <c r="E127" s="11" t="str">
        <f>HYPERLINK("https://youtu.be/1mPudCoM_Yo?t=6386","channel 3")</f>
        <v>channel 3</v>
      </c>
    </row>
    <row r="128">
      <c r="B128" s="62" t="s">
        <v>1981</v>
      </c>
      <c r="C128" s="45" t="s">
        <v>565</v>
      </c>
      <c r="D128" s="62" t="s">
        <v>3203</v>
      </c>
      <c r="E128" s="11" t="str">
        <f>HYPERLINK("https://youtu.be/WxrejWZmu50?t=6144","channel 4")</f>
        <v>channel 4</v>
      </c>
    </row>
    <row r="129">
      <c r="B129" s="62" t="s">
        <v>3202</v>
      </c>
      <c r="C129" s="45" t="s">
        <v>20</v>
      </c>
      <c r="D129" s="62" t="s">
        <v>3204</v>
      </c>
      <c r="E129" s="11" t="str">
        <f>HYPERLINK("https://youtu.be/1mPudCoM_Yo?t=7321","channel 3")</f>
        <v>channel 3</v>
      </c>
    </row>
    <row r="130">
      <c r="B130" s="62" t="s">
        <v>1981</v>
      </c>
      <c r="C130" s="45" t="s">
        <v>557</v>
      </c>
      <c r="D130" s="61" t="s">
        <v>3137</v>
      </c>
      <c r="E130" s="11" t="str">
        <f>HYPERLINK("https://youtu.be/WxrejWZmu50?t=7063","channel 4")</f>
        <v>channel 4</v>
      </c>
    </row>
    <row r="131">
      <c r="B131" s="62" t="s">
        <v>3203</v>
      </c>
      <c r="C131" s="45" t="s">
        <v>454</v>
      </c>
      <c r="D131" s="62" t="s">
        <v>3204</v>
      </c>
      <c r="E131" s="11" t="str">
        <f>HYPERLINK("https://youtu.be/1mPudCoM_Yo?t=8783","channel 3")</f>
        <v>channel 3</v>
      </c>
    </row>
    <row r="132">
      <c r="B132" s="62" t="s">
        <v>3202</v>
      </c>
      <c r="C132" s="45" t="s">
        <v>19</v>
      </c>
      <c r="D132" s="61" t="s">
        <v>3137</v>
      </c>
      <c r="E132" s="11" t="str">
        <f>HYPERLINK("https://youtu.be/WxrejWZmu50?t=8497","channel 4")</f>
        <v>channel 4</v>
      </c>
    </row>
    <row r="133">
      <c r="B133" s="96" t="s">
        <v>3105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3042</v>
      </c>
      <c r="C135" s="45" t="s">
        <v>366</v>
      </c>
      <c r="D135" s="62" t="s">
        <v>3086</v>
      </c>
      <c r="E135" s="11" t="str">
        <f>HYPERLINK("https://youtu.be/lS6MpaFov_k","channel 1")</f>
        <v>channel 1</v>
      </c>
    </row>
    <row r="136">
      <c r="B136" s="62" t="s">
        <v>3205</v>
      </c>
      <c r="C136" s="45" t="s">
        <v>219</v>
      </c>
      <c r="D136" s="61" t="s">
        <v>1050</v>
      </c>
      <c r="E136" s="11" t="str">
        <f>HYPERLINK("https://youtu.be/1sBZV8zqvMQ","channel 2")</f>
        <v>channel 2</v>
      </c>
    </row>
    <row r="137">
      <c r="B137" s="62" t="s">
        <v>1633</v>
      </c>
      <c r="C137" s="45" t="s">
        <v>42</v>
      </c>
      <c r="D137" s="62" t="s">
        <v>3042</v>
      </c>
      <c r="E137" s="11" t="str">
        <f>HYPERLINK("https://youtu.be/lS6MpaFov_k?t=123","channel 1")</f>
        <v>channel 1</v>
      </c>
    </row>
    <row r="138">
      <c r="B138" s="62" t="s">
        <v>3205</v>
      </c>
      <c r="C138" s="45" t="s">
        <v>362</v>
      </c>
      <c r="D138" s="62" t="s">
        <v>3086</v>
      </c>
      <c r="E138" s="11" t="str">
        <f>HYPERLINK("https://youtu.be/1sBZV8zqvMQ?t=1049","channel 2")</f>
        <v>channel 2</v>
      </c>
    </row>
    <row r="139">
      <c r="B139" s="62" t="s">
        <v>1633</v>
      </c>
      <c r="C139" s="45" t="s">
        <v>41</v>
      </c>
      <c r="D139" s="61" t="s">
        <v>1050</v>
      </c>
      <c r="E139" s="11" t="str">
        <f>HYPERLINK("https://youtu.be/lS6MpaFov_k?t=987","channel 1")</f>
        <v>channel 1</v>
      </c>
    </row>
    <row r="140">
      <c r="B140" s="62" t="s">
        <v>3205</v>
      </c>
      <c r="C140" s="45" t="s">
        <v>979</v>
      </c>
      <c r="D140" s="62" t="s">
        <v>3042</v>
      </c>
      <c r="E140" s="11" t="str">
        <f>HYPERLINK("https://youtu.be/1sBZV8zqvMQ?t=1970","channel 2")</f>
        <v>channel 2</v>
      </c>
    </row>
    <row r="141">
      <c r="B141" s="62" t="s">
        <v>1633</v>
      </c>
      <c r="C141" s="45" t="s">
        <v>534</v>
      </c>
      <c r="D141" s="62" t="s">
        <v>3086</v>
      </c>
      <c r="E141" s="11" t="str">
        <f>HYPERLINK("https://youtu.be/lS6MpaFov_k?t=1970","channel 1")</f>
        <v>channel 1</v>
      </c>
    </row>
    <row r="142">
      <c r="B142" s="61" t="s">
        <v>1050</v>
      </c>
      <c r="C142" s="45" t="s">
        <v>219</v>
      </c>
      <c r="D142" s="62" t="s">
        <v>3042</v>
      </c>
      <c r="E142" s="11" t="str">
        <f>HYPERLINK("https://youtu.be/1sBZV8zqvMQ?t=2867","channel 2")</f>
        <v>channel 2</v>
      </c>
    </row>
    <row r="143">
      <c r="B143" s="62" t="s">
        <v>1633</v>
      </c>
      <c r="C143" s="45" t="s">
        <v>7</v>
      </c>
      <c r="D143" s="62" t="s">
        <v>3205</v>
      </c>
      <c r="E143" s="11" t="str">
        <f>HYPERLINK("https://youtu.be/lS6MpaFov_k?t=2963","channel 1")</f>
        <v>channel 1</v>
      </c>
    </row>
    <row r="144">
      <c r="B144" s="61" t="s">
        <v>1050</v>
      </c>
      <c r="C144" s="45" t="s">
        <v>442</v>
      </c>
      <c r="D144" s="62" t="s">
        <v>3086</v>
      </c>
      <c r="E144" s="11" t="str">
        <f>HYPERLINK("https://youtu.be/1sBZV8zqvMQ?t=3831","channel 2")</f>
        <v>channel 2</v>
      </c>
    </row>
    <row r="145">
      <c r="B145" s="62" t="s">
        <v>3086</v>
      </c>
      <c r="C145" s="45" t="s">
        <v>464</v>
      </c>
      <c r="D145" s="62" t="s">
        <v>3042</v>
      </c>
      <c r="E145" s="11" t="str">
        <f>HYPERLINK("https://youtu.be/lS6MpaFov_k?t=3828","channel 1")</f>
        <v>channel 1</v>
      </c>
    </row>
    <row r="146">
      <c r="B146" s="61" t="s">
        <v>1050</v>
      </c>
      <c r="C146" s="45" t="s">
        <v>160</v>
      </c>
      <c r="D146" s="62" t="s">
        <v>3205</v>
      </c>
      <c r="E146" s="11" t="str">
        <f>HYPERLINK("https://youtu.be/1sBZV8zqvMQ?t=4808","channel 2")</f>
        <v>channel 2</v>
      </c>
    </row>
    <row r="147">
      <c r="B147" s="62" t="s">
        <v>3042</v>
      </c>
      <c r="C147" s="45" t="s">
        <v>640</v>
      </c>
      <c r="D147" s="62" t="s">
        <v>1633</v>
      </c>
      <c r="E147" s="11" t="str">
        <f>HYPERLINK("https://youtu.be/lS6MpaFov_k?t=4860","channel 1")</f>
        <v>channel 1</v>
      </c>
    </row>
    <row r="148">
      <c r="B148" s="62" t="s">
        <v>3086</v>
      </c>
      <c r="C148" s="45" t="s">
        <v>177</v>
      </c>
      <c r="D148" s="62" t="s">
        <v>3205</v>
      </c>
      <c r="E148" s="11" t="str">
        <f>HYPERLINK("https://youtu.be/1sBZV8zqvMQ?t=5793","channel 2")</f>
        <v>channel 2</v>
      </c>
    </row>
    <row r="149">
      <c r="B149" s="61" t="s">
        <v>1050</v>
      </c>
      <c r="C149" s="45" t="s">
        <v>185</v>
      </c>
      <c r="D149" s="62" t="s">
        <v>1633</v>
      </c>
      <c r="E149" s="11" t="str">
        <f>HYPERLINK("https://youtu.be/lS6MpaFov_k?t=5815","channel 1")</f>
        <v>channel 1</v>
      </c>
    </row>
    <row r="150">
      <c r="B150" s="62" t="s">
        <v>3042</v>
      </c>
      <c r="C150" s="45" t="s">
        <v>7</v>
      </c>
      <c r="D150" s="62" t="s">
        <v>3205</v>
      </c>
      <c r="E150" s="11" t="str">
        <f>HYPERLINK("https://youtu.be/1sBZV8zqvMQ?t=6716","channel 2")</f>
        <v>channel 2</v>
      </c>
    </row>
    <row r="151">
      <c r="B151" s="62" t="s">
        <v>3086</v>
      </c>
      <c r="C151" s="45" t="s">
        <v>383</v>
      </c>
      <c r="D151" s="62" t="s">
        <v>1633</v>
      </c>
      <c r="E151" s="11" t="str">
        <f>HYPERLINK("https://youtu.be/lS6MpaFov_k?t=6769","channel 1")</f>
        <v>channel 1</v>
      </c>
    </row>
    <row r="152">
      <c r="B152" s="62" t="s">
        <v>3042</v>
      </c>
      <c r="C152" s="45" t="s">
        <v>164</v>
      </c>
      <c r="D152" s="61" t="s">
        <v>1050</v>
      </c>
      <c r="E152" s="11" t="str">
        <f>HYPERLINK("https://youtu.be/1sBZV8zqvMQ?t=7620","channel 2")</f>
        <v>channel 2</v>
      </c>
    </row>
    <row r="153">
      <c r="B153" s="62" t="s">
        <v>3205</v>
      </c>
      <c r="C153" s="45" t="s">
        <v>250</v>
      </c>
      <c r="D153" s="62" t="s">
        <v>1633</v>
      </c>
      <c r="E153" s="11" t="str">
        <f>HYPERLINK("https://youtu.be/lS6MpaFov_k?t=7667","channel 1")</f>
        <v>channel 1</v>
      </c>
    </row>
    <row r="154">
      <c r="B154" s="62" t="s">
        <v>3086</v>
      </c>
      <c r="C154" s="45" t="s">
        <v>292</v>
      </c>
      <c r="D154" s="61" t="s">
        <v>1050</v>
      </c>
      <c r="E154" s="11" t="str">
        <f>HYPERLINK("https://youtu.be/1sBZV8zqvMQ?t=8612","channel 2")</f>
        <v>channel 2</v>
      </c>
    </row>
    <row r="155">
      <c r="B155" s="96" t="s">
        <v>1803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3206</v>
      </c>
      <c r="C157" s="45" t="s">
        <v>218</v>
      </c>
      <c r="D157" s="62" t="s">
        <v>2813</v>
      </c>
      <c r="E157" s="11" t="str">
        <f>HYPERLINK("https://youtu.be/ujb2Ad_lPe8","channel 1")</f>
        <v>channel 1</v>
      </c>
    </row>
    <row r="158">
      <c r="B158" s="62" t="s">
        <v>3207</v>
      </c>
      <c r="C158" s="45" t="s">
        <v>324</v>
      </c>
      <c r="D158" s="61" t="s">
        <v>3208</v>
      </c>
      <c r="E158" s="11" t="str">
        <f>HYPERLINK("https://youtu.be/hh5GSyxDfvQ","channel 2")</f>
        <v>channel 2</v>
      </c>
    </row>
    <row r="159">
      <c r="B159" s="62" t="s">
        <v>1608</v>
      </c>
      <c r="C159" s="45" t="s">
        <v>229</v>
      </c>
      <c r="D159" s="62" t="s">
        <v>3206</v>
      </c>
      <c r="E159" s="11" t="str">
        <f>HYPERLINK("https://youtu.be/ujb2Ad_lPe8?t=916","channel 1")</f>
        <v>channel 1</v>
      </c>
    </row>
    <row r="160">
      <c r="B160" s="62" t="s">
        <v>3207</v>
      </c>
      <c r="C160" s="45" t="s">
        <v>16</v>
      </c>
      <c r="D160" s="62" t="s">
        <v>2813</v>
      </c>
      <c r="E160" s="11" t="str">
        <f>HYPERLINK("https://youtu.be/hh5GSyxDfvQ?t=1102","channel 2")</f>
        <v>channel 2</v>
      </c>
    </row>
    <row r="161">
      <c r="B161" s="62" t="s">
        <v>1608</v>
      </c>
      <c r="C161" s="45" t="s">
        <v>158</v>
      </c>
      <c r="D161" s="61" t="s">
        <v>3208</v>
      </c>
      <c r="E161" s="11" t="str">
        <f>HYPERLINK("https://youtu.be/ujb2Ad_lPe8?t=1838","channel 1")</f>
        <v>channel 1</v>
      </c>
    </row>
    <row r="162">
      <c r="B162" s="62" t="s">
        <v>3207</v>
      </c>
      <c r="C162" s="45" t="s">
        <v>250</v>
      </c>
      <c r="D162" s="62" t="s">
        <v>3206</v>
      </c>
      <c r="E162" s="11" t="str">
        <f>HYPERLINK("https://youtu.be/hh5GSyxDfvQ?t=2019","channel 2")</f>
        <v>channel 2</v>
      </c>
    </row>
    <row r="163">
      <c r="B163" s="62" t="s">
        <v>1608</v>
      </c>
      <c r="C163" s="45" t="s">
        <v>209</v>
      </c>
      <c r="D163" s="62" t="s">
        <v>2813</v>
      </c>
      <c r="E163" s="11" t="str">
        <f>HYPERLINK("https://youtu.be/ujb2Ad_lPe8?t=2682","channel 1")</f>
        <v>channel 1</v>
      </c>
    </row>
    <row r="164">
      <c r="B164" s="61" t="s">
        <v>3208</v>
      </c>
      <c r="C164" s="45" t="s">
        <v>303</v>
      </c>
      <c r="D164" s="62" t="s">
        <v>3206</v>
      </c>
      <c r="E164" s="11" t="str">
        <f>HYPERLINK("https://youtu.be/hh5GSyxDfvQ?t=2935","channel 2")</f>
        <v>channel 2</v>
      </c>
    </row>
    <row r="165">
      <c r="B165" s="62" t="s">
        <v>1608</v>
      </c>
      <c r="C165" s="45" t="s">
        <v>181</v>
      </c>
      <c r="D165" s="62" t="s">
        <v>3207</v>
      </c>
      <c r="E165" s="11" t="str">
        <f>HYPERLINK("https://youtu.be/ujb2Ad_lPe8?t=3641","channel 1")</f>
        <v>channel 1</v>
      </c>
    </row>
    <row r="166">
      <c r="B166" s="61" t="s">
        <v>3208</v>
      </c>
      <c r="C166" s="45" t="s">
        <v>209</v>
      </c>
      <c r="D166" s="62" t="s">
        <v>2813</v>
      </c>
      <c r="E166" s="11" t="str">
        <f>HYPERLINK("https://youtu.be/hh5GSyxDfvQ?t=3882","channel 2")</f>
        <v>channel 2</v>
      </c>
    </row>
    <row r="167">
      <c r="B167" s="62" t="s">
        <v>2813</v>
      </c>
      <c r="C167" s="45" t="s">
        <v>18</v>
      </c>
      <c r="D167" s="62" t="s">
        <v>3206</v>
      </c>
      <c r="E167" s="11" t="str">
        <f>HYPERLINK("https://youtu.be/ujb2Ad_lPe8?t=4581","channel 1")</f>
        <v>channel 1</v>
      </c>
    </row>
    <row r="168">
      <c r="B168" s="61" t="s">
        <v>3208</v>
      </c>
      <c r="C168" s="45" t="s">
        <v>17</v>
      </c>
      <c r="D168" s="62" t="s">
        <v>3207</v>
      </c>
      <c r="E168" s="11" t="str">
        <f>HYPERLINK("https://youtu.be/hh5GSyxDfvQ?t=4814","channel 2")</f>
        <v>channel 2</v>
      </c>
    </row>
    <row r="169">
      <c r="B169" s="62" t="s">
        <v>3206</v>
      </c>
      <c r="C169" s="45" t="s">
        <v>23</v>
      </c>
      <c r="D169" s="62" t="s">
        <v>1608</v>
      </c>
      <c r="E169" s="11" t="str">
        <f>HYPERLINK("https://youtu.be/ujb2Ad_lPe8?t=5467","channel 1")</f>
        <v>channel 1</v>
      </c>
    </row>
    <row r="170">
      <c r="B170" s="62" t="s">
        <v>2813</v>
      </c>
      <c r="C170" s="45" t="s">
        <v>176</v>
      </c>
      <c r="D170" s="62" t="s">
        <v>3207</v>
      </c>
      <c r="E170" s="11" t="str">
        <f>HYPERLINK("https://youtu.be/hh5GSyxDfvQ?t=5766","channel 2")</f>
        <v>channel 2</v>
      </c>
    </row>
    <row r="171">
      <c r="B171" s="61" t="s">
        <v>3208</v>
      </c>
      <c r="C171" s="45" t="s">
        <v>158</v>
      </c>
      <c r="D171" s="62" t="s">
        <v>1608</v>
      </c>
      <c r="E171" s="11" t="str">
        <f>HYPERLINK("https://youtu.be/ujb2Ad_lPe8?t=6467","channel 1")</f>
        <v>channel 1</v>
      </c>
    </row>
    <row r="172">
      <c r="B172" s="62" t="s">
        <v>3206</v>
      </c>
      <c r="C172" s="45" t="s">
        <v>534</v>
      </c>
      <c r="D172" s="62" t="s">
        <v>3207</v>
      </c>
      <c r="E172" s="11" t="str">
        <f>HYPERLINK("https://youtu.be/hh5GSyxDfvQ?t=6685","channel 2")</f>
        <v>channel 2</v>
      </c>
    </row>
    <row r="173">
      <c r="B173" s="62" t="s">
        <v>2813</v>
      </c>
      <c r="C173" s="45" t="s">
        <v>155</v>
      </c>
      <c r="D173" s="62" t="s">
        <v>1608</v>
      </c>
      <c r="E173" s="11" t="str">
        <f>HYPERLINK("https://youtu.be/ujb2Ad_lPe8?t=7258","channel 1")</f>
        <v>channel 1</v>
      </c>
    </row>
    <row r="174">
      <c r="B174" s="62" t="s">
        <v>3206</v>
      </c>
      <c r="C174" s="45" t="s">
        <v>17</v>
      </c>
      <c r="D174" s="61" t="s">
        <v>3208</v>
      </c>
      <c r="E174" s="11" t="str">
        <f>HYPERLINK("https://youtu.be/hh5GSyxDfvQ?t=7625","channel 2")</f>
        <v>channel 2</v>
      </c>
    </row>
    <row r="175">
      <c r="B175" s="62" t="s">
        <v>3207</v>
      </c>
      <c r="C175" s="45" t="s">
        <v>219</v>
      </c>
      <c r="D175" s="62" t="s">
        <v>1608</v>
      </c>
      <c r="E175" s="11" t="str">
        <f>HYPERLINK("https://youtu.be/ujb2Ad_lPe8?t=8168","channel 1")</f>
        <v>channel 1</v>
      </c>
    </row>
    <row r="176">
      <c r="B176" s="62" t="s">
        <v>2813</v>
      </c>
      <c r="C176" s="45" t="s">
        <v>230</v>
      </c>
      <c r="D176" s="61" t="s">
        <v>3208</v>
      </c>
      <c r="E176" s="11" t="str">
        <f>HYPERLINK("https://youtu.be/hh5GSyxDfvQ?t=8537","channel 2")</f>
        <v>channel 2</v>
      </c>
    </row>
    <row r="177">
      <c r="B177" s="96" t="s">
        <v>3111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3209</v>
      </c>
      <c r="C179" s="45" t="s">
        <v>1197</v>
      </c>
      <c r="D179" s="62" t="s">
        <v>3210</v>
      </c>
      <c r="E179" s="11" t="str">
        <f>HYPERLINK("https://youtu.be/lmdJwlI1dKs","channel 3")</f>
        <v>channel 3</v>
      </c>
    </row>
    <row r="180">
      <c r="B180" s="62" t="s">
        <v>3211</v>
      </c>
      <c r="C180" s="45" t="s">
        <v>251</v>
      </c>
      <c r="D180" s="61" t="s">
        <v>3212</v>
      </c>
      <c r="E180" s="11" t="str">
        <f>HYPERLINK("https://youtu.be/XXEFuI5VYoY","channel 4")</f>
        <v>channel 4</v>
      </c>
    </row>
    <row r="181">
      <c r="B181" s="62" t="s">
        <v>3213</v>
      </c>
      <c r="C181" s="45" t="s">
        <v>16</v>
      </c>
      <c r="D181" s="62" t="s">
        <v>3209</v>
      </c>
      <c r="E181" s="11" t="str">
        <f>HYPERLINK("https://youtu.be/lmdJwlI1dKs?t=1091","channel 3")</f>
        <v>channel 3</v>
      </c>
    </row>
    <row r="182">
      <c r="B182" s="62" t="s">
        <v>3211</v>
      </c>
      <c r="C182" s="45" t="s">
        <v>43</v>
      </c>
      <c r="D182" s="62" t="s">
        <v>3210</v>
      </c>
      <c r="E182" s="11" t="str">
        <f>HYPERLINK("https://youtu.be/XXEFuI5VYoY?t=1063","channel 4")</f>
        <v>channel 4</v>
      </c>
    </row>
    <row r="183">
      <c r="B183" s="62" t="s">
        <v>3213</v>
      </c>
      <c r="C183" s="45" t="s">
        <v>18</v>
      </c>
      <c r="D183" s="61" t="s">
        <v>3212</v>
      </c>
      <c r="E183" s="11" t="str">
        <f>HYPERLINK("https://youtu.be/lmdJwlI1dKs?t=1977","channel 3")</f>
        <v>channel 3</v>
      </c>
    </row>
    <row r="184">
      <c r="B184" s="62" t="s">
        <v>3211</v>
      </c>
      <c r="C184" s="45" t="s">
        <v>565</v>
      </c>
      <c r="D184" s="62" t="s">
        <v>3209</v>
      </c>
      <c r="E184" s="11" t="str">
        <f>HYPERLINK("https://youtu.be/XXEFuI5VYoY?t=1953","channel 4")</f>
        <v>channel 4</v>
      </c>
    </row>
    <row r="185">
      <c r="B185" s="62" t="s">
        <v>3213</v>
      </c>
      <c r="C185" s="45" t="s">
        <v>165</v>
      </c>
      <c r="D185" s="62" t="s">
        <v>3210</v>
      </c>
      <c r="E185" s="11" t="str">
        <f>HYPERLINK("https://youtu.be/lmdJwlI1dKs?t=2873","channel 3")</f>
        <v>channel 3</v>
      </c>
    </row>
    <row r="186">
      <c r="B186" s="61" t="s">
        <v>3212</v>
      </c>
      <c r="C186" s="45" t="s">
        <v>209</v>
      </c>
      <c r="D186" s="62" t="s">
        <v>3209</v>
      </c>
      <c r="E186" s="11" t="str">
        <f>HYPERLINK("https://youtu.be/XXEFuI5VYoY?t=2956","channel 4")</f>
        <v>channel 4</v>
      </c>
    </row>
    <row r="187">
      <c r="B187" s="62" t="s">
        <v>3213</v>
      </c>
      <c r="C187" s="45" t="s">
        <v>173</v>
      </c>
      <c r="D187" s="62" t="s">
        <v>3211</v>
      </c>
      <c r="E187" s="11" t="str">
        <f>HYPERLINK("https://youtu.be/lmdJwlI1dKs?t=3834","channel 3")</f>
        <v>channel 3</v>
      </c>
    </row>
    <row r="188">
      <c r="B188" s="61" t="s">
        <v>3212</v>
      </c>
      <c r="C188" s="45" t="s">
        <v>278</v>
      </c>
      <c r="D188" s="62" t="s">
        <v>3210</v>
      </c>
      <c r="E188" s="11" t="str">
        <f>HYPERLINK("https://youtu.be/XXEFuI5VYoY?t=3833","channel 4")</f>
        <v>channel 4</v>
      </c>
    </row>
    <row r="189">
      <c r="B189" s="62" t="s">
        <v>3210</v>
      </c>
      <c r="C189" s="45" t="s">
        <v>218</v>
      </c>
      <c r="D189" s="62" t="s">
        <v>3209</v>
      </c>
      <c r="E189" s="11" t="str">
        <f>HYPERLINK("https://youtu.be/lmdJwlI1dKs?t=4910","channel 3")</f>
        <v>channel 3</v>
      </c>
    </row>
    <row r="190">
      <c r="B190" s="61" t="s">
        <v>3212</v>
      </c>
      <c r="C190" s="45" t="s">
        <v>19</v>
      </c>
      <c r="D190" s="62" t="s">
        <v>3211</v>
      </c>
      <c r="E190" s="11" t="str">
        <f>HYPERLINK("https://youtu.be/XXEFuI5VYoY?t=4909","channel 4")</f>
        <v>channel 4</v>
      </c>
    </row>
    <row r="191">
      <c r="B191" s="62" t="s">
        <v>3209</v>
      </c>
      <c r="C191" s="45" t="s">
        <v>291</v>
      </c>
      <c r="D191" s="62" t="s">
        <v>3213</v>
      </c>
      <c r="E191" s="11" t="str">
        <f>HYPERLINK("https://youtu.be/lmdJwlI1dKs?t=5851","channel 3")</f>
        <v>channel 3</v>
      </c>
    </row>
    <row r="192">
      <c r="B192" s="62" t="s">
        <v>3210</v>
      </c>
      <c r="C192" s="45" t="s">
        <v>23</v>
      </c>
      <c r="D192" s="62" t="s">
        <v>3211</v>
      </c>
      <c r="E192" s="11" t="str">
        <f>HYPERLINK("https://youtu.be/XXEFuI5VYoY?t=5861","channel 4")</f>
        <v>channel 4</v>
      </c>
    </row>
    <row r="193">
      <c r="B193" s="61" t="s">
        <v>3212</v>
      </c>
      <c r="C193" s="45" t="s">
        <v>196</v>
      </c>
      <c r="D193" s="62" t="s">
        <v>3213</v>
      </c>
      <c r="E193" s="11" t="str">
        <f>HYPERLINK("https://youtu.be/lmdJwlI1dKs?t=6797","channel 3")</f>
        <v>channel 3</v>
      </c>
    </row>
    <row r="194">
      <c r="B194" s="62" t="s">
        <v>3209</v>
      </c>
      <c r="C194" s="45" t="s">
        <v>278</v>
      </c>
      <c r="D194" s="62" t="s">
        <v>3211</v>
      </c>
      <c r="E194" s="11" t="str">
        <f>HYPERLINK("https://youtu.be/XXEFuI5VYoY?t=6761","channel 4")</f>
        <v>channel 4</v>
      </c>
    </row>
    <row r="195">
      <c r="B195" s="62" t="s">
        <v>3210</v>
      </c>
      <c r="C195" s="45" t="s">
        <v>220</v>
      </c>
      <c r="D195" s="62" t="s">
        <v>3213</v>
      </c>
      <c r="E195" s="11" t="str">
        <f>HYPERLINK("https://youtu.be/lmdJwlI1dKs?t=7678","channel 3")</f>
        <v>channel 3</v>
      </c>
    </row>
    <row r="196">
      <c r="B196" s="62" t="s">
        <v>3209</v>
      </c>
      <c r="C196" s="45" t="s">
        <v>313</v>
      </c>
      <c r="D196" s="61" t="s">
        <v>3212</v>
      </c>
      <c r="E196" s="11" t="str">
        <f>HYPERLINK("https://youtu.be/XXEFuI5VYoY?t=7689","channel 4")</f>
        <v>channel 4</v>
      </c>
    </row>
    <row r="197">
      <c r="B197" s="62" t="s">
        <v>3211</v>
      </c>
      <c r="C197" s="45" t="s">
        <v>507</v>
      </c>
      <c r="D197" s="62" t="s">
        <v>3213</v>
      </c>
      <c r="E197" s="11" t="str">
        <f>HYPERLINK("https://youtu.be/lmdJwlI1dKs?t=8539","channel 3")</f>
        <v>channel 3</v>
      </c>
    </row>
    <row r="198">
      <c r="B198" s="62" t="s">
        <v>3210</v>
      </c>
      <c r="C198" s="45" t="s">
        <v>24</v>
      </c>
      <c r="D198" s="61" t="s">
        <v>3212</v>
      </c>
      <c r="E198" s="11" t="str">
        <f>HYPERLINK("https://youtu.be/XXEFuI5VYoY?t=8669","channel 4")</f>
        <v>channel 4</v>
      </c>
    </row>
    <row r="199">
      <c r="B199" s="96" t="s">
        <v>3085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3214</v>
      </c>
      <c r="C201" s="45" t="s">
        <v>182</v>
      </c>
      <c r="D201" s="62" t="s">
        <v>2981</v>
      </c>
      <c r="E201" s="11" t="str">
        <f>HYPERLINK("https://youtu.be/XYYwqvckUZE","channel 3")</f>
        <v>channel 3</v>
      </c>
    </row>
    <row r="202">
      <c r="B202" s="62" t="s">
        <v>3215</v>
      </c>
      <c r="C202" s="45" t="s">
        <v>279</v>
      </c>
      <c r="D202" s="61" t="s">
        <v>1826</v>
      </c>
      <c r="E202" s="11" t="str">
        <f>HYPERLINK("https://youtu.be/VCF3iZRQr-I","channel 4")</f>
        <v>channel 4</v>
      </c>
    </row>
    <row r="203">
      <c r="B203" s="62" t="s">
        <v>3216</v>
      </c>
      <c r="C203" s="45" t="s">
        <v>251</v>
      </c>
      <c r="D203" s="62" t="s">
        <v>3214</v>
      </c>
      <c r="E203" s="11" t="str">
        <f>HYPERLINK("https://youtu.be/XYYwqvckUZE?t=1009","channel 3")</f>
        <v>channel 3</v>
      </c>
    </row>
    <row r="204">
      <c r="B204" s="62" t="s">
        <v>3215</v>
      </c>
      <c r="C204" s="45" t="s">
        <v>517</v>
      </c>
      <c r="D204" s="62" t="s">
        <v>2981</v>
      </c>
      <c r="E204" s="11" t="str">
        <f>HYPERLINK("https://youtu.be/VCF3iZRQr-I?t=964","channel 4")</f>
        <v>channel 4</v>
      </c>
    </row>
    <row r="205">
      <c r="B205" s="62" t="s">
        <v>3216</v>
      </c>
      <c r="C205" s="45" t="s">
        <v>271</v>
      </c>
      <c r="D205" s="61" t="s">
        <v>1826</v>
      </c>
      <c r="E205" s="11" t="str">
        <f>HYPERLINK("https://youtu.be/XYYwqvckUZE?t=2031","channel 3")</f>
        <v>channel 3</v>
      </c>
    </row>
    <row r="206">
      <c r="B206" s="62" t="s">
        <v>3215</v>
      </c>
      <c r="C206" s="45" t="s">
        <v>195</v>
      </c>
      <c r="D206" s="62" t="s">
        <v>3214</v>
      </c>
      <c r="E206" s="11" t="str">
        <f>HYPERLINK("https://youtu.be/VCF3iZRQr-I?t=2032","channel 4")</f>
        <v>channel 4</v>
      </c>
    </row>
    <row r="207">
      <c r="B207" s="62" t="s">
        <v>3216</v>
      </c>
      <c r="C207" s="45" t="s">
        <v>195</v>
      </c>
      <c r="D207" s="62" t="s">
        <v>2981</v>
      </c>
      <c r="E207" s="11" t="str">
        <f>HYPERLINK("https://youtu.be/XYYwqvckUZE?t=2973","channel 3")</f>
        <v>channel 3</v>
      </c>
    </row>
    <row r="208">
      <c r="B208" s="61" t="s">
        <v>1826</v>
      </c>
      <c r="C208" s="45" t="s">
        <v>16</v>
      </c>
      <c r="D208" s="62" t="s">
        <v>3214</v>
      </c>
      <c r="E208" s="11" t="str">
        <f>HYPERLINK("https://youtu.be/VCF3iZRQr-I?t=2922","channel 4")</f>
        <v>channel 4</v>
      </c>
    </row>
    <row r="209">
      <c r="B209" s="62" t="s">
        <v>3216</v>
      </c>
      <c r="C209" s="45" t="s">
        <v>545</v>
      </c>
      <c r="D209" s="62" t="s">
        <v>3215</v>
      </c>
      <c r="E209" s="11" t="str">
        <f>HYPERLINK("https://youtu.be/XYYwqvckUZE?t=3990","channel 3")</f>
        <v>channel 3</v>
      </c>
    </row>
    <row r="210">
      <c r="B210" s="61" t="s">
        <v>1826</v>
      </c>
      <c r="C210" s="45" t="s">
        <v>464</v>
      </c>
      <c r="D210" s="62" t="s">
        <v>2981</v>
      </c>
      <c r="E210" s="11" t="str">
        <f>HYPERLINK("https://youtu.be/VCF3iZRQr-I?t=3987","channel 4")</f>
        <v>channel 4</v>
      </c>
    </row>
    <row r="211">
      <c r="B211" s="62" t="s">
        <v>2981</v>
      </c>
      <c r="C211" s="45" t="s">
        <v>302</v>
      </c>
      <c r="D211" s="62" t="s">
        <v>3214</v>
      </c>
      <c r="E211" s="11" t="str">
        <f>HYPERLINK("https://youtu.be/XYYwqvckUZE?t=4932","channel 3")</f>
        <v>channel 3</v>
      </c>
    </row>
    <row r="212">
      <c r="B212" s="61" t="s">
        <v>1826</v>
      </c>
      <c r="C212" s="45" t="s">
        <v>573</v>
      </c>
      <c r="D212" s="62" t="s">
        <v>3215</v>
      </c>
      <c r="E212" s="11" t="str">
        <f>HYPERLINK("https://youtu.be/VCF3iZRQr-I?t=4886","channel 4")</f>
        <v>channel 4</v>
      </c>
    </row>
    <row r="213">
      <c r="B213" s="62" t="s">
        <v>3214</v>
      </c>
      <c r="C213" s="45" t="s">
        <v>208</v>
      </c>
      <c r="D213" s="62" t="s">
        <v>3216</v>
      </c>
      <c r="E213" s="11" t="str">
        <f>HYPERLINK("https://youtu.be/XYYwqvckUZE?t=5864","channel 3")</f>
        <v>channel 3</v>
      </c>
    </row>
    <row r="214">
      <c r="B214" s="62" t="s">
        <v>2981</v>
      </c>
      <c r="C214" s="45" t="s">
        <v>171</v>
      </c>
      <c r="D214" s="62" t="s">
        <v>3215</v>
      </c>
      <c r="E214" s="11" t="str">
        <f>HYPERLINK("https://youtu.be/VCF3iZRQr-I?t=5882","channel 4")</f>
        <v>channel 4</v>
      </c>
    </row>
    <row r="215">
      <c r="B215" s="61" t="s">
        <v>1826</v>
      </c>
      <c r="C215" s="45" t="s">
        <v>264</v>
      </c>
      <c r="D215" s="62" t="s">
        <v>3216</v>
      </c>
      <c r="E215" s="11" t="str">
        <f>HYPERLINK("https://youtu.be/XYYwqvckUZE?t=6790","channel 3")</f>
        <v>channel 3</v>
      </c>
    </row>
    <row r="216">
      <c r="B216" s="62" t="s">
        <v>3214</v>
      </c>
      <c r="C216" s="45" t="s">
        <v>164</v>
      </c>
      <c r="D216" s="62" t="s">
        <v>3215</v>
      </c>
      <c r="E216" s="11" t="str">
        <f>HYPERLINK("https://youtu.be/VCF3iZRQr-I?t=6790","channel 4")</f>
        <v>channel 4</v>
      </c>
    </row>
    <row r="217">
      <c r="B217" s="62" t="s">
        <v>2981</v>
      </c>
      <c r="C217" s="45" t="s">
        <v>248</v>
      </c>
      <c r="D217" s="62" t="s">
        <v>3216</v>
      </c>
      <c r="E217" s="11" t="str">
        <f>HYPERLINK("https://youtu.be/XYYwqvckUZE?t=7767","channel 3")</f>
        <v>channel 3</v>
      </c>
    </row>
    <row r="218">
      <c r="B218" s="62" t="s">
        <v>3214</v>
      </c>
      <c r="C218" s="45" t="s">
        <v>674</v>
      </c>
      <c r="D218" s="61" t="s">
        <v>1826</v>
      </c>
      <c r="E218" s="11" t="str">
        <f>HYPERLINK("https://youtu.be/VCF3iZRQr-I?t=7760","channel 4")</f>
        <v>channel 4</v>
      </c>
    </row>
    <row r="219">
      <c r="B219" s="62" t="s">
        <v>3215</v>
      </c>
      <c r="C219" s="45" t="s">
        <v>290</v>
      </c>
      <c r="D219" s="62" t="s">
        <v>3216</v>
      </c>
      <c r="E219" s="11" t="str">
        <f>HYPERLINK("https://youtu.be/XYYwqvckUZE?t=8725","channel 3")</f>
        <v>channel 3</v>
      </c>
    </row>
    <row r="220">
      <c r="B220" s="62" t="s">
        <v>2981</v>
      </c>
      <c r="C220" s="45" t="s">
        <v>219</v>
      </c>
      <c r="D220" s="61" t="s">
        <v>1826</v>
      </c>
      <c r="E220" s="11" t="str">
        <f>HYPERLINK("https://youtu.be/VCF3iZRQr-I?t=8752","channel 4")</f>
        <v>channel 4</v>
      </c>
    </row>
    <row r="221">
      <c r="B221" s="96" t="s">
        <v>1566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365</v>
      </c>
      <c r="C223" s="45" t="s">
        <v>23</v>
      </c>
      <c r="D223" s="62" t="s">
        <v>2039</v>
      </c>
      <c r="E223" s="11" t="str">
        <f>HYPERLINK("https://youtu.be/3ih4l1179MU","channel 1")</f>
        <v>channel 1</v>
      </c>
    </row>
    <row r="224">
      <c r="B224" s="62" t="s">
        <v>2724</v>
      </c>
      <c r="C224" s="45" t="s">
        <v>393</v>
      </c>
      <c r="D224" s="61" t="s">
        <v>3217</v>
      </c>
      <c r="E224" s="11" t="str">
        <f>HYPERLINK("https://youtu.be/rs7bAkBDv60","channel 2")</f>
        <v>channel 2</v>
      </c>
    </row>
    <row r="225">
      <c r="B225" s="62" t="s">
        <v>3072</v>
      </c>
      <c r="C225" s="45" t="s">
        <v>218</v>
      </c>
      <c r="D225" s="62" t="s">
        <v>365</v>
      </c>
      <c r="E225" s="11" t="str">
        <f>HYPERLINK("https://youtu.be/3ih4l1179MU?t=968","channel 1")</f>
        <v>channel 1</v>
      </c>
    </row>
    <row r="226">
      <c r="B226" s="62" t="s">
        <v>2724</v>
      </c>
      <c r="C226" s="45" t="s">
        <v>19</v>
      </c>
      <c r="D226" s="62" t="s">
        <v>2039</v>
      </c>
      <c r="E226" s="11" t="str">
        <f>HYPERLINK("https://youtu.be/rs7bAkBDv60?t=955","channel 2")</f>
        <v>channel 2</v>
      </c>
    </row>
    <row r="227">
      <c r="B227" s="62" t="s">
        <v>3072</v>
      </c>
      <c r="C227" s="45" t="s">
        <v>640</v>
      </c>
      <c r="D227" s="61" t="s">
        <v>3217</v>
      </c>
      <c r="E227" s="11" t="str">
        <f>HYPERLINK("https://youtu.be/3ih4l1179MU?t=1822","channel 1")</f>
        <v>channel 1</v>
      </c>
    </row>
    <row r="228">
      <c r="B228" s="62" t="s">
        <v>2724</v>
      </c>
      <c r="C228" s="45" t="s">
        <v>856</v>
      </c>
      <c r="D228" s="62" t="s">
        <v>365</v>
      </c>
      <c r="E228" s="11" t="str">
        <f>HYPERLINK("https://youtu.be/rs7bAkBDv60?t=1828","channel 2")</f>
        <v>channel 2</v>
      </c>
    </row>
    <row r="229">
      <c r="B229" s="62" t="s">
        <v>3072</v>
      </c>
      <c r="C229" s="45" t="s">
        <v>37</v>
      </c>
      <c r="D229" s="62" t="s">
        <v>2039</v>
      </c>
      <c r="E229" s="11" t="str">
        <f>HYPERLINK("https://youtu.be/3ih4l1179MU?t=2726","channel 1")</f>
        <v>channel 1</v>
      </c>
    </row>
    <row r="230">
      <c r="B230" s="61" t="s">
        <v>3217</v>
      </c>
      <c r="C230" s="45" t="s">
        <v>19</v>
      </c>
      <c r="D230" s="62" t="s">
        <v>365</v>
      </c>
      <c r="E230" s="11" t="str">
        <f>HYPERLINK("https://youtu.be/rs7bAkBDv60?t=2704","channel 2")</f>
        <v>channel 2</v>
      </c>
    </row>
    <row r="231">
      <c r="B231" s="62" t="s">
        <v>3072</v>
      </c>
      <c r="C231" s="45" t="s">
        <v>185</v>
      </c>
      <c r="D231" s="62" t="s">
        <v>2724</v>
      </c>
      <c r="E231" s="11" t="str">
        <f>HYPERLINK("https://youtu.be/3ih4l1179MU?t=3528","channel 1")</f>
        <v>channel 1</v>
      </c>
    </row>
    <row r="232">
      <c r="B232" s="61" t="s">
        <v>3217</v>
      </c>
      <c r="C232" s="45" t="s">
        <v>185</v>
      </c>
      <c r="D232" s="62" t="s">
        <v>2039</v>
      </c>
      <c r="E232" s="11" t="str">
        <f>HYPERLINK("https://youtu.be/rs7bAkBDv60?t=3553","channel 2")</f>
        <v>channel 2</v>
      </c>
    </row>
    <row r="233">
      <c r="B233" s="62" t="s">
        <v>2039</v>
      </c>
      <c r="C233" s="45" t="s">
        <v>7</v>
      </c>
      <c r="D233" s="62" t="s">
        <v>365</v>
      </c>
      <c r="E233" s="11" t="str">
        <f>HYPERLINK("https://youtu.be/3ih4l1179MU?t=4375","channel 1")</f>
        <v>channel 1</v>
      </c>
    </row>
    <row r="234">
      <c r="B234" s="61" t="s">
        <v>3217</v>
      </c>
      <c r="C234" s="45" t="s">
        <v>205</v>
      </c>
      <c r="D234" s="62" t="s">
        <v>2724</v>
      </c>
      <c r="E234" s="11" t="str">
        <f>HYPERLINK("https://youtu.be/rs7bAkBDv60?t=4396","channel 2")</f>
        <v>channel 2</v>
      </c>
    </row>
    <row r="235">
      <c r="B235" s="62" t="s">
        <v>365</v>
      </c>
      <c r="C235" s="45" t="s">
        <v>651</v>
      </c>
      <c r="D235" s="62" t="s">
        <v>3072</v>
      </c>
      <c r="E235" s="11" t="str">
        <f>HYPERLINK("https://youtu.be/3ih4l1179MU?t=5247","channel 1")</f>
        <v>channel 1</v>
      </c>
    </row>
    <row r="236">
      <c r="B236" s="62" t="s">
        <v>2039</v>
      </c>
      <c r="C236" s="45" t="s">
        <v>248</v>
      </c>
      <c r="D236" s="62" t="s">
        <v>2724</v>
      </c>
      <c r="E236" s="11" t="str">
        <f>HYPERLINK("https://youtu.be/rs7bAkBDv60?t=5218","channel 2")</f>
        <v>channel 2</v>
      </c>
    </row>
    <row r="237">
      <c r="B237" s="61" t="s">
        <v>3217</v>
      </c>
      <c r="C237" s="45" t="s">
        <v>301</v>
      </c>
      <c r="D237" s="62" t="s">
        <v>3072</v>
      </c>
      <c r="E237" s="11" t="str">
        <f>HYPERLINK("https://youtu.be/3ih4l1179MU?t=6179","channel 1")</f>
        <v>channel 1</v>
      </c>
    </row>
    <row r="238">
      <c r="B238" s="62" t="s">
        <v>365</v>
      </c>
      <c r="C238" s="45" t="s">
        <v>7</v>
      </c>
      <c r="D238" s="62" t="s">
        <v>2724</v>
      </c>
      <c r="E238" s="11" t="str">
        <f>HYPERLINK("https://youtu.be/rs7bAkBDv60?t=6150","channel 2")</f>
        <v>channel 2</v>
      </c>
    </row>
    <row r="239">
      <c r="B239" s="62" t="s">
        <v>2039</v>
      </c>
      <c r="C239" s="45" t="s">
        <v>23</v>
      </c>
      <c r="D239" s="62" t="s">
        <v>3072</v>
      </c>
      <c r="E239" s="11" t="str">
        <f>HYPERLINK("https://youtu.be/3ih4l1179MU?t=7072","channel 1")</f>
        <v>channel 1</v>
      </c>
    </row>
    <row r="240">
      <c r="B240" s="62" t="s">
        <v>365</v>
      </c>
      <c r="C240" s="45" t="s">
        <v>1120</v>
      </c>
      <c r="D240" s="61" t="s">
        <v>3217</v>
      </c>
      <c r="E240" s="11" t="str">
        <f>HYPERLINK("https://youtu.be/rs7bAkBDv60?t=7083","channel 2")</f>
        <v>channel 2</v>
      </c>
    </row>
    <row r="241">
      <c r="B241" s="62" t="s">
        <v>2724</v>
      </c>
      <c r="C241" s="45" t="s">
        <v>688</v>
      </c>
      <c r="D241" s="62" t="s">
        <v>3072</v>
      </c>
      <c r="E241" s="11" t="str">
        <f>HYPERLINK("https://youtu.be/3ih4l1179MU?t=7997","channel 1")</f>
        <v>channel 1</v>
      </c>
    </row>
    <row r="242">
      <c r="B242" s="62" t="s">
        <v>2039</v>
      </c>
      <c r="C242" s="45" t="s">
        <v>157</v>
      </c>
      <c r="D242" s="61" t="s">
        <v>3217</v>
      </c>
      <c r="E242" s="11" t="str">
        <f>HYPERLINK("https://youtu.be/rs7bAkBDv60?t=8004","channel 2")</f>
        <v>channel 2</v>
      </c>
    </row>
    <row r="243">
      <c r="B243" s="96" t="s">
        <v>1581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2870</v>
      </c>
      <c r="C245" s="45" t="s">
        <v>194</v>
      </c>
      <c r="D245" s="62" t="s">
        <v>2058</v>
      </c>
      <c r="E245" s="11" t="str">
        <f>HYPERLINK("https://youtu.be/AFQKDCVVUcU","channel 1")</f>
        <v>channel 1</v>
      </c>
    </row>
    <row r="246">
      <c r="B246" s="62" t="s">
        <v>172</v>
      </c>
      <c r="C246" s="45" t="s">
        <v>14</v>
      </c>
      <c r="D246" s="61" t="s">
        <v>1127</v>
      </c>
      <c r="E246" s="11" t="str">
        <f>HYPERLINK("https://youtu.be/GIECbH_pShs","channel 2")</f>
        <v>channel 2</v>
      </c>
    </row>
    <row r="247">
      <c r="B247" s="62" t="s">
        <v>3218</v>
      </c>
      <c r="C247" s="45" t="s">
        <v>344</v>
      </c>
      <c r="D247" s="62" t="s">
        <v>2870</v>
      </c>
      <c r="E247" s="11" t="str">
        <f>HYPERLINK("https://youtu.be/AFQKDCVVUcU?t=973","channel 1")</f>
        <v>channel 1</v>
      </c>
    </row>
    <row r="248">
      <c r="B248" s="62" t="s">
        <v>172</v>
      </c>
      <c r="C248" s="45" t="s">
        <v>525</v>
      </c>
      <c r="D248" s="62" t="s">
        <v>2058</v>
      </c>
      <c r="E248" s="11" t="str">
        <f>HYPERLINK("https://youtu.be/GIECbH_pShs?t=1065","channel 2")</f>
        <v>channel 2</v>
      </c>
    </row>
    <row r="249">
      <c r="B249" s="62" t="s">
        <v>3218</v>
      </c>
      <c r="C249" s="45" t="s">
        <v>14</v>
      </c>
      <c r="D249" s="61" t="s">
        <v>1127</v>
      </c>
      <c r="E249" s="11" t="str">
        <f>HYPERLINK("https://youtu.be/AFQKDCVVUcU?t=1913","channel 1")</f>
        <v>channel 1</v>
      </c>
    </row>
    <row r="250">
      <c r="B250" s="62" t="s">
        <v>172</v>
      </c>
      <c r="C250" s="45" t="s">
        <v>508</v>
      </c>
      <c r="D250" s="62" t="s">
        <v>2870</v>
      </c>
      <c r="E250" s="11" t="str">
        <f>HYPERLINK("https://youtu.be/GIECbH_pShs?t=2049","channel 2")</f>
        <v>channel 2</v>
      </c>
    </row>
    <row r="251">
      <c r="B251" s="62" t="s">
        <v>3218</v>
      </c>
      <c r="C251" s="45" t="s">
        <v>239</v>
      </c>
      <c r="D251" s="62" t="s">
        <v>2058</v>
      </c>
      <c r="E251" s="11" t="str">
        <f>HYPERLINK("https://youtu.be/AFQKDCVVUcU?t=2864","channel 1")</f>
        <v>channel 1</v>
      </c>
    </row>
    <row r="252">
      <c r="B252" s="61" t="s">
        <v>1127</v>
      </c>
      <c r="C252" s="45" t="s">
        <v>18</v>
      </c>
      <c r="D252" s="62" t="s">
        <v>2870</v>
      </c>
      <c r="E252" s="11" t="str">
        <f>HYPERLINK("https://youtu.be/GIECbH_pShs?t=3016","channel 2")</f>
        <v>channel 2</v>
      </c>
    </row>
    <row r="253">
      <c r="B253" s="62" t="s">
        <v>3218</v>
      </c>
      <c r="C253" s="45" t="s">
        <v>218</v>
      </c>
      <c r="D253" s="62" t="s">
        <v>172</v>
      </c>
      <c r="E253" s="11" t="str">
        <f>HYPERLINK("https://youtu.be/AFQKDCVVUcU?t=3828","channel 1")</f>
        <v>channel 1</v>
      </c>
    </row>
    <row r="254">
      <c r="B254" s="61" t="s">
        <v>1127</v>
      </c>
      <c r="C254" s="45" t="s">
        <v>712</v>
      </c>
      <c r="D254" s="62" t="s">
        <v>2058</v>
      </c>
      <c r="E254" s="11" t="str">
        <f>HYPERLINK("https://youtu.be/GIECbH_pShs?t=3947","channel 2")</f>
        <v>channel 2</v>
      </c>
    </row>
    <row r="255">
      <c r="B255" s="62" t="s">
        <v>2058</v>
      </c>
      <c r="C255" s="45" t="s">
        <v>219</v>
      </c>
      <c r="D255" s="62" t="s">
        <v>2870</v>
      </c>
      <c r="E255" s="11" t="str">
        <f>HYPERLINK("https://youtu.be/AFQKDCVVUcU?t=4763","channel 1")</f>
        <v>channel 1</v>
      </c>
    </row>
    <row r="256">
      <c r="B256" s="61" t="s">
        <v>1127</v>
      </c>
      <c r="C256" s="45" t="s">
        <v>910</v>
      </c>
      <c r="D256" s="62" t="s">
        <v>172</v>
      </c>
      <c r="E256" s="11" t="str">
        <f>HYPERLINK("https://youtu.be/GIECbH_pShs?t=4857","channel 2")</f>
        <v>channel 2</v>
      </c>
    </row>
    <row r="257">
      <c r="B257" s="62" t="s">
        <v>2870</v>
      </c>
      <c r="C257" s="45" t="s">
        <v>14</v>
      </c>
      <c r="D257" s="62" t="s">
        <v>3218</v>
      </c>
      <c r="E257" s="11" t="str">
        <f>HYPERLINK("https://youtu.be/AFQKDCVVUcU?t=5691","channel 1")</f>
        <v>channel 1</v>
      </c>
    </row>
    <row r="258">
      <c r="B258" s="62" t="s">
        <v>2058</v>
      </c>
      <c r="C258" s="45" t="s">
        <v>162</v>
      </c>
      <c r="D258" s="62" t="s">
        <v>172</v>
      </c>
      <c r="E258" s="11" t="str">
        <f>HYPERLINK("https://youtu.be/GIECbH_pShs?t=5788","channel 2")</f>
        <v>channel 2</v>
      </c>
    </row>
    <row r="259">
      <c r="B259" s="61" t="s">
        <v>1127</v>
      </c>
      <c r="C259" s="45" t="s">
        <v>250</v>
      </c>
      <c r="D259" s="62" t="s">
        <v>3218</v>
      </c>
      <c r="E259" s="11" t="str">
        <f>HYPERLINK("https://youtu.be/AFQKDCVVUcU?t=6637","channel 1")</f>
        <v>channel 1</v>
      </c>
    </row>
    <row r="260">
      <c r="B260" s="62" t="s">
        <v>2870</v>
      </c>
      <c r="C260" s="45" t="s">
        <v>173</v>
      </c>
      <c r="D260" s="62" t="s">
        <v>172</v>
      </c>
      <c r="E260" s="11" t="str">
        <f>HYPERLINK("https://youtu.be/GIECbH_pShs?t=6725","channel 2")</f>
        <v>channel 2</v>
      </c>
    </row>
    <row r="261">
      <c r="B261" s="62" t="s">
        <v>2058</v>
      </c>
      <c r="C261" s="45" t="s">
        <v>164</v>
      </c>
      <c r="D261" s="62" t="s">
        <v>3218</v>
      </c>
      <c r="E261" s="11" t="str">
        <f>HYPERLINK("https://youtu.be/AFQKDCVVUcU?t=7551","channel 1")</f>
        <v>channel 1</v>
      </c>
    </row>
    <row r="262">
      <c r="B262" s="62" t="s">
        <v>2870</v>
      </c>
      <c r="C262" s="45" t="s">
        <v>743</v>
      </c>
      <c r="D262" s="61" t="s">
        <v>1127</v>
      </c>
      <c r="E262" s="11" t="str">
        <f>HYPERLINK("https://youtu.be/GIECbH_pShs?t=7658","channel 2")</f>
        <v>channel 2</v>
      </c>
    </row>
    <row r="263">
      <c r="B263" s="62" t="s">
        <v>172</v>
      </c>
      <c r="C263" s="45" t="s">
        <v>443</v>
      </c>
      <c r="D263" s="62" t="s">
        <v>3218</v>
      </c>
      <c r="E263" s="11" t="str">
        <f>HYPERLINK("https://youtu.be/AFQKDCVVUcU?t=8457","channel 1")</f>
        <v>channel 1</v>
      </c>
    </row>
    <row r="264">
      <c r="B264" s="62" t="s">
        <v>2058</v>
      </c>
      <c r="C264" s="45" t="s">
        <v>41</v>
      </c>
      <c r="D264" s="61" t="s">
        <v>1127</v>
      </c>
      <c r="E264" s="11" t="str">
        <f>HYPERLINK("https://youtu.be/GIECbH_pShs?t=8636","channel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2250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93</v>
      </c>
      <c r="C3" s="45" t="s">
        <v>18</v>
      </c>
      <c r="D3" s="62" t="s">
        <v>2097</v>
      </c>
      <c r="E3" s="120" t="str">
        <f>HYPERLINK("https://youtu.be/uR0aE-d8CuI","channel 1")</f>
        <v>channel 1</v>
      </c>
    </row>
    <row r="4">
      <c r="A4" s="90"/>
      <c r="B4" s="62" t="s">
        <v>3175</v>
      </c>
      <c r="C4" s="45" t="s">
        <v>180</v>
      </c>
      <c r="D4" s="61" t="s">
        <v>2687</v>
      </c>
      <c r="E4" s="120" t="str">
        <f>HYPERLINK("https://youtu.be/HWvQ0ZWr6aM","channel 2")</f>
        <v>channel 2</v>
      </c>
    </row>
    <row r="5">
      <c r="A5" s="90"/>
      <c r="B5" s="62" t="s">
        <v>3219</v>
      </c>
      <c r="C5" s="45" t="s">
        <v>173</v>
      </c>
      <c r="D5" s="62" t="s">
        <v>93</v>
      </c>
      <c r="E5" s="120" t="str">
        <f>HYPERLINK("https://youtu.be/uR0aE-d8CuI?t=968","channel 1")</f>
        <v>channel 1</v>
      </c>
    </row>
    <row r="6">
      <c r="A6" s="90"/>
      <c r="B6" s="62" t="s">
        <v>3175</v>
      </c>
      <c r="C6" s="45" t="s">
        <v>257</v>
      </c>
      <c r="D6" s="62" t="s">
        <v>2097</v>
      </c>
      <c r="E6" s="120" t="str">
        <f>HYPERLINK("https://youtu.be/HWvQ0ZWr6aM?t=1057","channel 2")</f>
        <v>channel 2</v>
      </c>
    </row>
    <row r="7">
      <c r="A7" s="90"/>
      <c r="B7" s="62" t="s">
        <v>3219</v>
      </c>
      <c r="C7" s="45" t="s">
        <v>227</v>
      </c>
      <c r="D7" s="61" t="s">
        <v>2687</v>
      </c>
      <c r="E7" s="120" t="str">
        <f>HYPERLINK("https://youtu.be/uR0aE-d8CuI?t=1925","channel 1")</f>
        <v>channel 1</v>
      </c>
    </row>
    <row r="8">
      <c r="A8" s="90"/>
      <c r="B8" s="62" t="s">
        <v>3175</v>
      </c>
      <c r="C8" s="45" t="s">
        <v>290</v>
      </c>
      <c r="D8" s="62" t="s">
        <v>93</v>
      </c>
      <c r="E8" s="120" t="str">
        <f>HYPERLINK("https://youtu.be/HWvQ0ZWr6aM?t=1979","channel 2")</f>
        <v>channel 2</v>
      </c>
    </row>
    <row r="9">
      <c r="A9" s="90"/>
      <c r="B9" s="62" t="s">
        <v>3219</v>
      </c>
      <c r="C9" s="45" t="s">
        <v>227</v>
      </c>
      <c r="D9" s="62" t="s">
        <v>2097</v>
      </c>
      <c r="E9" s="120" t="str">
        <f>HYPERLINK("https://youtu.be/uR0aE-d8CuI?t=2877","channel 1")</f>
        <v>channel 1</v>
      </c>
    </row>
    <row r="10">
      <c r="A10" s="90"/>
      <c r="B10" s="61" t="s">
        <v>2687</v>
      </c>
      <c r="C10" s="45" t="s">
        <v>162</v>
      </c>
      <c r="D10" s="62" t="s">
        <v>93</v>
      </c>
      <c r="E10" s="120" t="str">
        <f>HYPERLINK("https://youtu.be/HWvQ0ZWr6aM?t=2961","channel 2")</f>
        <v>channel 2</v>
      </c>
    </row>
    <row r="11">
      <c r="A11" s="90"/>
      <c r="B11" s="62" t="s">
        <v>3219</v>
      </c>
      <c r="C11" s="45" t="s">
        <v>36</v>
      </c>
      <c r="D11" s="62" t="s">
        <v>3175</v>
      </c>
      <c r="E11" s="120" t="str">
        <f>HYPERLINK("https://youtu.be/uR0aE-d8CuI?t=3818","channel 1")</f>
        <v>channel 1</v>
      </c>
    </row>
    <row r="12">
      <c r="A12" s="90"/>
      <c r="B12" s="61" t="s">
        <v>2687</v>
      </c>
      <c r="C12" s="45" t="s">
        <v>219</v>
      </c>
      <c r="D12" s="62" t="s">
        <v>2097</v>
      </c>
      <c r="E12" s="120" t="str">
        <f>HYPERLINK("https://youtu.be/HWvQ0ZWr6aM?t=3905","channel 2")</f>
        <v>channel 2</v>
      </c>
    </row>
    <row r="13">
      <c r="A13" s="90"/>
      <c r="B13" s="62" t="s">
        <v>2097</v>
      </c>
      <c r="C13" s="45" t="s">
        <v>380</v>
      </c>
      <c r="D13" s="62" t="s">
        <v>93</v>
      </c>
      <c r="E13" s="120" t="str">
        <f>HYPERLINK("https://youtu.be/uR0aE-d8CuI?t=4756","channel 1")</f>
        <v>channel 1</v>
      </c>
    </row>
    <row r="14">
      <c r="A14" s="90"/>
      <c r="B14" s="61" t="s">
        <v>2687</v>
      </c>
      <c r="C14" s="45" t="s">
        <v>198</v>
      </c>
      <c r="D14" s="62" t="s">
        <v>3175</v>
      </c>
      <c r="E14" s="120" t="str">
        <f>HYPERLINK("https://youtu.be/HWvQ0ZWr6aM?t=4836","channel 2")</f>
        <v>channel 2</v>
      </c>
    </row>
    <row r="15">
      <c r="A15" s="90"/>
      <c r="B15" s="62" t="s">
        <v>93</v>
      </c>
      <c r="C15" s="45" t="s">
        <v>3220</v>
      </c>
      <c r="D15" s="62" t="s">
        <v>3219</v>
      </c>
      <c r="E15" s="120" t="str">
        <f>HYPERLINK("https://youtu.be/uR0aE-d8CuI?t=5682","channel 1")</f>
        <v>channel 1</v>
      </c>
    </row>
    <row r="16">
      <c r="A16" s="90"/>
      <c r="B16" s="62" t="s">
        <v>2097</v>
      </c>
      <c r="C16" s="45" t="s">
        <v>41</v>
      </c>
      <c r="D16" s="62" t="s">
        <v>3175</v>
      </c>
      <c r="E16" s="120" t="str">
        <f>HYPERLINK("https://youtu.be/HWvQ0ZWr6aM?t=5802","channel 2")</f>
        <v>channel 2</v>
      </c>
    </row>
    <row r="17">
      <c r="A17" s="90"/>
      <c r="B17" s="61" t="s">
        <v>2687</v>
      </c>
      <c r="C17" s="45" t="s">
        <v>177</v>
      </c>
      <c r="D17" s="62" t="s">
        <v>3219</v>
      </c>
      <c r="E17" s="120" t="str">
        <f>HYPERLINK("https://youtu.be/uR0aE-d8CuI?t=6609","channel 1")</f>
        <v>channel 1</v>
      </c>
    </row>
    <row r="18">
      <c r="A18" s="90"/>
      <c r="B18" s="62" t="s">
        <v>93</v>
      </c>
      <c r="C18" s="45" t="s">
        <v>27</v>
      </c>
      <c r="D18" s="62" t="s">
        <v>3175</v>
      </c>
      <c r="E18" s="120" t="str">
        <f>HYPERLINK("https://youtu.be/HWvQ0ZWr6aM?t=6698","channel 2")</f>
        <v>channel 2</v>
      </c>
    </row>
    <row r="19">
      <c r="A19" s="90"/>
      <c r="B19" s="62" t="s">
        <v>2097</v>
      </c>
      <c r="C19" s="45" t="s">
        <v>22</v>
      </c>
      <c r="D19" s="62" t="s">
        <v>3219</v>
      </c>
      <c r="E19" s="120" t="str">
        <f>HYPERLINK("https://youtu.be/uR0aE-d8CuI?t=7584","channel 1")</f>
        <v>channel 1</v>
      </c>
    </row>
    <row r="20">
      <c r="A20" s="90"/>
      <c r="B20" s="62" t="s">
        <v>93</v>
      </c>
      <c r="C20" s="45" t="s">
        <v>39</v>
      </c>
      <c r="D20" s="61" t="s">
        <v>2687</v>
      </c>
      <c r="E20" s="120" t="str">
        <f>HYPERLINK("https://youtu.be/HWvQ0ZWr6aM?t=7682","channel 2")</f>
        <v>channel 2</v>
      </c>
    </row>
    <row r="21">
      <c r="A21" s="90"/>
      <c r="B21" s="62" t="s">
        <v>3175</v>
      </c>
      <c r="C21" s="45" t="s">
        <v>313</v>
      </c>
      <c r="D21" s="62" t="s">
        <v>3219</v>
      </c>
      <c r="E21" s="120" t="str">
        <f>HYPERLINK("https://youtu.be/uR0aE-d8CuI?t=8518","channel 1")</f>
        <v>channel 1</v>
      </c>
    </row>
    <row r="22">
      <c r="A22" s="90"/>
      <c r="B22" s="62" t="s">
        <v>2097</v>
      </c>
      <c r="C22" s="45" t="s">
        <v>20</v>
      </c>
      <c r="D22" s="61" t="s">
        <v>2687</v>
      </c>
      <c r="E22" s="120" t="str">
        <f>HYPERLINK("https://youtu.be/HWvQ0ZWr6aM?t=8622","channel 2")</f>
        <v>channel 2</v>
      </c>
    </row>
    <row r="23">
      <c r="A23" s="90"/>
      <c r="B23" s="96" t="s">
        <v>2138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1180</v>
      </c>
      <c r="C25" s="45" t="s">
        <v>651</v>
      </c>
      <c r="D25" s="62" t="s">
        <v>3221</v>
      </c>
      <c r="E25" s="11" t="str">
        <f>HYPERLINK("https://youtu.be/rexA4ouKCYc","channel 1")</f>
        <v>channel 1</v>
      </c>
    </row>
    <row r="26">
      <c r="A26" s="90"/>
      <c r="B26" s="62" t="s">
        <v>3222</v>
      </c>
      <c r="C26" s="45" t="s">
        <v>256</v>
      </c>
      <c r="D26" s="61" t="s">
        <v>3223</v>
      </c>
      <c r="E26" s="11" t="str">
        <f>HYPERLINK("https://youtu.be/ZQlwzzY14dg","channel 2")</f>
        <v>channel 2</v>
      </c>
    </row>
    <row r="27">
      <c r="A27" s="90"/>
      <c r="B27" s="62" t="s">
        <v>3224</v>
      </c>
      <c r="C27" s="45" t="s">
        <v>554</v>
      </c>
      <c r="D27" s="62" t="s">
        <v>1180</v>
      </c>
      <c r="E27" s="11" t="str">
        <f>HYPERLINK("https://youtu.be/rexA4ouKCYc?t=1231","channel 1")</f>
        <v>channel 1</v>
      </c>
    </row>
    <row r="28">
      <c r="A28" s="90"/>
      <c r="B28" s="62" t="s">
        <v>3222</v>
      </c>
      <c r="C28" s="45" t="s">
        <v>313</v>
      </c>
      <c r="D28" s="62" t="s">
        <v>3221</v>
      </c>
      <c r="E28" s="11" t="str">
        <f>HYPERLINK("https://youtu.be/ZQlwzzY14dg?t=1137","channel 2")</f>
        <v>channel 2</v>
      </c>
    </row>
    <row r="29">
      <c r="A29" s="90"/>
      <c r="B29" s="62" t="s">
        <v>3224</v>
      </c>
      <c r="C29" s="45" t="s">
        <v>582</v>
      </c>
      <c r="D29" s="61" t="s">
        <v>3223</v>
      </c>
      <c r="E29" s="11" t="str">
        <f>HYPERLINK("https://youtu.be/rexA4ouKCYc?t=2135","channel 1")</f>
        <v>channel 1</v>
      </c>
    </row>
    <row r="30">
      <c r="A30" s="90"/>
      <c r="B30" s="62" t="s">
        <v>3222</v>
      </c>
      <c r="C30" s="45" t="s">
        <v>231</v>
      </c>
      <c r="D30" s="62" t="s">
        <v>1180</v>
      </c>
      <c r="E30" s="11" t="str">
        <f>HYPERLINK("https://youtu.be/ZQlwzzY14dg?t=2224","channel 2")</f>
        <v>channel 2</v>
      </c>
    </row>
    <row r="31">
      <c r="A31" s="90"/>
      <c r="B31" s="62" t="s">
        <v>3224</v>
      </c>
      <c r="C31" s="45" t="s">
        <v>42</v>
      </c>
      <c r="D31" s="62" t="s">
        <v>3221</v>
      </c>
      <c r="E31" s="11" t="str">
        <f>HYPERLINK("https://youtu.be/rexA4ouKCYc?t=3061","channel 1")</f>
        <v>channel 1</v>
      </c>
    </row>
    <row r="32">
      <c r="A32" s="90"/>
      <c r="B32" s="61" t="s">
        <v>3223</v>
      </c>
      <c r="C32" s="45" t="s">
        <v>279</v>
      </c>
      <c r="D32" s="62" t="s">
        <v>1180</v>
      </c>
      <c r="E32" s="11" t="str">
        <f>HYPERLINK("https://youtu.be/ZQlwzzY14dg?t=3140","channel 2")</f>
        <v>channel 2</v>
      </c>
    </row>
    <row r="33">
      <c r="A33" s="90"/>
      <c r="B33" s="62" t="s">
        <v>3224</v>
      </c>
      <c r="C33" s="45" t="s">
        <v>709</v>
      </c>
      <c r="D33" s="62" t="s">
        <v>3222</v>
      </c>
      <c r="E33" s="11" t="str">
        <f>HYPERLINK("https://youtu.be/rexA4ouKCYc?t=3939","channel 1")</f>
        <v>channel 1</v>
      </c>
    </row>
    <row r="34">
      <c r="A34" s="90"/>
      <c r="B34" s="61" t="s">
        <v>3223</v>
      </c>
      <c r="C34" s="45" t="s">
        <v>264</v>
      </c>
      <c r="D34" s="62" t="s">
        <v>3221</v>
      </c>
      <c r="E34" s="11" t="str">
        <f>HYPERLINK("https://youtu.be/ZQlwzzY14dg?t=4051","channel 2")</f>
        <v>channel 2</v>
      </c>
    </row>
    <row r="35">
      <c r="A35" s="90"/>
      <c r="B35" s="62" t="s">
        <v>3221</v>
      </c>
      <c r="C35" s="45" t="s">
        <v>508</v>
      </c>
      <c r="D35" s="62" t="s">
        <v>1180</v>
      </c>
      <c r="E35" s="11" t="str">
        <f>HYPERLINK("https://youtu.be/rexA4ouKCYc?t=4952","channel 1")</f>
        <v>channel 1</v>
      </c>
    </row>
    <row r="36">
      <c r="A36" s="90"/>
      <c r="B36" s="61" t="s">
        <v>3223</v>
      </c>
      <c r="C36" s="45" t="s">
        <v>17</v>
      </c>
      <c r="D36" s="62" t="s">
        <v>3222</v>
      </c>
      <c r="E36" s="11" t="str">
        <f>HYPERLINK("https://youtu.be/ZQlwzzY14dg?t=4999","channel 2")</f>
        <v>channel 2</v>
      </c>
    </row>
    <row r="37">
      <c r="A37" s="90"/>
      <c r="B37" s="62" t="s">
        <v>1180</v>
      </c>
      <c r="C37" s="45" t="s">
        <v>2563</v>
      </c>
      <c r="D37" s="62" t="s">
        <v>3224</v>
      </c>
      <c r="E37" s="11" t="str">
        <f>HYPERLINK("https://youtu.be/rexA4ouKCYc?t=5862","channel 1")</f>
        <v>channel 1</v>
      </c>
    </row>
    <row r="38">
      <c r="A38" s="90"/>
      <c r="B38" s="62" t="s">
        <v>3221</v>
      </c>
      <c r="C38" s="45" t="s">
        <v>3225</v>
      </c>
      <c r="D38" s="62" t="s">
        <v>3222</v>
      </c>
      <c r="E38" s="11" t="str">
        <f>HYPERLINK("https://youtu.be/ZQlwzzY14dg?t=5971","channel 2")</f>
        <v>channel 2</v>
      </c>
    </row>
    <row r="39">
      <c r="A39" s="90"/>
      <c r="B39" s="61" t="s">
        <v>3223</v>
      </c>
      <c r="C39" s="45" t="s">
        <v>176</v>
      </c>
      <c r="D39" s="62" t="s">
        <v>3224</v>
      </c>
      <c r="E39" s="11" t="str">
        <f>HYPERLINK("https://youtu.be/rexA4ouKCYc?t=6795","channel 1")</f>
        <v>channel 1</v>
      </c>
    </row>
    <row r="40">
      <c r="A40" s="90"/>
      <c r="B40" s="62" t="s">
        <v>1180</v>
      </c>
      <c r="C40" s="45" t="s">
        <v>293</v>
      </c>
      <c r="D40" s="62" t="s">
        <v>3222</v>
      </c>
      <c r="E40" s="11" t="str">
        <f>HYPERLINK("https://youtu.be/ZQlwzzY14dg?t=6927","channel 2")</f>
        <v>channel 2</v>
      </c>
    </row>
    <row r="41">
      <c r="A41" s="90"/>
      <c r="B41" s="62" t="s">
        <v>3221</v>
      </c>
      <c r="C41" s="45" t="s">
        <v>1472</v>
      </c>
      <c r="D41" s="62" t="s">
        <v>3224</v>
      </c>
      <c r="E41" s="11" t="str">
        <f>HYPERLINK("https://youtu.be/rexA4ouKCYc?t=7758","channel 1")</f>
        <v>channel 1</v>
      </c>
    </row>
    <row r="42">
      <c r="A42" s="90"/>
      <c r="B42" s="62" t="s">
        <v>1180</v>
      </c>
      <c r="C42" s="45" t="s">
        <v>198</v>
      </c>
      <c r="D42" s="61" t="s">
        <v>3223</v>
      </c>
      <c r="E42" s="11" t="str">
        <f>HYPERLINK("https://youtu.be/ZQlwzzY14dg?t=7831","channel 2")</f>
        <v>channel 2</v>
      </c>
    </row>
    <row r="43">
      <c r="A43" s="90"/>
      <c r="B43" s="62" t="s">
        <v>3222</v>
      </c>
      <c r="C43" s="45" t="s">
        <v>194</v>
      </c>
      <c r="D43" s="62" t="s">
        <v>3224</v>
      </c>
      <c r="E43" s="11" t="str">
        <f>HYPERLINK("https://youtu.be/rexA4ouKCYc?t=8641","channel 1")</f>
        <v>channel 1</v>
      </c>
    </row>
    <row r="44">
      <c r="A44" s="91"/>
      <c r="B44" s="62" t="s">
        <v>3221</v>
      </c>
      <c r="C44" s="45" t="s">
        <v>316</v>
      </c>
      <c r="D44" s="61" t="s">
        <v>3223</v>
      </c>
      <c r="E44" s="11" t="str">
        <f>HYPERLINK("https://youtu.be/ZQlwzzY14dg?t=8725","channel 2")</f>
        <v>channel 2</v>
      </c>
    </row>
    <row r="45">
      <c r="B45" s="96" t="s">
        <v>3097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1666</v>
      </c>
      <c r="C47" s="45" t="s">
        <v>19</v>
      </c>
      <c r="D47" s="62" t="s">
        <v>3226</v>
      </c>
      <c r="E47" s="11" t="str">
        <f>HYPERLINK("https://youtu.be/vHmoklh3nx8","channel 1")</f>
        <v>channel 1</v>
      </c>
    </row>
    <row r="48">
      <c r="B48" s="62" t="s">
        <v>3227</v>
      </c>
      <c r="C48" s="45" t="s">
        <v>16</v>
      </c>
      <c r="D48" s="61" t="s">
        <v>3228</v>
      </c>
      <c r="E48" s="11" t="str">
        <f>HYPERLINK("https://youtu.be/XUVGquOT0d8","channel 2")</f>
        <v>channel 2</v>
      </c>
    </row>
    <row r="49">
      <c r="B49" s="62" t="s">
        <v>1284</v>
      </c>
      <c r="C49" s="45" t="s">
        <v>38</v>
      </c>
      <c r="D49" s="62" t="s">
        <v>1666</v>
      </c>
      <c r="E49" s="11" t="str">
        <f>HYPERLINK("https://youtu.be/vHmoklh3nx8?t=942","channel 1")</f>
        <v>channel 1</v>
      </c>
    </row>
    <row r="50">
      <c r="B50" s="62" t="s">
        <v>3227</v>
      </c>
      <c r="C50" s="45" t="s">
        <v>610</v>
      </c>
      <c r="D50" s="62" t="s">
        <v>3226</v>
      </c>
      <c r="E50" s="11" t="str">
        <f>HYPERLINK("https://youtu.be/XUVGquOT0d8?t=1058","channel 2")</f>
        <v>channel 2</v>
      </c>
    </row>
    <row r="51">
      <c r="B51" s="62" t="s">
        <v>1284</v>
      </c>
      <c r="C51" s="45" t="s">
        <v>452</v>
      </c>
      <c r="D51" s="61" t="s">
        <v>3228</v>
      </c>
      <c r="E51" s="11" t="str">
        <f>HYPERLINK("https://youtu.be/vHmoklh3nx8?t=1849","channel 1")</f>
        <v>channel 1</v>
      </c>
    </row>
    <row r="52">
      <c r="B52" s="62" t="s">
        <v>3227</v>
      </c>
      <c r="C52" s="45" t="s">
        <v>640</v>
      </c>
      <c r="D52" s="62" t="s">
        <v>1666</v>
      </c>
      <c r="E52" s="11" t="str">
        <f>HYPERLINK("https://youtu.be/XUVGquOT0d8?t=1952","channel 2")</f>
        <v>channel 2</v>
      </c>
    </row>
    <row r="53">
      <c r="B53" s="62" t="s">
        <v>1284</v>
      </c>
      <c r="C53" s="45" t="s">
        <v>538</v>
      </c>
      <c r="D53" s="62" t="s">
        <v>3226</v>
      </c>
      <c r="E53" s="11" t="str">
        <f>HYPERLINK("https://youtu.be/vHmoklh3nx8?t=2770","channel 1")</f>
        <v>channel 1</v>
      </c>
    </row>
    <row r="54">
      <c r="B54" s="61" t="s">
        <v>3228</v>
      </c>
      <c r="C54" s="45" t="s">
        <v>425</v>
      </c>
      <c r="D54" s="62" t="s">
        <v>1666</v>
      </c>
      <c r="E54" s="11" t="str">
        <f>HYPERLINK("https://youtu.be/XUVGquOT0d8?t=2863","channel 2")</f>
        <v>channel 2</v>
      </c>
    </row>
    <row r="55">
      <c r="B55" s="62" t="s">
        <v>1284</v>
      </c>
      <c r="C55" s="45" t="s">
        <v>185</v>
      </c>
      <c r="D55" s="62" t="s">
        <v>3227</v>
      </c>
      <c r="E55" s="11" t="str">
        <f>HYPERLINK("https://youtu.be/vHmoklh3nx8?t=3652","channel 1")</f>
        <v>channel 1</v>
      </c>
    </row>
    <row r="56">
      <c r="B56" s="61" t="s">
        <v>3228</v>
      </c>
      <c r="C56" s="45" t="s">
        <v>464</v>
      </c>
      <c r="D56" s="62" t="s">
        <v>3226</v>
      </c>
      <c r="E56" s="11" t="str">
        <f>HYPERLINK("https://youtu.be/XUVGquOT0d8?t=3813","channel 2")</f>
        <v>channel 2</v>
      </c>
    </row>
    <row r="57">
      <c r="B57" s="62" t="s">
        <v>3226</v>
      </c>
      <c r="C57" s="45" t="s">
        <v>301</v>
      </c>
      <c r="D57" s="62" t="s">
        <v>1666</v>
      </c>
      <c r="E57" s="11" t="str">
        <f>HYPERLINK("https://youtu.be/vHmoklh3nx8?t=4581","channel 1")</f>
        <v>channel 1</v>
      </c>
    </row>
    <row r="58">
      <c r="B58" s="61" t="s">
        <v>3228</v>
      </c>
      <c r="C58" s="45" t="s">
        <v>536</v>
      </c>
      <c r="D58" s="62" t="s">
        <v>3227</v>
      </c>
      <c r="E58" s="11" t="str">
        <f>HYPERLINK("https://youtu.be/XUVGquOT0d8?t=4699","channel 2")</f>
        <v>channel 2</v>
      </c>
    </row>
    <row r="59">
      <c r="B59" s="62" t="s">
        <v>1666</v>
      </c>
      <c r="C59" s="45" t="s">
        <v>173</v>
      </c>
      <c r="D59" s="62" t="s">
        <v>1284</v>
      </c>
      <c r="E59" s="11" t="str">
        <f>HYPERLINK("https://youtu.be/vHmoklh3nx8?t=5475","channel 1")</f>
        <v>channel 1</v>
      </c>
    </row>
    <row r="60">
      <c r="B60" s="62" t="s">
        <v>3226</v>
      </c>
      <c r="C60" s="45" t="s">
        <v>196</v>
      </c>
      <c r="D60" s="62" t="s">
        <v>3227</v>
      </c>
      <c r="E60" s="11" t="str">
        <f>HYPERLINK("https://youtu.be/XUVGquOT0d8?t=5595","channel 2")</f>
        <v>channel 2</v>
      </c>
    </row>
    <row r="61">
      <c r="B61" s="61" t="s">
        <v>3228</v>
      </c>
      <c r="C61" s="45" t="s">
        <v>418</v>
      </c>
      <c r="D61" s="62" t="s">
        <v>1284</v>
      </c>
      <c r="E61" s="11" t="str">
        <f>HYPERLINK("https://youtu.be/vHmoklh3nx8?t=6412","channel 1")</f>
        <v>channel 1</v>
      </c>
    </row>
    <row r="62">
      <c r="B62" s="62" t="s">
        <v>1666</v>
      </c>
      <c r="C62" s="45" t="s">
        <v>218</v>
      </c>
      <c r="D62" s="62" t="s">
        <v>3227</v>
      </c>
      <c r="E62" s="11" t="str">
        <f>HYPERLINK("https://youtu.be/XUVGquOT0d8?t=6497","channel 2")</f>
        <v>channel 2</v>
      </c>
    </row>
    <row r="63">
      <c r="B63" s="62" t="s">
        <v>3226</v>
      </c>
      <c r="C63" s="45" t="s">
        <v>195</v>
      </c>
      <c r="D63" s="62" t="s">
        <v>1284</v>
      </c>
      <c r="E63" s="11" t="str">
        <f>HYPERLINK("https://youtu.be/vHmoklh3nx8?t=7339","channel 1")</f>
        <v>channel 1</v>
      </c>
    </row>
    <row r="64">
      <c r="B64" s="62" t="s">
        <v>1666</v>
      </c>
      <c r="C64" s="45" t="s">
        <v>258</v>
      </c>
      <c r="D64" s="61" t="s">
        <v>3228</v>
      </c>
      <c r="E64" s="11" t="str">
        <f>HYPERLINK("https://youtu.be/XUVGquOT0d8?t=7421","channel 2")</f>
        <v>channel 2</v>
      </c>
    </row>
    <row r="65">
      <c r="B65" s="62" t="s">
        <v>3227</v>
      </c>
      <c r="C65" s="45" t="s">
        <v>163</v>
      </c>
      <c r="D65" s="62" t="s">
        <v>1284</v>
      </c>
      <c r="E65" s="11" t="str">
        <f>HYPERLINK("https://youtu.be/vHmoklh3nx8?t=8228","channel 1")</f>
        <v>channel 1</v>
      </c>
    </row>
    <row r="66">
      <c r="B66" s="62" t="s">
        <v>3226</v>
      </c>
      <c r="C66" s="45" t="s">
        <v>534</v>
      </c>
      <c r="D66" s="61" t="s">
        <v>3228</v>
      </c>
      <c r="E66" s="11" t="str">
        <f>HYPERLINK("https://youtu.be/XUVGquOT0d8?t=8328","channel 2")</f>
        <v>channel 2</v>
      </c>
    </row>
    <row r="67">
      <c r="B67" s="96" t="s">
        <v>3229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3230</v>
      </c>
      <c r="C69" s="45" t="s">
        <v>173</v>
      </c>
      <c r="D69" s="62" t="s">
        <v>3231</v>
      </c>
      <c r="E69" s="11" t="str">
        <f>HYPERLINK("https://youtu.be/p_B42sqjYec","channel 1")</f>
        <v>channel 1</v>
      </c>
    </row>
    <row r="70">
      <c r="B70" s="62" t="s">
        <v>3232</v>
      </c>
      <c r="C70" s="81" t="s">
        <v>668</v>
      </c>
      <c r="D70" s="61" t="s">
        <v>3233</v>
      </c>
      <c r="E70" s="122" t="s">
        <v>13</v>
      </c>
    </row>
    <row r="71">
      <c r="B71" s="62" t="s">
        <v>3234</v>
      </c>
      <c r="C71" s="45" t="s">
        <v>181</v>
      </c>
      <c r="D71" s="62" t="s">
        <v>3230</v>
      </c>
      <c r="E71" s="11" t="str">
        <f>HYPERLINK("https://youtu.be/p_B42sqjYec?t=1033","channel 1")</f>
        <v>channel 1</v>
      </c>
    </row>
    <row r="72">
      <c r="B72" s="62" t="s">
        <v>3232</v>
      </c>
      <c r="C72" s="81" t="s">
        <v>668</v>
      </c>
      <c r="D72" s="62" t="s">
        <v>3231</v>
      </c>
      <c r="E72" s="122" t="s">
        <v>13</v>
      </c>
    </row>
    <row r="73">
      <c r="B73" s="62" t="s">
        <v>3234</v>
      </c>
      <c r="C73" s="45" t="s">
        <v>17</v>
      </c>
      <c r="D73" s="61" t="s">
        <v>3233</v>
      </c>
      <c r="E73" s="11" t="str">
        <f>HYPERLINK("https://youtu.be/p_B42sqjYec?t=2071","channel 1")</f>
        <v>channel 1</v>
      </c>
    </row>
    <row r="74">
      <c r="B74" s="62" t="s">
        <v>3232</v>
      </c>
      <c r="C74" s="81" t="s">
        <v>668</v>
      </c>
      <c r="D74" s="62" t="s">
        <v>3230</v>
      </c>
      <c r="E74" s="122" t="s">
        <v>13</v>
      </c>
    </row>
    <row r="75">
      <c r="B75" s="62" t="s">
        <v>3234</v>
      </c>
      <c r="C75" s="45" t="s">
        <v>38</v>
      </c>
      <c r="D75" s="62" t="s">
        <v>3231</v>
      </c>
      <c r="E75" s="11" t="str">
        <f>HYPERLINK("https://youtu.be/p_B42sqjYec?t=2999","channel 1")</f>
        <v>channel 1</v>
      </c>
    </row>
    <row r="76">
      <c r="B76" s="61" t="s">
        <v>3233</v>
      </c>
      <c r="C76" s="45" t="s">
        <v>193</v>
      </c>
      <c r="D76" s="62" t="s">
        <v>3230</v>
      </c>
      <c r="E76" s="11" t="str">
        <f>HYPERLINK("https://youtu.be/o7epScSNBlM?t=5","channel 2")</f>
        <v>channel 2</v>
      </c>
    </row>
    <row r="77">
      <c r="B77" s="62" t="s">
        <v>3234</v>
      </c>
      <c r="C77" s="81" t="s">
        <v>668</v>
      </c>
      <c r="D77" s="62" t="s">
        <v>3232</v>
      </c>
      <c r="E77" s="122" t="s">
        <v>9</v>
      </c>
    </row>
    <row r="78">
      <c r="B78" s="61" t="s">
        <v>3233</v>
      </c>
      <c r="C78" s="45" t="s">
        <v>21</v>
      </c>
      <c r="D78" s="62" t="s">
        <v>3231</v>
      </c>
      <c r="E78" s="11" t="str">
        <f>HYPERLINK("https://youtu.be/o7epScSNBlM?t=990","channel 2")</f>
        <v>channel 2</v>
      </c>
    </row>
    <row r="79">
      <c r="B79" s="62" t="s">
        <v>3231</v>
      </c>
      <c r="C79" s="45" t="s">
        <v>196</v>
      </c>
      <c r="D79" s="62" t="s">
        <v>3230</v>
      </c>
      <c r="E79" s="11" t="str">
        <f>HYPERLINK("https://youtu.be/p_B42sqjYec?t=4908","channel 1")</f>
        <v>channel 1</v>
      </c>
    </row>
    <row r="80">
      <c r="B80" s="61" t="s">
        <v>3233</v>
      </c>
      <c r="C80" s="81" t="s">
        <v>668</v>
      </c>
      <c r="D80" s="62" t="s">
        <v>3232</v>
      </c>
      <c r="E80" s="122" t="s">
        <v>13</v>
      </c>
    </row>
    <row r="81">
      <c r="B81" s="62" t="s">
        <v>3230</v>
      </c>
      <c r="C81" s="45" t="s">
        <v>155</v>
      </c>
      <c r="D81" s="62" t="s">
        <v>3234</v>
      </c>
      <c r="E81" s="11" t="str">
        <f>HYPERLINK("https://youtu.be/p_B42sqjYec?t=5839","channel 1")</f>
        <v>channel 1</v>
      </c>
    </row>
    <row r="82">
      <c r="B82" s="62" t="s">
        <v>3231</v>
      </c>
      <c r="C82" s="81" t="s">
        <v>668</v>
      </c>
      <c r="D82" s="62" t="s">
        <v>3232</v>
      </c>
      <c r="E82" s="122" t="s">
        <v>13</v>
      </c>
    </row>
    <row r="83">
      <c r="B83" s="61" t="s">
        <v>3233</v>
      </c>
      <c r="C83" s="45" t="s">
        <v>18</v>
      </c>
      <c r="D83" s="62" t="s">
        <v>3234</v>
      </c>
      <c r="E83" s="11" t="str">
        <f>HYPERLINK("https://youtu.be/p_B42sqjYec?t=6808","channel 1")</f>
        <v>channel 1</v>
      </c>
    </row>
    <row r="84">
      <c r="B84" s="62" t="s">
        <v>3230</v>
      </c>
      <c r="C84" s="81" t="s">
        <v>668</v>
      </c>
      <c r="D84" s="62" t="s">
        <v>3232</v>
      </c>
      <c r="E84" s="122" t="s">
        <v>13</v>
      </c>
    </row>
    <row r="85">
      <c r="B85" s="62" t="s">
        <v>3231</v>
      </c>
      <c r="C85" s="45" t="s">
        <v>324</v>
      </c>
      <c r="D85" s="62" t="s">
        <v>3234</v>
      </c>
      <c r="E85" s="11" t="str">
        <f>HYPERLINK("https://youtu.be/p_B42sqjYec?t=7758","channel 1")</f>
        <v>channel 1</v>
      </c>
    </row>
    <row r="86">
      <c r="B86" s="62" t="s">
        <v>3230</v>
      </c>
      <c r="C86" s="81" t="s">
        <v>668</v>
      </c>
      <c r="D86" s="61" t="s">
        <v>3233</v>
      </c>
      <c r="E86" s="122" t="s">
        <v>13</v>
      </c>
    </row>
    <row r="87">
      <c r="B87" s="62" t="s">
        <v>3232</v>
      </c>
      <c r="C87" s="81" t="s">
        <v>668</v>
      </c>
      <c r="D87" s="62" t="s">
        <v>3234</v>
      </c>
      <c r="E87" s="122" t="s">
        <v>9</v>
      </c>
    </row>
    <row r="88">
      <c r="B88" s="62" t="s">
        <v>3231</v>
      </c>
      <c r="C88" s="45" t="s">
        <v>290</v>
      </c>
      <c r="D88" s="61" t="s">
        <v>3233</v>
      </c>
      <c r="E88" s="11" t="str">
        <f>HYPERLINK("https://youtu.be/o7epScSNBlM?t=5670","channel 2")</f>
        <v>channel 2</v>
      </c>
    </row>
    <row r="89">
      <c r="B89" s="96" t="s">
        <v>2646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3114</v>
      </c>
      <c r="C91" s="45" t="s">
        <v>195</v>
      </c>
      <c r="D91" s="62" t="s">
        <v>3235</v>
      </c>
      <c r="E91" s="11" t="str">
        <f>HYPERLINK("https://youtu.be/jVXabTBJAgs","channel 3")</f>
        <v>channel 3</v>
      </c>
    </row>
    <row r="92">
      <c r="B92" s="62" t="s">
        <v>2497</v>
      </c>
      <c r="C92" s="45" t="s">
        <v>7</v>
      </c>
      <c r="D92" s="61" t="s">
        <v>3236</v>
      </c>
      <c r="E92" s="11" t="str">
        <f>HYPERLINK("https://youtu.be/o01LFzmlj7w","channel 4")</f>
        <v>channel 4</v>
      </c>
    </row>
    <row r="93">
      <c r="B93" s="62" t="s">
        <v>2137</v>
      </c>
      <c r="C93" s="45" t="s">
        <v>43</v>
      </c>
      <c r="D93" s="62" t="s">
        <v>3114</v>
      </c>
      <c r="E93" s="11" t="str">
        <f>HYPERLINK("https://youtu.be/jVXabTBJAgs?t=1218","channel 3")</f>
        <v>channel 3</v>
      </c>
    </row>
    <row r="94">
      <c r="B94" s="62" t="s">
        <v>2497</v>
      </c>
      <c r="C94" s="45" t="s">
        <v>195</v>
      </c>
      <c r="D94" s="62" t="s">
        <v>3235</v>
      </c>
      <c r="E94" s="11" t="str">
        <f>HYPERLINK("https://youtu.be/o01LFzmlj7w?t=977","channel 4")</f>
        <v>channel 4</v>
      </c>
    </row>
    <row r="95">
      <c r="B95" s="62" t="s">
        <v>2137</v>
      </c>
      <c r="C95" s="45" t="s">
        <v>334</v>
      </c>
      <c r="D95" s="61" t="s">
        <v>3236</v>
      </c>
      <c r="E95" s="11" t="str">
        <f>HYPERLINK("https://youtu.be/jVXabTBJAgs?t=2198","channel 3")</f>
        <v>channel 3</v>
      </c>
    </row>
    <row r="96">
      <c r="B96" s="62" t="s">
        <v>2497</v>
      </c>
      <c r="C96" s="45" t="s">
        <v>454</v>
      </c>
      <c r="D96" s="62" t="s">
        <v>3114</v>
      </c>
      <c r="E96" s="11" t="str">
        <f>HYPERLINK("https://youtu.be/o01LFzmlj7w?t=1921","channel 4")</f>
        <v>channel 4</v>
      </c>
    </row>
    <row r="97">
      <c r="B97" s="62" t="s">
        <v>2137</v>
      </c>
      <c r="C97" s="45" t="s">
        <v>3237</v>
      </c>
      <c r="D97" s="62" t="s">
        <v>3235</v>
      </c>
      <c r="E97" s="11" t="str">
        <f>HYPERLINK("https://youtu.be/jVXabTBJAgs?t=3109","channel 3")</f>
        <v>channel 3</v>
      </c>
    </row>
    <row r="98">
      <c r="B98" s="61" t="s">
        <v>3236</v>
      </c>
      <c r="C98" s="45" t="s">
        <v>301</v>
      </c>
      <c r="D98" s="62" t="s">
        <v>3114</v>
      </c>
      <c r="E98" s="11" t="str">
        <f>HYPERLINK("https://youtu.be/o01LFzmlj7w?t=2941","channel 4")</f>
        <v>channel 4</v>
      </c>
    </row>
    <row r="99">
      <c r="B99" s="62" t="s">
        <v>2137</v>
      </c>
      <c r="C99" s="45" t="s">
        <v>210</v>
      </c>
      <c r="D99" s="62" t="s">
        <v>2497</v>
      </c>
      <c r="E99" s="11" t="str">
        <f>HYPERLINK("https://youtu.be/jVXabTBJAgs?t=4156","channel 3")</f>
        <v>channel 3</v>
      </c>
    </row>
    <row r="100">
      <c r="B100" s="61" t="s">
        <v>3236</v>
      </c>
      <c r="C100" s="45" t="s">
        <v>18</v>
      </c>
      <c r="D100" s="62" t="s">
        <v>3235</v>
      </c>
      <c r="E100" s="11" t="str">
        <f>HYPERLINK("https://youtu.be/o01LFzmlj7w?t=3857","channel 4")</f>
        <v>channel 4</v>
      </c>
    </row>
    <row r="101">
      <c r="B101" s="62" t="s">
        <v>3235</v>
      </c>
      <c r="C101" s="45" t="s">
        <v>23</v>
      </c>
      <c r="D101" s="62" t="s">
        <v>3114</v>
      </c>
      <c r="E101" s="11" t="str">
        <f>HYPERLINK("https://youtu.be/jVXabTBJAgs?t=5048","channel 3")</f>
        <v>channel 3</v>
      </c>
    </row>
    <row r="102">
      <c r="B102" s="61" t="s">
        <v>3236</v>
      </c>
      <c r="C102" s="45" t="s">
        <v>301</v>
      </c>
      <c r="D102" s="62" t="s">
        <v>2497</v>
      </c>
      <c r="E102" s="11" t="str">
        <f>HYPERLINK("https://youtu.be/o01LFzmlj7w?t=4796","channel 4")</f>
        <v>channel 4</v>
      </c>
    </row>
    <row r="103">
      <c r="B103" s="62" t="s">
        <v>3114</v>
      </c>
      <c r="C103" s="45" t="s">
        <v>23</v>
      </c>
      <c r="D103" s="62" t="s">
        <v>2137</v>
      </c>
      <c r="E103" s="11" t="str">
        <f>HYPERLINK("https://youtu.be/jVXabTBJAgs?t=6017","channel 3")</f>
        <v>channel 3</v>
      </c>
    </row>
    <row r="104">
      <c r="B104" s="62" t="s">
        <v>3235</v>
      </c>
      <c r="C104" s="45" t="s">
        <v>20</v>
      </c>
      <c r="D104" s="62" t="s">
        <v>2497</v>
      </c>
      <c r="E104" s="11" t="str">
        <f>HYPERLINK("https://youtu.be/o01LFzmlj7w?t=5765","channel 4")</f>
        <v>channel 4</v>
      </c>
    </row>
    <row r="105">
      <c r="B105" s="61" t="s">
        <v>3236</v>
      </c>
      <c r="C105" s="45" t="s">
        <v>159</v>
      </c>
      <c r="D105" s="62" t="s">
        <v>2137</v>
      </c>
      <c r="E105" s="11" t="str">
        <f>HYPERLINK("https://youtu.be/jVXabTBJAgs?t=6952","channel 3")</f>
        <v>channel 3</v>
      </c>
    </row>
    <row r="106">
      <c r="B106" s="62" t="s">
        <v>3114</v>
      </c>
      <c r="C106" s="45" t="s">
        <v>209</v>
      </c>
      <c r="D106" s="62" t="s">
        <v>2497</v>
      </c>
      <c r="E106" s="11" t="str">
        <f>HYPERLINK("https://youtu.be/o01LFzmlj7w?t=6819","channel 4")</f>
        <v>channel 4</v>
      </c>
    </row>
    <row r="107">
      <c r="B107" s="62" t="s">
        <v>3235</v>
      </c>
      <c r="C107" s="45" t="s">
        <v>171</v>
      </c>
      <c r="D107" s="62" t="s">
        <v>2137</v>
      </c>
      <c r="E107" s="11" t="str">
        <f>HYPERLINK("https://youtu.be/jVXabTBJAgs?t=7977","channel 3")</f>
        <v>channel 3</v>
      </c>
    </row>
    <row r="108">
      <c r="B108" s="62" t="s">
        <v>3114</v>
      </c>
      <c r="C108" s="45" t="s">
        <v>17</v>
      </c>
      <c r="D108" s="61" t="s">
        <v>3236</v>
      </c>
      <c r="E108" s="11" t="str">
        <f>HYPERLINK("https://youtu.be/o01LFzmlj7w?t=7673","channel 4")</f>
        <v>channel 4</v>
      </c>
    </row>
    <row r="109">
      <c r="B109" s="62" t="s">
        <v>2497</v>
      </c>
      <c r="C109" s="45" t="s">
        <v>18</v>
      </c>
      <c r="D109" s="62" t="s">
        <v>2137</v>
      </c>
      <c r="E109" s="11" t="str">
        <f>HYPERLINK("https://youtu.be/jVXabTBJAgs?t=9113","channel 3")</f>
        <v>channel 3</v>
      </c>
    </row>
    <row r="110">
      <c r="B110" s="62" t="s">
        <v>3235</v>
      </c>
      <c r="C110" s="45" t="s">
        <v>220</v>
      </c>
      <c r="D110" s="61" t="s">
        <v>3236</v>
      </c>
      <c r="E110" s="11" t="str">
        <f>HYPERLINK("https://youtu.be/o01LFzmlj7w?t=8640","channel 4")</f>
        <v>channel 4</v>
      </c>
    </row>
    <row r="111">
      <c r="B111" s="96" t="s">
        <v>2741</v>
      </c>
      <c r="C111" s="2"/>
      <c r="D111" s="3"/>
      <c r="E111" s="53"/>
      <c r="J111" s="50" t="s">
        <v>861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2778</v>
      </c>
      <c r="C113" s="45" t="s">
        <v>20</v>
      </c>
      <c r="D113" s="62" t="s">
        <v>3238</v>
      </c>
      <c r="E113" s="11" t="str">
        <f>HYPERLINK("https://youtu.be/Y1ldpeQjmpE","channel 3")</f>
        <v>channel 3</v>
      </c>
    </row>
    <row r="114">
      <c r="B114" s="62" t="s">
        <v>3058</v>
      </c>
      <c r="C114" s="45" t="s">
        <v>208</v>
      </c>
      <c r="D114" s="61" t="s">
        <v>2253</v>
      </c>
      <c r="E114" s="11" t="str">
        <f>HYPERLINK("https://youtu.be/fsNy3RUMSdU","channel 4")</f>
        <v>channel 4</v>
      </c>
    </row>
    <row r="115">
      <c r="B115" s="62" t="s">
        <v>1438</v>
      </c>
      <c r="C115" s="45" t="s">
        <v>196</v>
      </c>
      <c r="D115" s="62" t="s">
        <v>2778</v>
      </c>
      <c r="E115" s="11" t="str">
        <f>HYPERLINK("https://youtu.be/Y1ldpeQjmpE?t=922","channel 3")</f>
        <v>channel 3</v>
      </c>
    </row>
    <row r="116">
      <c r="B116" s="62" t="s">
        <v>3058</v>
      </c>
      <c r="C116" s="45" t="s">
        <v>20</v>
      </c>
      <c r="D116" s="62" t="s">
        <v>3238</v>
      </c>
      <c r="E116" s="11" t="str">
        <f>HYPERLINK("https://youtu.be/fsNy3RUMSdU?t=989","channel 4")</f>
        <v>channel 4</v>
      </c>
    </row>
    <row r="117">
      <c r="B117" s="62" t="s">
        <v>1438</v>
      </c>
      <c r="C117" s="45" t="s">
        <v>366</v>
      </c>
      <c r="D117" s="61" t="s">
        <v>2253</v>
      </c>
      <c r="E117" s="11" t="str">
        <f>HYPERLINK("https://youtu.be/Y1ldpeQjmpE?t=1880","channel 3")</f>
        <v>channel 3</v>
      </c>
    </row>
    <row r="118">
      <c r="B118" s="62" t="s">
        <v>3058</v>
      </c>
      <c r="C118" s="45" t="s">
        <v>181</v>
      </c>
      <c r="D118" s="62" t="s">
        <v>2778</v>
      </c>
      <c r="E118" s="11" t="str">
        <f>HYPERLINK("https://youtu.be/fsNy3RUMSdU?t=1969","channel 4")</f>
        <v>channel 4</v>
      </c>
    </row>
    <row r="119">
      <c r="B119" s="62" t="s">
        <v>1438</v>
      </c>
      <c r="C119" s="45" t="s">
        <v>271</v>
      </c>
      <c r="D119" s="62" t="s">
        <v>3238</v>
      </c>
      <c r="E119" s="11" t="str">
        <f>HYPERLINK("https://youtu.be/Y1ldpeQjmpE?t=2778","channel 3")</f>
        <v>channel 3</v>
      </c>
    </row>
    <row r="120">
      <c r="B120" s="61" t="s">
        <v>2253</v>
      </c>
      <c r="C120" s="45" t="s">
        <v>408</v>
      </c>
      <c r="D120" s="62" t="s">
        <v>2778</v>
      </c>
      <c r="E120" s="11" t="str">
        <f>HYPERLINK("https://youtu.be/fsNy3RUMSdU?t=2983","channel 4")</f>
        <v>channel 4</v>
      </c>
      <c r="F120" s="50" t="s">
        <v>514</v>
      </c>
    </row>
    <row r="121">
      <c r="B121" s="62" t="s">
        <v>1438</v>
      </c>
      <c r="C121" s="45" t="s">
        <v>155</v>
      </c>
      <c r="D121" s="62" t="s">
        <v>3058</v>
      </c>
      <c r="E121" s="11" t="str">
        <f>HYPERLINK("https://youtu.be/Y1ldpeQjmpE?t=3756","channel 3")</f>
        <v>channel 3</v>
      </c>
    </row>
    <row r="122">
      <c r="B122" s="61" t="s">
        <v>2253</v>
      </c>
      <c r="C122" s="45" t="s">
        <v>195</v>
      </c>
      <c r="D122" s="62" t="s">
        <v>3238</v>
      </c>
      <c r="E122" s="11" t="str">
        <f>HYPERLINK("https://youtu.be/fsNy3RUMSdU?t=3918","channel 4")</f>
        <v>channel 4</v>
      </c>
    </row>
    <row r="123">
      <c r="B123" s="62" t="s">
        <v>3238</v>
      </c>
      <c r="C123" s="45" t="s">
        <v>640</v>
      </c>
      <c r="D123" s="62" t="s">
        <v>2778</v>
      </c>
      <c r="E123" s="11" t="str">
        <f>HYPERLINK("https://youtu.be/Y1ldpeQjmpE?t=4749","channel 3")</f>
        <v>channel 3</v>
      </c>
    </row>
    <row r="124">
      <c r="B124" s="61" t="s">
        <v>2253</v>
      </c>
      <c r="C124" s="45" t="s">
        <v>250</v>
      </c>
      <c r="D124" s="62" t="s">
        <v>3058</v>
      </c>
      <c r="E124" s="11" t="str">
        <f>HYPERLINK("https://youtu.be/fsNy3RUMSdU?t=4878","channel 4")</f>
        <v>channel 4</v>
      </c>
    </row>
    <row r="125">
      <c r="B125" s="62" t="s">
        <v>2778</v>
      </c>
      <c r="C125" s="45" t="s">
        <v>2065</v>
      </c>
      <c r="D125" s="62" t="s">
        <v>1438</v>
      </c>
      <c r="E125" s="11" t="str">
        <f>HYPERLINK("https://youtu.be/Y1ldpeQjmpE?t=5768","channel 3")</f>
        <v>channel 3</v>
      </c>
    </row>
    <row r="126">
      <c r="B126" s="62" t="s">
        <v>3238</v>
      </c>
      <c r="C126" s="45" t="s">
        <v>16</v>
      </c>
      <c r="D126" s="62" t="s">
        <v>3058</v>
      </c>
      <c r="E126" s="11" t="str">
        <f>HYPERLINK("https://youtu.be/fsNy3RUMSdU?t=5799","channel 4")</f>
        <v>channel 4</v>
      </c>
    </row>
    <row r="127">
      <c r="B127" s="61" t="s">
        <v>2253</v>
      </c>
      <c r="C127" s="45" t="s">
        <v>196</v>
      </c>
      <c r="D127" s="62" t="s">
        <v>1438</v>
      </c>
      <c r="E127" s="11" t="str">
        <f>HYPERLINK("https://youtu.be/Y1ldpeQjmpE?t=6686","channel 3")</f>
        <v>channel 3</v>
      </c>
    </row>
    <row r="128">
      <c r="B128" s="62" t="s">
        <v>2778</v>
      </c>
      <c r="C128" s="45" t="s">
        <v>27</v>
      </c>
      <c r="D128" s="62" t="s">
        <v>3058</v>
      </c>
      <c r="E128" s="11" t="str">
        <f>HYPERLINK("https://youtu.be/fsNy3RUMSdU?t=6776","channel 4")</f>
        <v>channel 4</v>
      </c>
      <c r="J128" s="50" t="s">
        <v>514</v>
      </c>
    </row>
    <row r="129">
      <c r="B129" s="62" t="s">
        <v>3238</v>
      </c>
      <c r="C129" s="45" t="s">
        <v>1822</v>
      </c>
      <c r="D129" s="62" t="s">
        <v>1438</v>
      </c>
      <c r="E129" s="11" t="str">
        <f>HYPERLINK("https://youtu.be/Y1ldpeQjmpE?t=7618","channel 3")</f>
        <v>channel 3</v>
      </c>
    </row>
    <row r="130">
      <c r="B130" s="62" t="s">
        <v>2778</v>
      </c>
      <c r="C130" s="45" t="s">
        <v>159</v>
      </c>
      <c r="D130" s="61" t="s">
        <v>2253</v>
      </c>
      <c r="E130" s="11" t="str">
        <f>HYPERLINK("https://youtu.be/fsNy3RUMSdU?t=7806","channel 4")</f>
        <v>channel 4</v>
      </c>
    </row>
    <row r="131">
      <c r="B131" s="62" t="s">
        <v>3058</v>
      </c>
      <c r="C131" s="45" t="s">
        <v>279</v>
      </c>
      <c r="D131" s="62" t="s">
        <v>1438</v>
      </c>
      <c r="E131" s="11" t="str">
        <f>HYPERLINK("https://youtu.be/Y1ldpeQjmpE?t=8617","channel 3")</f>
        <v>channel 3</v>
      </c>
    </row>
    <row r="132">
      <c r="B132" s="62" t="s">
        <v>3238</v>
      </c>
      <c r="C132" s="45" t="s">
        <v>394</v>
      </c>
      <c r="D132" s="61" t="s">
        <v>2253</v>
      </c>
      <c r="E132" s="11" t="str">
        <f>HYPERLINK("https://youtu.be/fsNy3RUMSdU?t=8798","channel 4")</f>
        <v>channel 4</v>
      </c>
    </row>
    <row r="133">
      <c r="B133" s="96" t="s">
        <v>3008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1962</v>
      </c>
      <c r="C135" s="81" t="s">
        <v>668</v>
      </c>
      <c r="D135" s="62" t="s">
        <v>845</v>
      </c>
      <c r="E135" s="122" t="s">
        <v>9</v>
      </c>
    </row>
    <row r="136">
      <c r="B136" s="62" t="s">
        <v>3205</v>
      </c>
      <c r="C136" s="45" t="s">
        <v>193</v>
      </c>
      <c r="D136" s="61" t="s">
        <v>3239</v>
      </c>
      <c r="E136" s="11" t="str">
        <f>HYPERLINK("https://youtu.be/4DDC8vq5FOE","channel 2")</f>
        <v>channel 2</v>
      </c>
    </row>
    <row r="137">
      <c r="B137" s="62" t="s">
        <v>1982</v>
      </c>
      <c r="C137" s="81" t="s">
        <v>668</v>
      </c>
      <c r="D137" s="62" t="s">
        <v>1962</v>
      </c>
      <c r="E137" s="122" t="s">
        <v>9</v>
      </c>
    </row>
    <row r="138">
      <c r="B138" s="62" t="s">
        <v>3205</v>
      </c>
      <c r="C138" s="45" t="s">
        <v>584</v>
      </c>
      <c r="D138" s="62" t="s">
        <v>845</v>
      </c>
      <c r="E138" s="11" t="str">
        <f>HYPERLINK("https://youtu.be/4DDC8vq5FOE?t=1237","channel 2")</f>
        <v>channel 2</v>
      </c>
    </row>
    <row r="139">
      <c r="B139" s="62" t="s">
        <v>1982</v>
      </c>
      <c r="C139" s="45" t="s">
        <v>17</v>
      </c>
      <c r="D139" s="61" t="s">
        <v>3239</v>
      </c>
      <c r="E139" s="11" t="str">
        <f>HYPERLINK("https://youtu.be/VoSpW1H0RdQ","channel 1")</f>
        <v>channel 1</v>
      </c>
    </row>
    <row r="140">
      <c r="B140" s="62" t="s">
        <v>3205</v>
      </c>
      <c r="C140" s="81" t="s">
        <v>668</v>
      </c>
      <c r="D140" s="62" t="s">
        <v>1962</v>
      </c>
      <c r="E140" s="11" t="str">
        <f>HYPERLINK("https://youtu.be/4DDC8vq5FOE?t=4085","channel 2")</f>
        <v>channel 2</v>
      </c>
    </row>
    <row r="141">
      <c r="B141" s="62" t="s">
        <v>1982</v>
      </c>
      <c r="C141" s="45" t="s">
        <v>507</v>
      </c>
      <c r="D141" s="62" t="s">
        <v>845</v>
      </c>
      <c r="E141" s="11" t="str">
        <f>HYPERLINK("https://youtu.be/VoSpW1H0RdQ?t=1115","channel 1")</f>
        <v>channel 1</v>
      </c>
    </row>
    <row r="142">
      <c r="B142" s="61" t="s">
        <v>3239</v>
      </c>
      <c r="C142" s="81" t="s">
        <v>668</v>
      </c>
      <c r="D142" s="62" t="s">
        <v>1962</v>
      </c>
      <c r="E142" s="11" t="str">
        <f>HYPERLINK("https://youtu.be/4DDC8vq5FOE?t=3941","channel 2")</f>
        <v>channel 2</v>
      </c>
    </row>
    <row r="143">
      <c r="B143" s="62" t="s">
        <v>1982</v>
      </c>
      <c r="C143" s="45" t="s">
        <v>454</v>
      </c>
      <c r="D143" s="62" t="s">
        <v>3205</v>
      </c>
      <c r="E143" s="11" t="str">
        <f>HYPERLINK("https://youtu.be/VoSpW1H0RdQ?t=2035","channel 1")</f>
        <v>channel 1</v>
      </c>
    </row>
    <row r="144">
      <c r="B144" s="61" t="s">
        <v>3239</v>
      </c>
      <c r="C144" s="45" t="s">
        <v>394</v>
      </c>
      <c r="D144" s="62" t="s">
        <v>845</v>
      </c>
      <c r="E144" s="11" t="str">
        <f>HYPERLINK("https://youtu.be/XfFBnZXXG-s","channel 2")</f>
        <v>channel 2</v>
      </c>
    </row>
    <row r="145">
      <c r="B145" s="62" t="s">
        <v>845</v>
      </c>
      <c r="C145" s="45" t="s">
        <v>425</v>
      </c>
      <c r="D145" s="62" t="s">
        <v>1962</v>
      </c>
      <c r="E145" s="11" t="str">
        <f>HYPERLINK("https://youtu.be/VoSpW1H0RdQ?t=2924","channel 1")</f>
        <v>channel 1</v>
      </c>
    </row>
    <row r="146">
      <c r="B146" s="61" t="s">
        <v>3239</v>
      </c>
      <c r="C146" s="45" t="s">
        <v>38</v>
      </c>
      <c r="D146" s="62" t="s">
        <v>3205</v>
      </c>
      <c r="E146" s="11" t="str">
        <f>HYPERLINK("https://youtu.be/XfFBnZXXG-s?t=2994","channel 2")</f>
        <v>channel 2</v>
      </c>
    </row>
    <row r="147">
      <c r="B147" s="62" t="s">
        <v>1962</v>
      </c>
      <c r="C147" s="45" t="s">
        <v>173</v>
      </c>
      <c r="D147" s="62" t="s">
        <v>1982</v>
      </c>
      <c r="E147" s="11" t="str">
        <f>HYPERLINK("https://youtu.be/VoSpW1H0RdQ?t=3844","channel 1")</f>
        <v>channel 1</v>
      </c>
    </row>
    <row r="148">
      <c r="B148" s="62" t="s">
        <v>845</v>
      </c>
      <c r="C148" s="45" t="s">
        <v>173</v>
      </c>
      <c r="D148" s="62" t="s">
        <v>3205</v>
      </c>
      <c r="E148" s="11" t="str">
        <f>HYPERLINK("https://youtu.be/XfFBnZXXG-s?t=3900","channel 2")</f>
        <v>channel 2</v>
      </c>
    </row>
    <row r="149">
      <c r="B149" s="61" t="s">
        <v>3239</v>
      </c>
      <c r="C149" s="45" t="s">
        <v>351</v>
      </c>
      <c r="D149" s="62" t="s">
        <v>1982</v>
      </c>
      <c r="E149" s="11" t="str">
        <f>HYPERLINK("https://youtu.be/VoSpW1H0RdQ?t=4751","channel 1")</f>
        <v>channel 1</v>
      </c>
    </row>
    <row r="150">
      <c r="B150" s="62" t="s">
        <v>1962</v>
      </c>
      <c r="C150" s="45" t="s">
        <v>620</v>
      </c>
      <c r="D150" s="62" t="s">
        <v>3205</v>
      </c>
      <c r="E150" s="11" t="str">
        <f>HYPERLINK("https://youtu.be/XfFBnZXXG-s?t=4822","channel 2")</f>
        <v>channel 2</v>
      </c>
    </row>
    <row r="151">
      <c r="B151" s="62" t="s">
        <v>845</v>
      </c>
      <c r="C151" s="45" t="s">
        <v>1590</v>
      </c>
      <c r="D151" s="62" t="s">
        <v>1982</v>
      </c>
      <c r="E151" s="11" t="str">
        <f>HYPERLINK("https://youtu.be/VoSpW1H0RdQ?t=5681","channel 1")</f>
        <v>channel 1</v>
      </c>
    </row>
    <row r="152">
      <c r="B152" s="62" t="s">
        <v>1962</v>
      </c>
      <c r="C152" s="45" t="s">
        <v>302</v>
      </c>
      <c r="D152" s="61" t="s">
        <v>3239</v>
      </c>
      <c r="E152" s="11" t="str">
        <f>HYPERLINK("https://youtu.be/XfFBnZXXG-s?t=5750","channel 2")</f>
        <v>channel 2</v>
      </c>
    </row>
    <row r="153">
      <c r="B153" s="62" t="s">
        <v>3205</v>
      </c>
      <c r="C153" s="45" t="s">
        <v>289</v>
      </c>
      <c r="D153" s="62" t="s">
        <v>1982</v>
      </c>
      <c r="E153" s="11" t="str">
        <f>HYPERLINK("https://youtu.be/VoSpW1H0RdQ?t=6569","channel 1")</f>
        <v>channel 1</v>
      </c>
    </row>
    <row r="154">
      <c r="B154" s="62" t="s">
        <v>845</v>
      </c>
      <c r="C154" s="45" t="s">
        <v>351</v>
      </c>
      <c r="D154" s="61" t="s">
        <v>3239</v>
      </c>
      <c r="E154" s="11" t="str">
        <f>HYPERLINK("https://youtu.be/XfFBnZXXG-s?t=6581","channel 2")</f>
        <v>channel 2</v>
      </c>
    </row>
    <row r="155">
      <c r="B155" s="96" t="s">
        <v>3011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2731</v>
      </c>
      <c r="C157" s="45" t="s">
        <v>184</v>
      </c>
      <c r="D157" s="62" t="s">
        <v>2946</v>
      </c>
      <c r="E157" s="11" t="str">
        <f>HYPERLINK("https://youtu.be/66WQCChJoHA","channel 1")</f>
        <v>channel 1</v>
      </c>
    </row>
    <row r="158">
      <c r="B158" s="62" t="s">
        <v>3240</v>
      </c>
      <c r="C158" s="45" t="s">
        <v>744</v>
      </c>
      <c r="D158" s="61" t="s">
        <v>2989</v>
      </c>
      <c r="E158" s="11" t="str">
        <f>HYPERLINK("https://youtu.be/0CTIakxkLvw","channel 2")</f>
        <v>channel 2</v>
      </c>
    </row>
    <row r="159">
      <c r="B159" s="62" t="s">
        <v>2217</v>
      </c>
      <c r="C159" s="45" t="s">
        <v>27</v>
      </c>
      <c r="D159" s="62" t="s">
        <v>2731</v>
      </c>
      <c r="E159" s="11" t="str">
        <f>HYPERLINK("https://youtu.be/66WQCChJoHA?t=1011","channel 1")</f>
        <v>channel 1</v>
      </c>
    </row>
    <row r="160">
      <c r="B160" s="62" t="s">
        <v>3240</v>
      </c>
      <c r="C160" s="45" t="s">
        <v>278</v>
      </c>
      <c r="D160" s="62" t="s">
        <v>2946</v>
      </c>
      <c r="E160" s="11" t="str">
        <f>HYPERLINK("https://youtu.be/0CTIakxkLvw?t=1084","channel 2")</f>
        <v>channel 2</v>
      </c>
    </row>
    <row r="161">
      <c r="B161" s="62" t="s">
        <v>2217</v>
      </c>
      <c r="C161" s="45" t="s">
        <v>195</v>
      </c>
      <c r="D161" s="61" t="s">
        <v>2989</v>
      </c>
      <c r="E161" s="11" t="str">
        <f>HYPERLINK("https://youtu.be/66WQCChJoHA?t=2044","channel 1")</f>
        <v>channel 1</v>
      </c>
    </row>
    <row r="162">
      <c r="B162" s="62" t="s">
        <v>3240</v>
      </c>
      <c r="C162" s="45" t="s">
        <v>197</v>
      </c>
      <c r="D162" s="62" t="s">
        <v>2731</v>
      </c>
      <c r="E162" s="11" t="str">
        <f>HYPERLINK("https://youtu.be/Wy1PSDq5FeQ","channel 2")</f>
        <v>channel 2</v>
      </c>
    </row>
    <row r="163">
      <c r="B163" s="62" t="s">
        <v>2217</v>
      </c>
      <c r="C163" s="45" t="s">
        <v>196</v>
      </c>
      <c r="D163" s="62" t="s">
        <v>2946</v>
      </c>
      <c r="E163" s="11" t="str">
        <f>HYPERLINK("https://youtu.be/66WQCChJoHA?t=2937","channel 1")</f>
        <v>channel 1</v>
      </c>
    </row>
    <row r="164">
      <c r="B164" s="61" t="s">
        <v>2989</v>
      </c>
      <c r="C164" s="45" t="s">
        <v>230</v>
      </c>
      <c r="D164" s="62" t="s">
        <v>2731</v>
      </c>
      <c r="E164" s="11" t="str">
        <f>HYPERLINK("https://youtu.be/Wy1PSDq5FeQ?t=1149","channel 2")</f>
        <v>channel 2</v>
      </c>
    </row>
    <row r="165">
      <c r="B165" s="62" t="s">
        <v>2217</v>
      </c>
      <c r="C165" s="45" t="s">
        <v>14</v>
      </c>
      <c r="D165" s="62" t="s">
        <v>3240</v>
      </c>
      <c r="E165" s="11" t="str">
        <f>HYPERLINK("https://youtu.be/66WQCChJoHA?t=3852","channel 1")</f>
        <v>channel 1</v>
      </c>
    </row>
    <row r="166">
      <c r="B166" s="61" t="s">
        <v>2989</v>
      </c>
      <c r="C166" s="45" t="s">
        <v>334</v>
      </c>
      <c r="D166" s="62" t="s">
        <v>2946</v>
      </c>
      <c r="E166" s="11" t="str">
        <f>HYPERLINK("https://youtu.be/Wy1PSDq5FeQ?t=2044","channel 2")</f>
        <v>channel 2</v>
      </c>
    </row>
    <row r="167">
      <c r="B167" s="62" t="s">
        <v>2946</v>
      </c>
      <c r="C167" s="45" t="s">
        <v>16</v>
      </c>
      <c r="D167" s="62" t="s">
        <v>2731</v>
      </c>
      <c r="E167" s="11" t="str">
        <f>HYPERLINK("https://youtu.be/66WQCChJoHA?t=4780","channel 1")</f>
        <v>channel 1</v>
      </c>
    </row>
    <row r="168">
      <c r="B168" s="61" t="s">
        <v>2989</v>
      </c>
      <c r="C168" s="45" t="s">
        <v>24</v>
      </c>
      <c r="D168" s="62" t="s">
        <v>3240</v>
      </c>
      <c r="E168" s="11" t="str">
        <f>HYPERLINK("https://youtu.be/Wy1PSDq5FeQ?t=2906","channel 2")</f>
        <v>channel 2</v>
      </c>
    </row>
    <row r="169">
      <c r="B169" s="62" t="s">
        <v>2731</v>
      </c>
      <c r="C169" s="45" t="s">
        <v>219</v>
      </c>
      <c r="D169" s="62" t="s">
        <v>2217</v>
      </c>
      <c r="E169" s="11" t="str">
        <f>HYPERLINK("https://youtu.be/66WQCChJoHA?t=5690","channel 1")</f>
        <v>channel 1</v>
      </c>
    </row>
    <row r="170">
      <c r="B170" s="62" t="s">
        <v>2946</v>
      </c>
      <c r="C170" s="45" t="s">
        <v>186</v>
      </c>
      <c r="D170" s="62" t="s">
        <v>3240</v>
      </c>
      <c r="E170" s="11" t="str">
        <f>HYPERLINK("https://youtu.be/Wy1PSDq5FeQ?t=3807","channel 2")</f>
        <v>channel 2</v>
      </c>
    </row>
    <row r="171">
      <c r="B171" s="61" t="s">
        <v>2989</v>
      </c>
      <c r="C171" s="45" t="s">
        <v>830</v>
      </c>
      <c r="D171" s="62" t="s">
        <v>2217</v>
      </c>
      <c r="E171" s="11" t="str">
        <f>HYPERLINK("https://youtu.be/66WQCChJoHA?t=6702","channel 1")</f>
        <v>channel 1</v>
      </c>
    </row>
    <row r="172">
      <c r="B172" s="62" t="s">
        <v>2731</v>
      </c>
      <c r="C172" s="45" t="s">
        <v>159</v>
      </c>
      <c r="D172" s="62" t="s">
        <v>3240</v>
      </c>
      <c r="E172" s="11" t="str">
        <f>HYPERLINK("https://youtu.be/Wy1PSDq5FeQ?t=4683","channel 2")</f>
        <v>channel 2</v>
      </c>
    </row>
    <row r="173">
      <c r="B173" s="62" t="s">
        <v>2946</v>
      </c>
      <c r="C173" s="45" t="s">
        <v>158</v>
      </c>
      <c r="D173" s="62" t="s">
        <v>2217</v>
      </c>
      <c r="E173" s="11" t="str">
        <f>HYPERLINK("https://youtu.be/66WQCChJoHA?t=7683","channel 1")</f>
        <v>channel 1</v>
      </c>
    </row>
    <row r="174">
      <c r="B174" s="62" t="s">
        <v>2731</v>
      </c>
      <c r="C174" s="45" t="s">
        <v>173</v>
      </c>
      <c r="D174" s="61" t="s">
        <v>2989</v>
      </c>
      <c r="E174" s="11" t="str">
        <f>HYPERLINK("https://youtu.be/Wy1PSDq5FeQ?t=5700","channel 2")</f>
        <v>channel 2</v>
      </c>
    </row>
    <row r="175">
      <c r="B175" s="62" t="s">
        <v>3240</v>
      </c>
      <c r="C175" s="45" t="s">
        <v>524</v>
      </c>
      <c r="D175" s="62" t="s">
        <v>2217</v>
      </c>
      <c r="E175" s="11" t="str">
        <f>HYPERLINK("https://youtu.be/66WQCChJoHA?t=8582","channel 1")</f>
        <v>channel 1</v>
      </c>
    </row>
    <row r="176">
      <c r="B176" s="62" t="s">
        <v>2946</v>
      </c>
      <c r="C176" s="45" t="s">
        <v>18</v>
      </c>
      <c r="D176" s="61" t="s">
        <v>2989</v>
      </c>
      <c r="E176" s="11" t="str">
        <f>HYPERLINK("https://youtu.be/Wy1PSDq5FeQ?t=6575","channel 2")</f>
        <v>channel 2</v>
      </c>
    </row>
    <row r="177">
      <c r="B177" s="96" t="s">
        <v>2709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3241</v>
      </c>
      <c r="C179" s="45" t="s">
        <v>44</v>
      </c>
      <c r="D179" s="62" t="s">
        <v>3242</v>
      </c>
      <c r="E179" s="11" t="str">
        <f>HYPERLINK("https://youtu.be/wVma5DOUZzs","channel 3")</f>
        <v>channel 3</v>
      </c>
    </row>
    <row r="180">
      <c r="B180" s="62" t="s">
        <v>3243</v>
      </c>
      <c r="C180" s="45" t="s">
        <v>21</v>
      </c>
      <c r="D180" s="61" t="s">
        <v>2738</v>
      </c>
      <c r="E180" s="11" t="str">
        <f>HYPERLINK("https://youtu.be/gXsaeQK5t2o","channel 4")</f>
        <v>channel 4</v>
      </c>
    </row>
    <row r="181">
      <c r="B181" s="62" t="s">
        <v>1622</v>
      </c>
      <c r="C181" s="45" t="s">
        <v>196</v>
      </c>
      <c r="D181" s="62" t="s">
        <v>3241</v>
      </c>
      <c r="E181" s="11" t="str">
        <f>HYPERLINK("https://youtu.be/wVma5DOUZzs?t=1046","channel 3")</f>
        <v>channel 3</v>
      </c>
    </row>
    <row r="182">
      <c r="B182" s="62" t="s">
        <v>3243</v>
      </c>
      <c r="C182" s="45" t="s">
        <v>433</v>
      </c>
      <c r="D182" s="62" t="s">
        <v>3242</v>
      </c>
      <c r="E182" s="11" t="str">
        <f>HYPERLINK("https://youtu.be/gXsaeQK5t2o?t=980","channel 4")</f>
        <v>channel 4</v>
      </c>
    </row>
    <row r="183">
      <c r="B183" s="62" t="s">
        <v>1622</v>
      </c>
      <c r="C183" s="45" t="s">
        <v>357</v>
      </c>
      <c r="D183" s="61" t="s">
        <v>2738</v>
      </c>
      <c r="E183" s="11" t="str">
        <f>HYPERLINK("https://youtu.be/wVma5DOUZzs?t=1897","channel 3")</f>
        <v>channel 3</v>
      </c>
    </row>
    <row r="184">
      <c r="B184" s="62" t="s">
        <v>3243</v>
      </c>
      <c r="C184" s="45" t="s">
        <v>23</v>
      </c>
      <c r="D184" s="62" t="s">
        <v>3241</v>
      </c>
      <c r="E184" s="11" t="str">
        <f>HYPERLINK("https://youtu.be/gXsaeQK5t2o?t=1934","channel 4")</f>
        <v>channel 4</v>
      </c>
    </row>
    <row r="185">
      <c r="B185" s="62" t="s">
        <v>1622</v>
      </c>
      <c r="C185" s="45" t="s">
        <v>289</v>
      </c>
      <c r="D185" s="62" t="s">
        <v>3242</v>
      </c>
      <c r="E185" s="11" t="str">
        <f>HYPERLINK("https://youtu.be/wVma5DOUZzs?t=2804","channel 3")</f>
        <v>channel 3</v>
      </c>
    </row>
    <row r="186">
      <c r="B186" s="61" t="s">
        <v>2738</v>
      </c>
      <c r="C186" s="45" t="s">
        <v>250</v>
      </c>
      <c r="D186" s="62" t="s">
        <v>3241</v>
      </c>
      <c r="E186" s="11" t="str">
        <f>HYPERLINK("https://youtu.be/gXsaeQK5t2o?t=2959","channel 4")</f>
        <v>channel 4</v>
      </c>
    </row>
    <row r="187">
      <c r="B187" s="62" t="s">
        <v>1622</v>
      </c>
      <c r="C187" s="45" t="s">
        <v>357</v>
      </c>
      <c r="D187" s="62" t="s">
        <v>3243</v>
      </c>
      <c r="E187" s="11" t="str">
        <f>HYPERLINK("https://youtu.be/wVma5DOUZzs?t=3768","channel 3")</f>
        <v>channel 3</v>
      </c>
    </row>
    <row r="188">
      <c r="B188" s="61" t="s">
        <v>2738</v>
      </c>
      <c r="C188" s="45" t="s">
        <v>161</v>
      </c>
      <c r="D188" s="62" t="s">
        <v>3242</v>
      </c>
      <c r="E188" s="11" t="str">
        <f>HYPERLINK("https://youtu.be/gXsaeQK5t2o?t=3921","channel 4")</f>
        <v>channel 4</v>
      </c>
    </row>
    <row r="189">
      <c r="B189" s="62" t="s">
        <v>3242</v>
      </c>
      <c r="C189" s="45" t="s">
        <v>245</v>
      </c>
      <c r="D189" s="62" t="s">
        <v>3241</v>
      </c>
      <c r="E189" s="11" t="str">
        <f>HYPERLINK("https://youtu.be/wVma5DOUZzs?t=4805","channel 3")</f>
        <v>channel 3</v>
      </c>
    </row>
    <row r="190">
      <c r="B190" s="61" t="s">
        <v>2738</v>
      </c>
      <c r="C190" s="45" t="s">
        <v>250</v>
      </c>
      <c r="D190" s="62" t="s">
        <v>3243</v>
      </c>
      <c r="E190" s="11" t="str">
        <f>HYPERLINK("https://youtu.be/gXsaeQK5t2o?t=4847","channel 4")</f>
        <v>channel 4</v>
      </c>
    </row>
    <row r="191">
      <c r="B191" s="62" t="s">
        <v>3241</v>
      </c>
      <c r="C191" s="45" t="s">
        <v>289</v>
      </c>
      <c r="D191" s="62" t="s">
        <v>1622</v>
      </c>
      <c r="E191" s="11" t="str">
        <f>HYPERLINK("https://youtu.be/wVma5DOUZzs?t=5885","channel 3")</f>
        <v>channel 3</v>
      </c>
    </row>
    <row r="192">
      <c r="B192" s="62" t="s">
        <v>3242</v>
      </c>
      <c r="C192" s="45" t="s">
        <v>41</v>
      </c>
      <c r="D192" s="62" t="s">
        <v>3243</v>
      </c>
      <c r="E192" s="11" t="str">
        <f>HYPERLINK("https://youtu.be/gXsaeQK5t2o?t=5790","channel 4")</f>
        <v>channel 4</v>
      </c>
    </row>
    <row r="193">
      <c r="B193" s="61" t="s">
        <v>2738</v>
      </c>
      <c r="C193" s="45" t="s">
        <v>184</v>
      </c>
      <c r="D193" s="62" t="s">
        <v>1622</v>
      </c>
      <c r="E193" s="11" t="str">
        <f>HYPERLINK("https://youtu.be/wVma5DOUZzs?t=7151","channel 3")</f>
        <v>channel 3</v>
      </c>
    </row>
    <row r="194">
      <c r="B194" s="62" t="s">
        <v>3241</v>
      </c>
      <c r="C194" s="45" t="s">
        <v>1316</v>
      </c>
      <c r="D194" s="62" t="s">
        <v>3243</v>
      </c>
      <c r="E194" s="11" t="str">
        <f>HYPERLINK("https://youtu.be/gXsaeQK5t2o?t=6776","channel 4")</f>
        <v>channel 4</v>
      </c>
    </row>
    <row r="195">
      <c r="B195" s="62" t="s">
        <v>3242</v>
      </c>
      <c r="C195" s="45" t="s">
        <v>342</v>
      </c>
      <c r="D195" s="62" t="s">
        <v>1622</v>
      </c>
      <c r="E195" s="11" t="str">
        <f>HYPERLINK("https://youtu.be/wVma5DOUZzs?t=8069","channel 3")</f>
        <v>channel 3</v>
      </c>
    </row>
    <row r="196">
      <c r="B196" s="62" t="s">
        <v>3241</v>
      </c>
      <c r="C196" s="45" t="s">
        <v>196</v>
      </c>
      <c r="D196" s="61" t="s">
        <v>2738</v>
      </c>
      <c r="E196" s="11" t="str">
        <f>HYPERLINK("https://youtu.be/gXsaeQK5t2o?t=7958","channel 4")</f>
        <v>channel 4</v>
      </c>
    </row>
    <row r="197">
      <c r="B197" s="62" t="s">
        <v>3243</v>
      </c>
      <c r="C197" s="45" t="s">
        <v>219</v>
      </c>
      <c r="D197" s="62" t="s">
        <v>1622</v>
      </c>
      <c r="E197" s="11" t="str">
        <f>HYPERLINK("https://youtu.be/wVma5DOUZzs?t=9028","channel 3")</f>
        <v>channel 3</v>
      </c>
      <c r="J197" s="50" t="s">
        <v>861</v>
      </c>
    </row>
    <row r="198">
      <c r="B198" s="62" t="s">
        <v>3242</v>
      </c>
      <c r="C198" s="45" t="s">
        <v>534</v>
      </c>
      <c r="D198" s="61" t="s">
        <v>2738</v>
      </c>
      <c r="E198" s="11" t="str">
        <f>HYPERLINK("https://youtu.be/gXsaeQK5t2o?t=8913","channel 4")</f>
        <v>channel 4</v>
      </c>
      <c r="H198" s="50" t="s">
        <v>514</v>
      </c>
    </row>
    <row r="199">
      <c r="B199" s="96" t="s">
        <v>3016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3244</v>
      </c>
      <c r="C201" s="45" t="s">
        <v>774</v>
      </c>
      <c r="D201" s="62" t="s">
        <v>3245</v>
      </c>
      <c r="E201" s="11" t="str">
        <f>HYPERLINK("https://youtu.be/pafrE5b8EUY","channel 3")</f>
        <v>channel 3</v>
      </c>
    </row>
    <row r="202">
      <c r="B202" s="62" t="s">
        <v>2446</v>
      </c>
      <c r="C202" s="45" t="s">
        <v>342</v>
      </c>
      <c r="D202" s="61" t="s">
        <v>3246</v>
      </c>
      <c r="E202" s="11" t="str">
        <f>HYPERLINK("https://youtu.be/x8bLRkgkBfA","channel 4")</f>
        <v>channel 4</v>
      </c>
    </row>
    <row r="203">
      <c r="B203" s="62" t="s">
        <v>1951</v>
      </c>
      <c r="C203" s="45" t="s">
        <v>208</v>
      </c>
      <c r="D203" s="62" t="s">
        <v>3244</v>
      </c>
      <c r="E203" s="11" t="str">
        <f>HYPERLINK("https://youtu.be/pafrE5b8EUY?t=1042","channel 3")</f>
        <v>channel 3</v>
      </c>
    </row>
    <row r="204">
      <c r="B204" s="62" t="s">
        <v>2446</v>
      </c>
      <c r="C204" s="45" t="s">
        <v>280</v>
      </c>
      <c r="D204" s="62" t="s">
        <v>3245</v>
      </c>
      <c r="E204" s="11" t="str">
        <f>HYPERLINK("https://youtu.be/x8bLRkgkBfA?t=1012","channel 4")</f>
        <v>channel 4</v>
      </c>
    </row>
    <row r="205">
      <c r="B205" s="62" t="s">
        <v>1951</v>
      </c>
      <c r="C205" s="45" t="s">
        <v>40</v>
      </c>
      <c r="D205" s="61" t="s">
        <v>3246</v>
      </c>
      <c r="E205" s="11" t="str">
        <f>HYPERLINK("https://youtu.be/pafrE5b8EUY?t=1937","channel 3")</f>
        <v>channel 3</v>
      </c>
    </row>
    <row r="206">
      <c r="B206" s="62" t="s">
        <v>2446</v>
      </c>
      <c r="C206" s="45" t="s">
        <v>3247</v>
      </c>
      <c r="D206" s="62" t="s">
        <v>3244</v>
      </c>
      <c r="E206" s="11" t="str">
        <f>HYPERLINK("https://youtu.be/x8bLRkgkBfA?t=1946","channel 4")</f>
        <v>channel 4</v>
      </c>
    </row>
    <row r="207">
      <c r="B207" s="62" t="s">
        <v>1951</v>
      </c>
      <c r="C207" s="45" t="s">
        <v>290</v>
      </c>
      <c r="D207" s="62" t="s">
        <v>3245</v>
      </c>
      <c r="E207" s="11" t="str">
        <f>HYPERLINK("https://youtu.be/pafrE5b8EUY?t=2860","channel 3")</f>
        <v>channel 3</v>
      </c>
    </row>
    <row r="208">
      <c r="B208" s="61" t="s">
        <v>3246</v>
      </c>
      <c r="C208" s="45" t="s">
        <v>354</v>
      </c>
      <c r="D208" s="62" t="s">
        <v>3244</v>
      </c>
      <c r="E208" s="11" t="str">
        <f>HYPERLINK("https://youtu.be/x8bLRkgkBfA?t=3015","channel 4")</f>
        <v>channel 4</v>
      </c>
    </row>
    <row r="209">
      <c r="B209" s="62" t="s">
        <v>1951</v>
      </c>
      <c r="C209" s="45" t="s">
        <v>344</v>
      </c>
      <c r="D209" s="62" t="s">
        <v>2446</v>
      </c>
      <c r="E209" s="11" t="str">
        <f>HYPERLINK("https://youtu.be/pafrE5b8EUY?t=3809","channel 3")</f>
        <v>channel 3</v>
      </c>
    </row>
    <row r="210">
      <c r="B210" s="61" t="s">
        <v>3246</v>
      </c>
      <c r="C210" s="45" t="s">
        <v>219</v>
      </c>
      <c r="D210" s="62" t="s">
        <v>3245</v>
      </c>
      <c r="E210" s="11" t="str">
        <f>HYPERLINK("https://youtu.be/x8bLRkgkBfA?t=3948","channel 4")</f>
        <v>channel 4</v>
      </c>
    </row>
    <row r="211">
      <c r="B211" s="62" t="s">
        <v>3245</v>
      </c>
      <c r="C211" s="45" t="s">
        <v>230</v>
      </c>
      <c r="D211" s="62" t="s">
        <v>3244</v>
      </c>
      <c r="E211" s="11" t="str">
        <f>HYPERLINK("https://youtu.be/pafrE5b8EUY?t=4843","channel 3")</f>
        <v>channel 3</v>
      </c>
    </row>
    <row r="212">
      <c r="B212" s="61" t="s">
        <v>3246</v>
      </c>
      <c r="C212" s="45" t="s">
        <v>344</v>
      </c>
      <c r="D212" s="62" t="s">
        <v>2446</v>
      </c>
      <c r="E212" s="11" t="str">
        <f>HYPERLINK("https://youtu.be/x8bLRkgkBfA?t=4867","channel 4")</f>
        <v>channel 4</v>
      </c>
    </row>
    <row r="213">
      <c r="B213" s="62" t="s">
        <v>3244</v>
      </c>
      <c r="C213" s="45" t="s">
        <v>207</v>
      </c>
      <c r="D213" s="62" t="s">
        <v>1951</v>
      </c>
      <c r="E213" s="11" t="str">
        <f>HYPERLINK("https://youtu.be/pafrE5b8EUY?t=5842","channel 3")</f>
        <v>channel 3</v>
      </c>
    </row>
    <row r="214">
      <c r="B214" s="62" t="s">
        <v>3245</v>
      </c>
      <c r="C214" s="45" t="s">
        <v>3248</v>
      </c>
      <c r="D214" s="62" t="s">
        <v>2446</v>
      </c>
      <c r="E214" s="11" t="str">
        <f>HYPERLINK("https://youtu.be/x8bLRkgkBfA?t=5813","channel 4")</f>
        <v>channel 4</v>
      </c>
    </row>
    <row r="215">
      <c r="B215" s="61" t="s">
        <v>3246</v>
      </c>
      <c r="C215" s="45" t="s">
        <v>181</v>
      </c>
      <c r="D215" s="62" t="s">
        <v>1951</v>
      </c>
      <c r="E215" s="11" t="str">
        <f>HYPERLINK("https://youtu.be/pafrE5b8EUY?t=6785","channel 3")</f>
        <v>channel 3</v>
      </c>
    </row>
    <row r="216">
      <c r="B216" s="62" t="s">
        <v>3244</v>
      </c>
      <c r="C216" s="45" t="s">
        <v>14</v>
      </c>
      <c r="D216" s="62" t="s">
        <v>2446</v>
      </c>
      <c r="E216" s="11" t="str">
        <f>HYPERLINK("https://youtu.be/x8bLRkgkBfA?t=6797","channel 4")</f>
        <v>channel 4</v>
      </c>
      <c r="H216" s="50" t="s">
        <v>514</v>
      </c>
    </row>
    <row r="217">
      <c r="B217" s="62" t="s">
        <v>3245</v>
      </c>
      <c r="C217" s="45" t="s">
        <v>250</v>
      </c>
      <c r="D217" s="62" t="s">
        <v>1951</v>
      </c>
      <c r="E217" s="11" t="str">
        <f>HYPERLINK("https://youtu.be/pafrE5b8EUY?t=7698","channel 3")</f>
        <v>channel 3</v>
      </c>
    </row>
    <row r="218">
      <c r="B218" s="62" t="s">
        <v>3244</v>
      </c>
      <c r="C218" s="45" t="s">
        <v>256</v>
      </c>
      <c r="D218" s="61" t="s">
        <v>3246</v>
      </c>
      <c r="E218" s="11" t="str">
        <f>HYPERLINK("https://youtu.be/x8bLRkgkBfA?t=7771","channel 4")</f>
        <v>channel 4</v>
      </c>
    </row>
    <row r="219">
      <c r="B219" s="62" t="s">
        <v>2446</v>
      </c>
      <c r="C219" s="45" t="s">
        <v>194</v>
      </c>
      <c r="D219" s="62" t="s">
        <v>1951</v>
      </c>
      <c r="E219" s="11" t="str">
        <f>HYPERLINK("https://youtu.be/pafrE5b8EUY?t=8642","channel 3")</f>
        <v>channel 3</v>
      </c>
    </row>
    <row r="220">
      <c r="B220" s="62" t="s">
        <v>3245</v>
      </c>
      <c r="C220" s="45" t="s">
        <v>336</v>
      </c>
      <c r="D220" s="61" t="s">
        <v>3246</v>
      </c>
      <c r="E220" s="11" t="str">
        <f>HYPERLINK("https://youtu.be/x8bLRkgkBfA?t=8778","channel 4")</f>
        <v>channel 4</v>
      </c>
    </row>
    <row r="221">
      <c r="B221" s="96" t="s">
        <v>2607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2121</v>
      </c>
      <c r="C223" s="45" t="s">
        <v>218</v>
      </c>
      <c r="D223" s="62" t="s">
        <v>3249</v>
      </c>
      <c r="E223" s="11" t="str">
        <f>HYPERLINK("https://youtu.be/C-BAaIhHsGA","channel 1")</f>
        <v>channel 1</v>
      </c>
    </row>
    <row r="224">
      <c r="B224" s="62" t="s">
        <v>3250</v>
      </c>
      <c r="C224" s="45" t="s">
        <v>433</v>
      </c>
      <c r="D224" s="61" t="s">
        <v>3251</v>
      </c>
      <c r="E224" s="11" t="str">
        <f>HYPERLINK("https://youtu.be/kz6PKUQLjEA","channel 2")</f>
        <v>channel 2</v>
      </c>
    </row>
    <row r="225">
      <c r="B225" s="62" t="s">
        <v>2920</v>
      </c>
      <c r="C225" s="45" t="s">
        <v>162</v>
      </c>
      <c r="D225" s="62" t="s">
        <v>2121</v>
      </c>
      <c r="E225" s="11" t="str">
        <f>HYPERLINK("https://youtu.be/C-BAaIhHsGA?t=1099","channel 1")</f>
        <v>channel 1</v>
      </c>
    </row>
    <row r="226">
      <c r="B226" s="62" t="s">
        <v>3250</v>
      </c>
      <c r="C226" s="45" t="s">
        <v>207</v>
      </c>
      <c r="D226" s="62" t="s">
        <v>3249</v>
      </c>
      <c r="E226" s="11" t="str">
        <f>HYPERLINK("https://youtu.be/kz6PKUQLjEA?t=1109","channel 2")</f>
        <v>channel 2</v>
      </c>
    </row>
    <row r="227">
      <c r="B227" s="62" t="s">
        <v>2920</v>
      </c>
      <c r="C227" s="45" t="s">
        <v>195</v>
      </c>
      <c r="D227" s="61" t="s">
        <v>3251</v>
      </c>
      <c r="E227" s="11" t="str">
        <f>HYPERLINK("https://youtu.be/C-BAaIhHsGA?t=1996","channel 1")</f>
        <v>channel 1</v>
      </c>
    </row>
    <row r="228">
      <c r="B228" s="62" t="s">
        <v>3250</v>
      </c>
      <c r="C228" s="45" t="s">
        <v>41</v>
      </c>
      <c r="D228" s="62" t="s">
        <v>2121</v>
      </c>
      <c r="E228" s="11" t="str">
        <f>HYPERLINK("https://youtu.be/kz6PKUQLjEA?t=2019","channel 2")</f>
        <v>channel 2</v>
      </c>
    </row>
    <row r="229">
      <c r="B229" s="62" t="s">
        <v>2920</v>
      </c>
      <c r="C229" s="45" t="s">
        <v>193</v>
      </c>
      <c r="D229" s="62" t="s">
        <v>3249</v>
      </c>
      <c r="E229" s="11" t="str">
        <f>HYPERLINK("https://youtu.be/C-BAaIhHsGA?t=2953","channel 1")</f>
        <v>channel 1</v>
      </c>
    </row>
    <row r="230">
      <c r="B230" s="61" t="s">
        <v>3251</v>
      </c>
      <c r="C230" s="45" t="s">
        <v>354</v>
      </c>
      <c r="D230" s="62" t="s">
        <v>2121</v>
      </c>
      <c r="E230" s="11" t="str">
        <f>HYPERLINK("https://youtu.be/kz6PKUQLjEA?t=2985","channel 2")</f>
        <v>channel 2</v>
      </c>
    </row>
    <row r="231">
      <c r="B231" s="62" t="s">
        <v>2920</v>
      </c>
      <c r="C231" s="45" t="s">
        <v>173</v>
      </c>
      <c r="D231" s="62" t="s">
        <v>3250</v>
      </c>
      <c r="E231" s="11" t="str">
        <f>HYPERLINK("https://youtu.be/C-BAaIhHsGA?t=3860","channel 1")</f>
        <v>channel 1</v>
      </c>
    </row>
    <row r="232">
      <c r="B232" s="61" t="s">
        <v>3251</v>
      </c>
      <c r="C232" s="45" t="s">
        <v>302</v>
      </c>
      <c r="D232" s="62" t="s">
        <v>3249</v>
      </c>
      <c r="E232" s="11" t="str">
        <f>HYPERLINK("https://youtu.be/kz6PKUQLjEA?t=3982","channel 2")</f>
        <v>channel 2</v>
      </c>
    </row>
    <row r="233">
      <c r="B233" s="62" t="s">
        <v>3249</v>
      </c>
      <c r="C233" s="45" t="s">
        <v>184</v>
      </c>
      <c r="D233" s="62" t="s">
        <v>2121</v>
      </c>
      <c r="E233" s="11" t="str">
        <f>HYPERLINK("https://youtu.be/C-BAaIhHsGA?t=4847","channel 1")</f>
        <v>channel 1</v>
      </c>
    </row>
    <row r="234">
      <c r="B234" s="61" t="s">
        <v>3251</v>
      </c>
      <c r="C234" s="45" t="s">
        <v>209</v>
      </c>
      <c r="D234" s="62" t="s">
        <v>3250</v>
      </c>
      <c r="E234" s="11" t="str">
        <f>HYPERLINK("https://youtu.be/kz6PKUQLjEA?t=4931","channel 2")</f>
        <v>channel 2</v>
      </c>
    </row>
    <row r="235">
      <c r="B235" s="62" t="s">
        <v>2121</v>
      </c>
      <c r="C235" s="45" t="s">
        <v>173</v>
      </c>
      <c r="D235" s="62" t="s">
        <v>2920</v>
      </c>
      <c r="E235" s="11" t="str">
        <f>HYPERLINK("https://youtu.be/C-BAaIhHsGA?t=5858","channel 1")</f>
        <v>channel 1</v>
      </c>
    </row>
    <row r="236">
      <c r="B236" s="62" t="s">
        <v>3249</v>
      </c>
      <c r="C236" s="45" t="s">
        <v>162</v>
      </c>
      <c r="D236" s="62" t="s">
        <v>3250</v>
      </c>
      <c r="E236" s="11" t="str">
        <f>HYPERLINK("https://youtu.be/kz6PKUQLjEA?t=5824","channel 2")</f>
        <v>channel 2</v>
      </c>
    </row>
    <row r="237">
      <c r="B237" s="61" t="s">
        <v>3251</v>
      </c>
      <c r="C237" s="45" t="s">
        <v>163</v>
      </c>
      <c r="D237" s="62" t="s">
        <v>2920</v>
      </c>
      <c r="E237" s="11" t="str">
        <f>HYPERLINK("https://youtu.be/C-BAaIhHsGA?t=6791","channel 1")</f>
        <v>channel 1</v>
      </c>
    </row>
    <row r="238">
      <c r="B238" s="62" t="s">
        <v>2121</v>
      </c>
      <c r="C238" s="45" t="s">
        <v>155</v>
      </c>
      <c r="D238" s="62" t="s">
        <v>3250</v>
      </c>
      <c r="E238" s="11" t="str">
        <f>HYPERLINK("https://youtu.be/kz6PKUQLjEA?t=6743","channel 2")</f>
        <v>channel 2</v>
      </c>
    </row>
    <row r="239">
      <c r="B239" s="62" t="s">
        <v>3249</v>
      </c>
      <c r="C239" s="45" t="s">
        <v>20</v>
      </c>
      <c r="D239" s="62" t="s">
        <v>2920</v>
      </c>
      <c r="E239" s="11" t="str">
        <f>HYPERLINK("https://youtu.be/C-BAaIhHsGA?t=7699","channel 1")</f>
        <v>channel 1</v>
      </c>
    </row>
    <row r="240">
      <c r="B240" s="62" t="s">
        <v>2121</v>
      </c>
      <c r="C240" s="45" t="s">
        <v>576</v>
      </c>
      <c r="D240" s="61" t="s">
        <v>3251</v>
      </c>
      <c r="E240" s="11" t="str">
        <f>HYPERLINK("https://youtu.be/kz6PKUQLjEA?t=7688","channel 2")</f>
        <v>channel 2</v>
      </c>
    </row>
    <row r="241">
      <c r="B241" s="62" t="s">
        <v>3250</v>
      </c>
      <c r="C241" s="45" t="s">
        <v>41</v>
      </c>
      <c r="D241" s="62" t="s">
        <v>2920</v>
      </c>
      <c r="E241" s="11" t="str">
        <f>HYPERLINK("https://youtu.be/C-BAaIhHsGA?t=8670","channel 1")</f>
        <v>channel 1</v>
      </c>
    </row>
    <row r="242">
      <c r="B242" s="62" t="s">
        <v>3249</v>
      </c>
      <c r="C242" s="45" t="s">
        <v>220</v>
      </c>
      <c r="D242" s="61" t="s">
        <v>3251</v>
      </c>
      <c r="E242" s="11" t="str">
        <f>HYPERLINK("https://youtu.be/kz6PKUQLjEA?t=8633","channel 2")</f>
        <v>channel 2</v>
      </c>
    </row>
    <row r="243">
      <c r="B243" s="96" t="s">
        <v>2565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2429</v>
      </c>
      <c r="C245" s="45" t="s">
        <v>185</v>
      </c>
      <c r="D245" s="62" t="s">
        <v>2059</v>
      </c>
      <c r="E245" s="11" t="str">
        <f>HYPERLINK("https://youtu.be/b_lkrgxM7yU","channel 1")</f>
        <v>channel 1</v>
      </c>
    </row>
    <row r="246">
      <c r="B246" s="62" t="s">
        <v>3185</v>
      </c>
      <c r="C246" s="45" t="s">
        <v>208</v>
      </c>
      <c r="D246" s="61" t="s">
        <v>981</v>
      </c>
      <c r="E246" s="11" t="str">
        <f>HYPERLINK("https://youtu.be/P5BISPisbe4","channel 2")</f>
        <v>channel 2</v>
      </c>
    </row>
    <row r="247">
      <c r="B247" s="62" t="s">
        <v>1683</v>
      </c>
      <c r="C247" s="45" t="s">
        <v>575</v>
      </c>
      <c r="D247" s="62" t="s">
        <v>2429</v>
      </c>
      <c r="E247" s="11" t="str">
        <f>HYPERLINK("https://youtu.be/b_lkrgxM7yU?t=1160","channel 1")</f>
        <v>channel 1</v>
      </c>
    </row>
    <row r="248">
      <c r="B248" s="62" t="s">
        <v>3185</v>
      </c>
      <c r="C248" s="45" t="s">
        <v>14</v>
      </c>
      <c r="D248" s="62" t="s">
        <v>2059</v>
      </c>
      <c r="E248" s="11" t="str">
        <f>HYPERLINK("https://youtu.be/P5BISPisbe4?t=1160","channel 2")</f>
        <v>channel 2</v>
      </c>
    </row>
    <row r="249">
      <c r="B249" s="62" t="s">
        <v>1683</v>
      </c>
      <c r="C249" s="45" t="s">
        <v>231</v>
      </c>
      <c r="D249" s="61" t="s">
        <v>981</v>
      </c>
      <c r="E249" s="11" t="str">
        <f>HYPERLINK("https://youtu.be/b_lkrgxM7yU?t=2083","channel 1")</f>
        <v>channel 1</v>
      </c>
    </row>
    <row r="250">
      <c r="B250" s="62" t="s">
        <v>3185</v>
      </c>
      <c r="C250" s="45" t="s">
        <v>39</v>
      </c>
      <c r="D250" s="62" t="s">
        <v>2429</v>
      </c>
      <c r="E250" s="11" t="str">
        <f>HYPERLINK("https://youtu.be/P5BISPisbe4?t=2072","channel 2")</f>
        <v>channel 2</v>
      </c>
    </row>
    <row r="251">
      <c r="B251" s="62" t="s">
        <v>1683</v>
      </c>
      <c r="C251" s="45" t="s">
        <v>162</v>
      </c>
      <c r="D251" s="62" t="s">
        <v>2059</v>
      </c>
      <c r="E251" s="11" t="str">
        <f>HYPERLINK("https://youtu.be/b_lkrgxM7yU?t=3027","channel 1")</f>
        <v>channel 1</v>
      </c>
    </row>
    <row r="252">
      <c r="B252" s="61" t="s">
        <v>981</v>
      </c>
      <c r="C252" s="45" t="s">
        <v>182</v>
      </c>
      <c r="D252" s="62" t="s">
        <v>2429</v>
      </c>
      <c r="E252" s="11" t="str">
        <f>HYPERLINK("https://youtu.be/P5BISPisbe4?t=3034","channel 2")</f>
        <v>channel 2</v>
      </c>
    </row>
    <row r="253">
      <c r="B253" s="62" t="s">
        <v>1683</v>
      </c>
      <c r="C253" s="45" t="s">
        <v>293</v>
      </c>
      <c r="D253" s="62" t="s">
        <v>3185</v>
      </c>
      <c r="E253" s="11" t="str">
        <f>HYPERLINK("https://youtu.be/b_lkrgxM7yU?t=4014","channel 1")</f>
        <v>channel 1</v>
      </c>
    </row>
    <row r="254">
      <c r="B254" s="61" t="s">
        <v>981</v>
      </c>
      <c r="C254" s="45" t="s">
        <v>193</v>
      </c>
      <c r="D254" s="62" t="s">
        <v>2059</v>
      </c>
      <c r="E254" s="11" t="str">
        <f>HYPERLINK("https://youtu.be/P5BISPisbe4?t=3989","channel 2")</f>
        <v>channel 2</v>
      </c>
    </row>
    <row r="255">
      <c r="B255" s="62" t="s">
        <v>2059</v>
      </c>
      <c r="C255" s="45" t="s">
        <v>344</v>
      </c>
      <c r="D255" s="62" t="s">
        <v>2429</v>
      </c>
      <c r="E255" s="11" t="str">
        <f>HYPERLINK("https://youtu.be/b_lkrgxM7yU?t=4954","channel 1")</f>
        <v>channel 1</v>
      </c>
    </row>
    <row r="256">
      <c r="B256" s="61" t="s">
        <v>981</v>
      </c>
      <c r="C256" s="45" t="s">
        <v>354</v>
      </c>
      <c r="D256" s="62" t="s">
        <v>3185</v>
      </c>
      <c r="E256" s="11" t="str">
        <f>HYPERLINK("https://youtu.be/P5BISPisbe4?t=4892","channel 2")</f>
        <v>channel 2</v>
      </c>
    </row>
    <row r="257">
      <c r="B257" s="62" t="s">
        <v>2429</v>
      </c>
      <c r="C257" s="45" t="s">
        <v>219</v>
      </c>
      <c r="D257" s="62" t="s">
        <v>1683</v>
      </c>
      <c r="E257" s="11" t="str">
        <f>HYPERLINK("https://youtu.be/b_lkrgxM7yU?t=5851","channel 1")</f>
        <v>channel 1</v>
      </c>
    </row>
    <row r="258">
      <c r="B258" s="62" t="s">
        <v>2059</v>
      </c>
      <c r="C258" s="45" t="s">
        <v>290</v>
      </c>
      <c r="D258" s="62" t="s">
        <v>3185</v>
      </c>
      <c r="E258" s="11" t="str">
        <f>HYPERLINK("https://youtu.be/P5BISPisbe4?t=5799","channel 2")</f>
        <v>channel 2</v>
      </c>
    </row>
    <row r="259">
      <c r="B259" s="61" t="s">
        <v>981</v>
      </c>
      <c r="C259" s="45" t="s">
        <v>248</v>
      </c>
      <c r="D259" s="62" t="s">
        <v>1683</v>
      </c>
      <c r="E259" s="11" t="str">
        <f>HYPERLINK("https://youtu.be/b_lkrgxM7yU?t=6803","channel 1")</f>
        <v>channel 1</v>
      </c>
    </row>
    <row r="260">
      <c r="B260" s="62" t="s">
        <v>2429</v>
      </c>
      <c r="C260" s="45" t="s">
        <v>327</v>
      </c>
      <c r="D260" s="62" t="s">
        <v>3185</v>
      </c>
      <c r="E260" s="11" t="str">
        <f>HYPERLINK("https://youtu.be/P5BISPisbe4?t=6724","channel 2")</f>
        <v>channel 2</v>
      </c>
    </row>
    <row r="261">
      <c r="B261" s="62" t="s">
        <v>2059</v>
      </c>
      <c r="C261" s="45" t="s">
        <v>210</v>
      </c>
      <c r="D261" s="62" t="s">
        <v>1683</v>
      </c>
      <c r="E261" s="11" t="str">
        <f>HYPERLINK("https://youtu.be/b_lkrgxM7yU?t=7685","channel 1")</f>
        <v>channel 1</v>
      </c>
    </row>
    <row r="262">
      <c r="B262" s="62" t="s">
        <v>2429</v>
      </c>
      <c r="C262" s="45" t="s">
        <v>20</v>
      </c>
      <c r="D262" s="61" t="s">
        <v>981</v>
      </c>
      <c r="E262" s="11" t="str">
        <f>HYPERLINK("https://youtu.be/P5BISPisbe4?t=7675","channel 2")</f>
        <v>channel 2</v>
      </c>
    </row>
    <row r="263">
      <c r="B263" s="62" t="s">
        <v>3185</v>
      </c>
      <c r="C263" s="45" t="s">
        <v>24</v>
      </c>
      <c r="D263" s="62" t="s">
        <v>1683</v>
      </c>
      <c r="E263" s="11" t="str">
        <f>HYPERLINK("https://youtu.be/b_lkrgxM7yU?t=8646","channel 1")</f>
        <v>channel 1</v>
      </c>
    </row>
    <row r="264">
      <c r="B264" s="62" t="s">
        <v>2059</v>
      </c>
      <c r="C264" s="45" t="s">
        <v>20</v>
      </c>
      <c r="D264" s="61" t="s">
        <v>981</v>
      </c>
      <c r="E264" s="11" t="str">
        <f>HYPERLINK("https://youtu.be/P5BISPisbe4?t=8601","channel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3031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2021</v>
      </c>
      <c r="C3" s="45" t="s">
        <v>21</v>
      </c>
      <c r="D3" s="62" t="s">
        <v>805</v>
      </c>
      <c r="E3" s="120" t="str">
        <f>HYPERLINK("https://youtu.be/8S8Vsbn2y2k","channel 1")</f>
        <v>channel 1</v>
      </c>
    </row>
    <row r="4">
      <c r="A4" s="90"/>
      <c r="B4" s="62" t="s">
        <v>2795</v>
      </c>
      <c r="C4" s="45" t="s">
        <v>291</v>
      </c>
      <c r="D4" s="61" t="s">
        <v>3252</v>
      </c>
      <c r="E4" s="120" t="str">
        <f>HYPERLINK("https://youtu.be/SNICMQURCiU","channel 2")</f>
        <v>channel 2</v>
      </c>
    </row>
    <row r="5">
      <c r="A5" s="90"/>
      <c r="B5" s="62" t="s">
        <v>2430</v>
      </c>
      <c r="C5" s="45" t="s">
        <v>162</v>
      </c>
      <c r="D5" s="62" t="s">
        <v>2021</v>
      </c>
      <c r="E5" s="120" t="str">
        <f>HYPERLINK("https://youtu.be/8S8Vsbn2y2k?t=1128","channel 1")</f>
        <v>channel 1</v>
      </c>
    </row>
    <row r="6">
      <c r="A6" s="90"/>
      <c r="B6" s="62" t="s">
        <v>2795</v>
      </c>
      <c r="C6" s="45" t="s">
        <v>185</v>
      </c>
      <c r="D6" s="62" t="s">
        <v>805</v>
      </c>
      <c r="E6" s="120" t="str">
        <f>HYPERLINK("https://youtu.be/SNICMQURCiU?t=1034","channel 2")</f>
        <v>channel 2</v>
      </c>
    </row>
    <row r="7">
      <c r="A7" s="90"/>
      <c r="B7" s="62" t="s">
        <v>2430</v>
      </c>
      <c r="C7" s="45" t="s">
        <v>43</v>
      </c>
      <c r="D7" s="61" t="s">
        <v>3252</v>
      </c>
      <c r="E7" s="120" t="str">
        <f>HYPERLINK("https://youtu.be/8S8Vsbn2y2k?t=2033","channel 1")</f>
        <v>channel 1</v>
      </c>
    </row>
    <row r="8">
      <c r="A8" s="90"/>
      <c r="B8" s="62" t="s">
        <v>2795</v>
      </c>
      <c r="C8" s="45" t="s">
        <v>42</v>
      </c>
      <c r="D8" s="62" t="s">
        <v>2021</v>
      </c>
      <c r="E8" s="120" t="str">
        <f>HYPERLINK("https://youtu.be/SNICMQURCiU?t=1965","channel 2")</f>
        <v>channel 2</v>
      </c>
    </row>
    <row r="9">
      <c r="A9" s="90"/>
      <c r="B9" s="62" t="s">
        <v>2430</v>
      </c>
      <c r="C9" s="45" t="s">
        <v>176</v>
      </c>
      <c r="D9" s="62" t="s">
        <v>805</v>
      </c>
      <c r="E9" s="120" t="str">
        <f>HYPERLINK("https://youtu.be/8S8Vsbn2y2k?t=2950","channel 1")</f>
        <v>channel 1</v>
      </c>
    </row>
    <row r="10">
      <c r="A10" s="90"/>
      <c r="B10" s="61" t="s">
        <v>3252</v>
      </c>
      <c r="C10" s="45" t="s">
        <v>41</v>
      </c>
      <c r="D10" s="62" t="s">
        <v>2021</v>
      </c>
      <c r="E10" s="120" t="str">
        <f>HYPERLINK("https://youtu.be/SNICMQURCiU?t=2894","channel 2")</f>
        <v>channel 2</v>
      </c>
    </row>
    <row r="11">
      <c r="A11" s="90"/>
      <c r="B11" s="62" t="s">
        <v>2430</v>
      </c>
      <c r="C11" s="45" t="s">
        <v>21</v>
      </c>
      <c r="D11" s="62" t="s">
        <v>2795</v>
      </c>
      <c r="E11" s="120" t="str">
        <f>HYPERLINK("https://youtu.be/8S8Vsbn2y2k?t=3882","channel 1")</f>
        <v>channel 1</v>
      </c>
    </row>
    <row r="12">
      <c r="A12" s="90"/>
      <c r="B12" s="61" t="s">
        <v>3252</v>
      </c>
      <c r="C12" s="45" t="s">
        <v>194</v>
      </c>
      <c r="D12" s="62" t="s">
        <v>805</v>
      </c>
      <c r="E12" s="120" t="str">
        <f>HYPERLINK("https://youtu.be/SNICMQURCiU?t=3841","channel 2")</f>
        <v>channel 2</v>
      </c>
    </row>
    <row r="13">
      <c r="A13" s="90"/>
      <c r="B13" s="62" t="s">
        <v>805</v>
      </c>
      <c r="C13" s="45" t="s">
        <v>23</v>
      </c>
      <c r="D13" s="62" t="s">
        <v>2021</v>
      </c>
      <c r="E13" s="120" t="str">
        <f>HYPERLINK("https://youtu.be/8S8Vsbn2y2k?t=4923","channel 1")</f>
        <v>channel 1</v>
      </c>
    </row>
    <row r="14">
      <c r="A14" s="90"/>
      <c r="B14" s="61" t="s">
        <v>3252</v>
      </c>
      <c r="C14" s="45" t="s">
        <v>19</v>
      </c>
      <c r="D14" s="62" t="s">
        <v>2795</v>
      </c>
      <c r="E14" s="120" t="str">
        <f>HYPERLINK("https://youtu.be/SNICMQURCiU?t=4832","channel 2")</f>
        <v>channel 2</v>
      </c>
    </row>
    <row r="15">
      <c r="A15" s="90"/>
      <c r="B15" s="62" t="s">
        <v>2021</v>
      </c>
      <c r="C15" s="45" t="s">
        <v>264</v>
      </c>
      <c r="D15" s="62" t="s">
        <v>2430</v>
      </c>
      <c r="E15" s="120" t="str">
        <f>HYPERLINK("https://youtu.be/8S8Vsbn2y2k?t=5880","channel 1")</f>
        <v>channel 1</v>
      </c>
    </row>
    <row r="16">
      <c r="A16" s="90"/>
      <c r="B16" s="62" t="s">
        <v>805</v>
      </c>
      <c r="C16" s="45" t="s">
        <v>27</v>
      </c>
      <c r="D16" s="62" t="s">
        <v>2795</v>
      </c>
      <c r="E16" s="120" t="str">
        <f>HYPERLINK("https://youtu.be/SNICMQURCiU?t=5775","channel 2")</f>
        <v>channel 2</v>
      </c>
    </row>
    <row r="17">
      <c r="A17" s="90"/>
      <c r="B17" s="61" t="s">
        <v>3252</v>
      </c>
      <c r="C17" s="45" t="s">
        <v>24</v>
      </c>
      <c r="D17" s="62" t="s">
        <v>2430</v>
      </c>
      <c r="E17" s="120" t="str">
        <f>HYPERLINK("https://youtu.be/8S8Vsbn2y2k?t=6850","channel 1")</f>
        <v>channel 1</v>
      </c>
    </row>
    <row r="18">
      <c r="A18" s="90"/>
      <c r="B18" s="62" t="s">
        <v>2021</v>
      </c>
      <c r="C18" s="45" t="s">
        <v>41</v>
      </c>
      <c r="D18" s="62" t="s">
        <v>2795</v>
      </c>
      <c r="E18" s="120" t="str">
        <f>HYPERLINK("https://youtu.be/SNICMQURCiU?t=6743","channel 2")</f>
        <v>channel 2</v>
      </c>
    </row>
    <row r="19">
      <c r="A19" s="90"/>
      <c r="B19" s="62" t="s">
        <v>805</v>
      </c>
      <c r="C19" s="45" t="s">
        <v>166</v>
      </c>
      <c r="D19" s="62" t="s">
        <v>2430</v>
      </c>
      <c r="E19" s="120" t="str">
        <f>HYPERLINK("https://youtu.be/8S8Vsbn2y2k?t=7773","channel 1")</f>
        <v>channel 1</v>
      </c>
    </row>
    <row r="20">
      <c r="A20" s="90"/>
      <c r="B20" s="62" t="s">
        <v>2021</v>
      </c>
      <c r="C20" s="45" t="s">
        <v>534</v>
      </c>
      <c r="D20" s="61" t="s">
        <v>3252</v>
      </c>
      <c r="E20" s="120" t="str">
        <f>HYPERLINK("https://youtu.be/SNICMQURCiU?t=7692","channel 2")</f>
        <v>channel 2</v>
      </c>
    </row>
    <row r="21">
      <c r="A21" s="90"/>
      <c r="B21" s="62" t="s">
        <v>2795</v>
      </c>
      <c r="C21" s="45" t="s">
        <v>231</v>
      </c>
      <c r="D21" s="62" t="s">
        <v>2430</v>
      </c>
      <c r="E21" s="120" t="str">
        <f>HYPERLINK("https://youtu.be/8S8Vsbn2y2k?t=8695","channel 1")</f>
        <v>channel 1</v>
      </c>
    </row>
    <row r="22">
      <c r="A22" s="90"/>
      <c r="B22" s="62" t="s">
        <v>805</v>
      </c>
      <c r="C22" s="45" t="s">
        <v>173</v>
      </c>
      <c r="D22" s="61" t="s">
        <v>3252</v>
      </c>
      <c r="E22" s="120" t="str">
        <f>HYPERLINK("https://youtu.be/SNICMQURCiU?t=8628","channel 2")</f>
        <v>channel 2</v>
      </c>
    </row>
    <row r="23">
      <c r="A23" s="90"/>
      <c r="B23" s="96" t="s">
        <v>3189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3253</v>
      </c>
      <c r="C25" s="45" t="s">
        <v>43</v>
      </c>
      <c r="D25" s="62" t="s">
        <v>3254</v>
      </c>
      <c r="E25" s="11" t="str">
        <f>HYPERLINK("https://youtu.be/iW8hzOvT9m4","channel 1")</f>
        <v>channel 1</v>
      </c>
    </row>
    <row r="26">
      <c r="A26" s="90"/>
      <c r="B26" s="62" t="s">
        <v>2441</v>
      </c>
      <c r="C26" s="45" t="s">
        <v>155</v>
      </c>
      <c r="D26" s="61" t="s">
        <v>3255</v>
      </c>
      <c r="E26" s="11" t="str">
        <f>HYPERLINK("https://youtu.be/Vie7_RYFcx8","channel 2")</f>
        <v>channel 2</v>
      </c>
    </row>
    <row r="27">
      <c r="A27" s="90"/>
      <c r="B27" s="62" t="s">
        <v>3256</v>
      </c>
      <c r="C27" s="45" t="s">
        <v>290</v>
      </c>
      <c r="D27" s="62" t="s">
        <v>3253</v>
      </c>
      <c r="E27" s="11" t="str">
        <f>HYPERLINK("https://youtu.be/iW8hzOvT9m4?t=1108","channel 1")</f>
        <v>channel 1</v>
      </c>
    </row>
    <row r="28">
      <c r="A28" s="90"/>
      <c r="B28" s="62" t="s">
        <v>2441</v>
      </c>
      <c r="C28" s="45" t="s">
        <v>181</v>
      </c>
      <c r="D28" s="62" t="s">
        <v>3254</v>
      </c>
      <c r="E28" s="11" t="str">
        <f>HYPERLINK("https://youtu.be/Vie7_RYFcx8?t=1032","channel 2")</f>
        <v>channel 2</v>
      </c>
    </row>
    <row r="29">
      <c r="A29" s="90"/>
      <c r="B29" s="62" t="s">
        <v>3256</v>
      </c>
      <c r="C29" s="45" t="s">
        <v>250</v>
      </c>
      <c r="D29" s="61" t="s">
        <v>3255</v>
      </c>
      <c r="E29" s="11" t="str">
        <f>HYPERLINK("https://youtu.be/iW8hzOvT9m4?t=2060","channel 1")</f>
        <v>channel 1</v>
      </c>
    </row>
    <row r="30">
      <c r="A30" s="90"/>
      <c r="B30" s="62" t="s">
        <v>2441</v>
      </c>
      <c r="C30" s="45" t="s">
        <v>231</v>
      </c>
      <c r="D30" s="62" t="s">
        <v>3253</v>
      </c>
      <c r="E30" s="11" t="str">
        <f>HYPERLINK("https://youtu.be/Vie7_RYFcx8?t=2013","channel 2")</f>
        <v>channel 2</v>
      </c>
    </row>
    <row r="31">
      <c r="A31" s="90"/>
      <c r="B31" s="62" t="s">
        <v>3256</v>
      </c>
      <c r="C31" s="45" t="s">
        <v>466</v>
      </c>
      <c r="D31" s="62" t="s">
        <v>3254</v>
      </c>
      <c r="E31" s="11" t="str">
        <f>HYPERLINK("https://youtu.be/iW8hzOvT9m4?t=3073","channel 1")</f>
        <v>channel 1</v>
      </c>
    </row>
    <row r="32">
      <c r="A32" s="90"/>
      <c r="B32" s="61" t="s">
        <v>3255</v>
      </c>
      <c r="C32" s="45" t="s">
        <v>203</v>
      </c>
      <c r="D32" s="62" t="s">
        <v>3253</v>
      </c>
      <c r="E32" s="11" t="str">
        <f>HYPERLINK("https://youtu.be/Vie7_RYFcx8?t=3016","channel 2")</f>
        <v>channel 2</v>
      </c>
    </row>
    <row r="33">
      <c r="A33" s="90"/>
      <c r="B33" s="62" t="s">
        <v>3256</v>
      </c>
      <c r="C33" s="45" t="s">
        <v>245</v>
      </c>
      <c r="D33" s="62" t="s">
        <v>2441</v>
      </c>
      <c r="E33" s="11" t="str">
        <f>HYPERLINK("https://youtu.be/iW8hzOvT9m4?t=4002","channel 1")</f>
        <v>channel 1</v>
      </c>
    </row>
    <row r="34">
      <c r="A34" s="90"/>
      <c r="B34" s="61" t="s">
        <v>3255</v>
      </c>
      <c r="C34" s="45" t="s">
        <v>173</v>
      </c>
      <c r="D34" s="62" t="s">
        <v>3254</v>
      </c>
      <c r="E34" s="11" t="str">
        <f>HYPERLINK("https://youtu.be/Vie7_RYFcx8?t=3928","channel 2")</f>
        <v>channel 2</v>
      </c>
    </row>
    <row r="35">
      <c r="A35" s="90"/>
      <c r="B35" s="62" t="s">
        <v>3254</v>
      </c>
      <c r="C35" s="45" t="s">
        <v>311</v>
      </c>
      <c r="D35" s="62" t="s">
        <v>3253</v>
      </c>
      <c r="E35" s="11" t="str">
        <f>HYPERLINK("https://youtu.be/iW8hzOvT9m4?t=4936","channel 1")</f>
        <v>channel 1</v>
      </c>
    </row>
    <row r="36">
      <c r="A36" s="90"/>
      <c r="B36" s="61" t="s">
        <v>3255</v>
      </c>
      <c r="C36" s="45" t="s">
        <v>14</v>
      </c>
      <c r="D36" s="62" t="s">
        <v>2441</v>
      </c>
      <c r="E36" s="11" t="str">
        <f>HYPERLINK("https://youtu.be/Vie7_RYFcx8?t=4837","channel 2")</f>
        <v>channel 2</v>
      </c>
    </row>
    <row r="37">
      <c r="A37" s="90"/>
      <c r="B37" s="62" t="s">
        <v>3253</v>
      </c>
      <c r="C37" s="45" t="s">
        <v>573</v>
      </c>
      <c r="D37" s="62" t="s">
        <v>3256</v>
      </c>
      <c r="E37" s="11" t="str">
        <f>HYPERLINK("https://youtu.be/iW8hzOvT9m4?t=5881","channel 1")</f>
        <v>channel 1</v>
      </c>
    </row>
    <row r="38">
      <c r="A38" s="90"/>
      <c r="B38" s="62" t="s">
        <v>3254</v>
      </c>
      <c r="C38" s="45" t="s">
        <v>41</v>
      </c>
      <c r="D38" s="62" t="s">
        <v>2441</v>
      </c>
      <c r="E38" s="11" t="str">
        <f>HYPERLINK("https://youtu.be/Vie7_RYFcx8?t=5739","channel 2")</f>
        <v>channel 2</v>
      </c>
    </row>
    <row r="39">
      <c r="A39" s="90"/>
      <c r="B39" s="61" t="s">
        <v>3255</v>
      </c>
      <c r="C39" s="45" t="s">
        <v>20</v>
      </c>
      <c r="D39" s="62" t="s">
        <v>3256</v>
      </c>
      <c r="E39" s="11" t="str">
        <f>HYPERLINK("https://youtu.be/iW8hzOvT9m4?t=6770","channel 1")</f>
        <v>channel 1</v>
      </c>
    </row>
    <row r="40">
      <c r="A40" s="90"/>
      <c r="B40" s="62" t="s">
        <v>3253</v>
      </c>
      <c r="C40" s="45" t="s">
        <v>898</v>
      </c>
      <c r="D40" s="62" t="s">
        <v>2441</v>
      </c>
      <c r="E40" s="11" t="str">
        <f>HYPERLINK("https://youtu.be/Vie7_RYFcx8?t=6670","channel 2")</f>
        <v>channel 2</v>
      </c>
    </row>
    <row r="41">
      <c r="A41" s="90"/>
      <c r="B41" s="62" t="s">
        <v>3254</v>
      </c>
      <c r="C41" s="45" t="s">
        <v>250</v>
      </c>
      <c r="D41" s="62" t="s">
        <v>3256</v>
      </c>
      <c r="E41" s="11" t="str">
        <f>HYPERLINK("https://youtu.be/iW8hzOvT9m4?t=7642","channel 1")</f>
        <v>channel 1</v>
      </c>
    </row>
    <row r="42">
      <c r="A42" s="90"/>
      <c r="B42" s="62" t="s">
        <v>3253</v>
      </c>
      <c r="C42" s="45" t="s">
        <v>233</v>
      </c>
      <c r="D42" s="61" t="s">
        <v>3255</v>
      </c>
      <c r="E42" s="11" t="str">
        <f>HYPERLINK("https://youtu.be/Vie7_RYFcx8?t=7618","channel 2")</f>
        <v>channel 2</v>
      </c>
    </row>
    <row r="43">
      <c r="A43" s="90"/>
      <c r="B43" s="62" t="s">
        <v>2441</v>
      </c>
      <c r="C43" s="45" t="s">
        <v>264</v>
      </c>
      <c r="D43" s="62" t="s">
        <v>3256</v>
      </c>
      <c r="E43" s="11" t="str">
        <f>HYPERLINK("https://youtu.be/iW8hzOvT9m4?t=8546","channel 1")</f>
        <v>channel 1</v>
      </c>
    </row>
    <row r="44">
      <c r="A44" s="91"/>
      <c r="B44" s="62" t="s">
        <v>3254</v>
      </c>
      <c r="C44" s="45" t="s">
        <v>162</v>
      </c>
      <c r="D44" s="61" t="s">
        <v>3255</v>
      </c>
      <c r="E44" s="11" t="str">
        <f>HYPERLINK("https://youtu.be/Vie7_RYFcx8?t=8560","channel 2")</f>
        <v>channel 2</v>
      </c>
    </row>
    <row r="45">
      <c r="B45" s="96" t="s">
        <v>3097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2329</v>
      </c>
      <c r="C47" s="45" t="s">
        <v>161</v>
      </c>
      <c r="D47" s="62" t="s">
        <v>617</v>
      </c>
      <c r="E47" s="11" t="str">
        <f>HYPERLINK("https://youtu.be/1SkKZzQhWLo","channel 1")</f>
        <v>channel 1</v>
      </c>
    </row>
    <row r="48">
      <c r="B48" s="62" t="s">
        <v>3257</v>
      </c>
      <c r="C48" s="45" t="s">
        <v>185</v>
      </c>
      <c r="D48" s="61" t="s">
        <v>2484</v>
      </c>
      <c r="E48" s="11" t="str">
        <f>HYPERLINK("https://youtu.be/wMcEfOdo7w4","channel 2")</f>
        <v>channel 2</v>
      </c>
    </row>
    <row r="49">
      <c r="B49" s="62" t="s">
        <v>3178</v>
      </c>
      <c r="C49" s="45" t="s">
        <v>43</v>
      </c>
      <c r="D49" s="62" t="s">
        <v>2329</v>
      </c>
      <c r="E49" s="11" t="str">
        <f>HYPERLINK("https://youtu.be/1SkKZzQhWLo?t=979","channel 1")</f>
        <v>channel 1</v>
      </c>
    </row>
    <row r="50">
      <c r="B50" s="62" t="s">
        <v>3257</v>
      </c>
      <c r="C50" s="45" t="s">
        <v>974</v>
      </c>
      <c r="D50" s="62" t="s">
        <v>617</v>
      </c>
      <c r="E50" s="11" t="str">
        <f>HYPERLINK("https://youtu.be/wMcEfOdo7w4?t=1128","channel 2")</f>
        <v>channel 2</v>
      </c>
    </row>
    <row r="51">
      <c r="B51" s="62" t="s">
        <v>3178</v>
      </c>
      <c r="C51" s="45" t="s">
        <v>394</v>
      </c>
      <c r="D51" s="61" t="s">
        <v>2484</v>
      </c>
      <c r="E51" s="11" t="str">
        <f>HYPERLINK("https://youtu.be/1SkKZzQhWLo?t=1870","channel 1")</f>
        <v>channel 1</v>
      </c>
    </row>
    <row r="52">
      <c r="B52" s="62" t="s">
        <v>3257</v>
      </c>
      <c r="C52" s="45" t="s">
        <v>203</v>
      </c>
      <c r="D52" s="62" t="s">
        <v>2329</v>
      </c>
      <c r="E52" s="11" t="str">
        <f>HYPERLINK("https://youtu.be/wMcEfOdo7w4?t=2054","channel 2")</f>
        <v>channel 2</v>
      </c>
    </row>
    <row r="53">
      <c r="B53" s="62" t="s">
        <v>3178</v>
      </c>
      <c r="C53" s="45" t="s">
        <v>20</v>
      </c>
      <c r="D53" s="62" t="s">
        <v>617</v>
      </c>
      <c r="E53" s="11" t="str">
        <f>HYPERLINK("https://youtu.be/1SkKZzQhWLo?t=2952","channel 1")</f>
        <v>channel 1</v>
      </c>
    </row>
    <row r="54">
      <c r="B54" s="61" t="s">
        <v>2484</v>
      </c>
      <c r="C54" s="45" t="s">
        <v>344</v>
      </c>
      <c r="D54" s="62" t="s">
        <v>2329</v>
      </c>
      <c r="E54" s="11" t="str">
        <f>HYPERLINK("https://youtu.be/wMcEfOdo7w4?t=2966","channel 2")</f>
        <v>channel 2</v>
      </c>
    </row>
    <row r="55">
      <c r="B55" s="62" t="s">
        <v>3178</v>
      </c>
      <c r="C55" s="45" t="s">
        <v>18</v>
      </c>
      <c r="D55" s="62" t="s">
        <v>3257</v>
      </c>
      <c r="E55" s="11" t="str">
        <f>HYPERLINK("https://youtu.be/1SkKZzQhWLo?t=3856","channel 1")</f>
        <v>channel 1</v>
      </c>
    </row>
    <row r="56">
      <c r="B56" s="61" t="s">
        <v>2484</v>
      </c>
      <c r="C56" s="45" t="s">
        <v>251</v>
      </c>
      <c r="D56" s="62" t="s">
        <v>617</v>
      </c>
      <c r="E56" s="11" t="str">
        <f>HYPERLINK("https://youtu.be/wMcEfOdo7w4?t=3883","channel 2")</f>
        <v>channel 2</v>
      </c>
    </row>
    <row r="57">
      <c r="B57" s="62" t="s">
        <v>617</v>
      </c>
      <c r="C57" s="45" t="s">
        <v>744</v>
      </c>
      <c r="D57" s="62" t="s">
        <v>2329</v>
      </c>
      <c r="E57" s="11" t="str">
        <f>HYPERLINK("https://youtu.be/1SkKZzQhWLo?t=4820","channel 1")</f>
        <v>channel 1</v>
      </c>
    </row>
    <row r="58">
      <c r="B58" s="61" t="s">
        <v>2484</v>
      </c>
      <c r="C58" s="45" t="s">
        <v>248</v>
      </c>
      <c r="D58" s="62" t="s">
        <v>3257</v>
      </c>
      <c r="E58" s="11" t="str">
        <f>HYPERLINK("https://youtu.be/wMcEfOdo7w4?t=4870","channel 2")</f>
        <v>channel 2</v>
      </c>
    </row>
    <row r="59">
      <c r="B59" s="62" t="s">
        <v>2329</v>
      </c>
      <c r="C59" s="45" t="s">
        <v>248</v>
      </c>
      <c r="D59" s="62" t="s">
        <v>3178</v>
      </c>
      <c r="E59" s="11" t="str">
        <f>HYPERLINK("https://youtu.be/1SkKZzQhWLo?t=5767","channel 1")</f>
        <v>channel 1</v>
      </c>
    </row>
    <row r="60">
      <c r="B60" s="62" t="s">
        <v>617</v>
      </c>
      <c r="C60" s="45" t="s">
        <v>334</v>
      </c>
      <c r="D60" s="62" t="s">
        <v>3257</v>
      </c>
      <c r="E60" s="11" t="str">
        <f>HYPERLINK("https://youtu.be/wMcEfOdo7w4?t=5805","channel 2")</f>
        <v>channel 2</v>
      </c>
    </row>
    <row r="61">
      <c r="B61" s="61" t="s">
        <v>2484</v>
      </c>
      <c r="C61" s="45" t="s">
        <v>193</v>
      </c>
      <c r="D61" s="62" t="s">
        <v>3178</v>
      </c>
      <c r="E61" s="11" t="str">
        <f>HYPERLINK("https://youtu.be/1SkKZzQhWLo?t=6684","channel 1")</f>
        <v>channel 1</v>
      </c>
    </row>
    <row r="62">
      <c r="B62" s="62" t="s">
        <v>2329</v>
      </c>
      <c r="C62" s="45" t="s">
        <v>301</v>
      </c>
      <c r="D62" s="62" t="s">
        <v>3257</v>
      </c>
      <c r="E62" s="11" t="str">
        <f>HYPERLINK("https://youtu.be/wMcEfOdo7w4?t=6752","channel 2")</f>
        <v>channel 2</v>
      </c>
    </row>
    <row r="63">
      <c r="B63" s="62" t="s">
        <v>617</v>
      </c>
      <c r="C63" s="45" t="s">
        <v>181</v>
      </c>
      <c r="D63" s="62" t="s">
        <v>3178</v>
      </c>
      <c r="E63" s="11" t="str">
        <f>HYPERLINK("https://youtu.be/1SkKZzQhWLo?t=7626","channel 1")</f>
        <v>channel 1</v>
      </c>
    </row>
    <row r="64">
      <c r="B64" s="62" t="s">
        <v>2329</v>
      </c>
      <c r="C64" s="45" t="s">
        <v>517</v>
      </c>
      <c r="D64" s="61" t="s">
        <v>2484</v>
      </c>
      <c r="E64" s="11" t="str">
        <f>HYPERLINK("https://youtu.be/wMcEfOdo7w4?t=7653","channel 2")</f>
        <v>channel 2</v>
      </c>
    </row>
    <row r="65">
      <c r="B65" s="62" t="s">
        <v>3257</v>
      </c>
      <c r="C65" s="45" t="s">
        <v>16</v>
      </c>
      <c r="D65" s="62" t="s">
        <v>3178</v>
      </c>
      <c r="E65" s="11" t="str">
        <f>HYPERLINK("https://youtu.be/1SkKZzQhWLo?t=8519","channel 1")</f>
        <v>channel 1</v>
      </c>
    </row>
    <row r="66">
      <c r="B66" s="62" t="s">
        <v>617</v>
      </c>
      <c r="C66" s="45" t="s">
        <v>507</v>
      </c>
      <c r="D66" s="61" t="s">
        <v>2484</v>
      </c>
      <c r="E66" s="11" t="str">
        <f>HYPERLINK("https://youtu.be/wMcEfOdo7w4?t=8580","channel 2")</f>
        <v>channel 2</v>
      </c>
    </row>
    <row r="67">
      <c r="B67" s="96" t="s">
        <v>2335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3258</v>
      </c>
      <c r="C69" s="45" t="s">
        <v>19</v>
      </c>
      <c r="D69" s="62" t="s">
        <v>2655</v>
      </c>
      <c r="E69" s="11" t="str">
        <f>HYPERLINK("https://youtu.be/anN2JU7AlHY","channel 1")</f>
        <v>channel 1</v>
      </c>
    </row>
    <row r="70">
      <c r="B70" s="62" t="s">
        <v>3259</v>
      </c>
      <c r="C70" s="45" t="s">
        <v>233</v>
      </c>
      <c r="D70" s="61" t="s">
        <v>3260</v>
      </c>
      <c r="E70" s="11" t="str">
        <f>HYPERLINK("https://youtu.be/5BrRM5rE3_k","channel 2")</f>
        <v>channel 2</v>
      </c>
    </row>
    <row r="71">
      <c r="B71" s="62" t="s">
        <v>516</v>
      </c>
      <c r="C71" s="45" t="s">
        <v>162</v>
      </c>
      <c r="D71" s="62" t="s">
        <v>3258</v>
      </c>
      <c r="E71" s="11" t="str">
        <f>HYPERLINK("https://youtu.be/anN2JU7AlHY?t=918","channel 1")</f>
        <v>channel 1</v>
      </c>
    </row>
    <row r="72">
      <c r="B72" s="62" t="s">
        <v>3259</v>
      </c>
      <c r="C72" s="45" t="s">
        <v>39</v>
      </c>
      <c r="D72" s="62" t="s">
        <v>2655</v>
      </c>
      <c r="E72" s="11" t="str">
        <f>HYPERLINK("https://youtu.be/5BrRM5rE3_k?t=1108","channel 2")</f>
        <v>channel 2</v>
      </c>
    </row>
    <row r="73">
      <c r="B73" s="62" t="s">
        <v>516</v>
      </c>
      <c r="C73" s="45" t="s">
        <v>162</v>
      </c>
      <c r="D73" s="61" t="s">
        <v>3260</v>
      </c>
      <c r="E73" s="11" t="str">
        <f>HYPERLINK("https://youtu.be/anN2JU7AlHY?t=1909","channel 1")</f>
        <v>channel 1</v>
      </c>
    </row>
    <row r="74">
      <c r="B74" s="62" t="s">
        <v>3259</v>
      </c>
      <c r="C74" s="45" t="s">
        <v>16</v>
      </c>
      <c r="D74" s="62" t="s">
        <v>3258</v>
      </c>
      <c r="E74" s="11" t="str">
        <f>HYPERLINK("https://youtu.be/5BrRM5rE3_k?t=1990","channel 2")</f>
        <v>channel 2</v>
      </c>
    </row>
    <row r="75">
      <c r="B75" s="62" t="s">
        <v>516</v>
      </c>
      <c r="C75" s="45" t="s">
        <v>203</v>
      </c>
      <c r="D75" s="62" t="s">
        <v>2655</v>
      </c>
      <c r="E75" s="11" t="str">
        <f>HYPERLINK("https://youtu.be/anN2JU7AlHY?t=2820","channel 1")</f>
        <v>channel 1</v>
      </c>
    </row>
    <row r="76">
      <c r="B76" s="61" t="s">
        <v>3260</v>
      </c>
      <c r="C76" s="45" t="s">
        <v>24</v>
      </c>
      <c r="D76" s="62" t="s">
        <v>3258</v>
      </c>
      <c r="E76" s="11" t="str">
        <f>HYPERLINK("https://youtu.be/5BrRM5rE3_k?t=2909","channel 2")</f>
        <v>channel 2</v>
      </c>
    </row>
    <row r="77">
      <c r="B77" s="62" t="s">
        <v>516</v>
      </c>
      <c r="C77" s="45" t="s">
        <v>166</v>
      </c>
      <c r="D77" s="62" t="s">
        <v>3259</v>
      </c>
      <c r="E77" s="11" t="str">
        <f>HYPERLINK("https://youtu.be/anN2JU7AlHY?t=3739","channel 1")</f>
        <v>channel 1</v>
      </c>
    </row>
    <row r="78">
      <c r="B78" s="61" t="s">
        <v>3260</v>
      </c>
      <c r="C78" s="45" t="s">
        <v>155</v>
      </c>
      <c r="D78" s="62" t="s">
        <v>2655</v>
      </c>
      <c r="E78" s="11" t="str">
        <f>HYPERLINK("https://youtu.be/5BrRM5rE3_k?t=3848","channel 2")</f>
        <v>channel 2</v>
      </c>
    </row>
    <row r="79">
      <c r="B79" s="62" t="s">
        <v>2655</v>
      </c>
      <c r="C79" s="45" t="s">
        <v>158</v>
      </c>
      <c r="D79" s="62" t="s">
        <v>3258</v>
      </c>
      <c r="E79" s="11" t="str">
        <f>HYPERLINK("https://youtu.be/anN2JU7AlHY?t=4660","channel 1")</f>
        <v>channel 1</v>
      </c>
    </row>
    <row r="80">
      <c r="B80" s="61" t="s">
        <v>3260</v>
      </c>
      <c r="C80" s="45" t="s">
        <v>210</v>
      </c>
      <c r="D80" s="62" t="s">
        <v>3259</v>
      </c>
      <c r="E80" s="11" t="str">
        <f>HYPERLINK("https://youtu.be/5BrRM5rE3_k?t=4802","channel 2")</f>
        <v>channel 2</v>
      </c>
    </row>
    <row r="81">
      <c r="B81" s="62" t="s">
        <v>3258</v>
      </c>
      <c r="C81" s="45" t="s">
        <v>155</v>
      </c>
      <c r="D81" s="62" t="s">
        <v>516</v>
      </c>
      <c r="E81" s="11" t="str">
        <f>HYPERLINK("https://youtu.be/anN2JU7AlHY?t=5612","channel 1")</f>
        <v>channel 1</v>
      </c>
    </row>
    <row r="82">
      <c r="B82" s="62" t="s">
        <v>2655</v>
      </c>
      <c r="C82" s="45" t="s">
        <v>158</v>
      </c>
      <c r="D82" s="62" t="s">
        <v>3259</v>
      </c>
      <c r="E82" s="11" t="str">
        <f>HYPERLINK("https://youtu.be/5BrRM5rE3_k?t=5799","channel 2")</f>
        <v>channel 2</v>
      </c>
    </row>
    <row r="83">
      <c r="B83" s="61" t="s">
        <v>3260</v>
      </c>
      <c r="C83" s="45" t="s">
        <v>344</v>
      </c>
      <c r="D83" s="62" t="s">
        <v>516</v>
      </c>
      <c r="E83" s="11" t="str">
        <f>HYPERLINK("https://youtu.be/anN2JU7AlHY?t=6562","channel 1")</f>
        <v>channel 1</v>
      </c>
    </row>
    <row r="84">
      <c r="B84" s="62" t="s">
        <v>3258</v>
      </c>
      <c r="C84" s="45" t="s">
        <v>185</v>
      </c>
      <c r="D84" s="62" t="s">
        <v>3259</v>
      </c>
      <c r="E84" s="11" t="str">
        <f>HYPERLINK("https://youtu.be/5BrRM5rE3_k?t=6719","channel 2")</f>
        <v>channel 2</v>
      </c>
    </row>
    <row r="85">
      <c r="B85" s="62" t="s">
        <v>2655</v>
      </c>
      <c r="C85" s="45" t="s">
        <v>225</v>
      </c>
      <c r="D85" s="62" t="s">
        <v>516</v>
      </c>
      <c r="E85" s="11" t="str">
        <f>HYPERLINK("https://youtu.be/anN2JU7AlHY?t=7488","channel 1")</f>
        <v>channel 1</v>
      </c>
    </row>
    <row r="86">
      <c r="B86" s="62" t="s">
        <v>3258</v>
      </c>
      <c r="C86" s="45" t="s">
        <v>44</v>
      </c>
      <c r="D86" s="61" t="s">
        <v>3260</v>
      </c>
      <c r="E86" s="11" t="str">
        <f>HYPERLINK("https://youtu.be/5BrRM5rE3_k?t=7646","channel 2")</f>
        <v>channel 2</v>
      </c>
    </row>
    <row r="87">
      <c r="B87" s="62" t="s">
        <v>3259</v>
      </c>
      <c r="C87" s="45" t="s">
        <v>17</v>
      </c>
      <c r="D87" s="62" t="s">
        <v>516</v>
      </c>
      <c r="E87" s="11" t="str">
        <f>HYPERLINK("https://youtu.be/anN2JU7AlHY?t=8446","channel 1")</f>
        <v>channel 1</v>
      </c>
    </row>
    <row r="88">
      <c r="B88" s="62" t="s">
        <v>2655</v>
      </c>
      <c r="C88" s="45" t="s">
        <v>39</v>
      </c>
      <c r="D88" s="61" t="s">
        <v>3260</v>
      </c>
      <c r="E88" s="11" t="str">
        <f>HYPERLINK("https://youtu.be/5BrRM5rE3_k?t=8637","channel 2")</f>
        <v>channel 2</v>
      </c>
    </row>
    <row r="89">
      <c r="B89" s="96" t="s">
        <v>3261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3112</v>
      </c>
      <c r="C91" s="45" t="s">
        <v>155</v>
      </c>
      <c r="D91" s="62" t="s">
        <v>1263</v>
      </c>
      <c r="E91" s="11" t="str">
        <f>HYPERLINK("https://youtu.be/k0MuYVtpdcg","channel 3")</f>
        <v>channel 3</v>
      </c>
    </row>
    <row r="92">
      <c r="B92" s="62" t="s">
        <v>2826</v>
      </c>
      <c r="C92" s="45" t="s">
        <v>279</v>
      </c>
      <c r="D92" s="61" t="s">
        <v>3262</v>
      </c>
      <c r="E92" s="11" t="str">
        <f>HYPERLINK("https://youtu.be/PpYHATrG8JM","channel 4")</f>
        <v>channel 4</v>
      </c>
    </row>
    <row r="93">
      <c r="B93" s="62" t="s">
        <v>3263</v>
      </c>
      <c r="C93" s="45" t="s">
        <v>594</v>
      </c>
      <c r="D93" s="62" t="s">
        <v>3112</v>
      </c>
      <c r="E93" s="11" t="str">
        <f>HYPERLINK("https://youtu.be/k0MuYVtpdcg?t=1015","channel 3")</f>
        <v>channel 3</v>
      </c>
    </row>
    <row r="94">
      <c r="B94" s="62" t="s">
        <v>2826</v>
      </c>
      <c r="C94" s="45" t="s">
        <v>279</v>
      </c>
      <c r="D94" s="62" t="s">
        <v>1263</v>
      </c>
      <c r="E94" s="11" t="str">
        <f>HYPERLINK("https://youtu.be/PpYHATrG8JM?t=1010","channel 4")</f>
        <v>channel 4</v>
      </c>
    </row>
    <row r="95">
      <c r="B95" s="62" t="s">
        <v>3263</v>
      </c>
      <c r="C95" s="45" t="s">
        <v>34</v>
      </c>
      <c r="D95" s="61" t="s">
        <v>3262</v>
      </c>
      <c r="E95" s="11" t="str">
        <f>HYPERLINK("https://youtu.be/k0MuYVtpdcg?t=1971","channel 3")</f>
        <v>channel 3</v>
      </c>
    </row>
    <row r="96">
      <c r="B96" s="62" t="s">
        <v>2826</v>
      </c>
      <c r="C96" s="45" t="s">
        <v>448</v>
      </c>
      <c r="D96" s="62" t="s">
        <v>3112</v>
      </c>
      <c r="E96" s="11" t="str">
        <f>HYPERLINK("https://youtu.be/PpYHATrG8JM?t=1935","channel 4")</f>
        <v>channel 4</v>
      </c>
    </row>
    <row r="97">
      <c r="B97" s="62" t="s">
        <v>3263</v>
      </c>
      <c r="C97" s="45" t="s">
        <v>24</v>
      </c>
      <c r="D97" s="62" t="s">
        <v>1263</v>
      </c>
      <c r="E97" s="11" t="str">
        <f>HYPERLINK("https://youtu.be/k0MuYVtpdcg?t=1971","channel 3")</f>
        <v>channel 3</v>
      </c>
    </row>
    <row r="98">
      <c r="B98" s="61" t="s">
        <v>3262</v>
      </c>
      <c r="C98" s="45" t="s">
        <v>3264</v>
      </c>
      <c r="D98" s="62" t="s">
        <v>3112</v>
      </c>
      <c r="E98" s="11" t="str">
        <f>HYPERLINK("https://youtu.be/PpYHATrG8JM?t=2936","channel 4")</f>
        <v>channel 4</v>
      </c>
    </row>
    <row r="99">
      <c r="B99" s="62" t="s">
        <v>3263</v>
      </c>
      <c r="C99" s="45" t="s">
        <v>298</v>
      </c>
      <c r="D99" s="62" t="s">
        <v>2826</v>
      </c>
      <c r="E99" s="11" t="str">
        <f>HYPERLINK("https://youtu.be/k0MuYVtpdcg?t=3921","channel 3")</f>
        <v>channel 3</v>
      </c>
    </row>
    <row r="100">
      <c r="B100" s="61" t="s">
        <v>3262</v>
      </c>
      <c r="C100" s="45" t="s">
        <v>209</v>
      </c>
      <c r="D100" s="62" t="s">
        <v>1263</v>
      </c>
      <c r="E100" s="11" t="str">
        <f>HYPERLINK("https://youtu.be/PpYHATrG8JM?t=3963","channel 4")</f>
        <v>channel 4</v>
      </c>
    </row>
    <row r="101">
      <c r="B101" s="62" t="s">
        <v>1263</v>
      </c>
      <c r="C101" s="45" t="s">
        <v>198</v>
      </c>
      <c r="D101" s="62" t="s">
        <v>3112</v>
      </c>
      <c r="E101" s="11" t="str">
        <f>HYPERLINK("https://youtu.be/k0MuYVtpdcg?t=4873","channel 3")</f>
        <v>channel 3</v>
      </c>
    </row>
    <row r="102">
      <c r="B102" s="61" t="s">
        <v>3262</v>
      </c>
      <c r="C102" s="45" t="s">
        <v>31</v>
      </c>
      <c r="D102" s="62" t="s">
        <v>2826</v>
      </c>
      <c r="E102" s="11" t="str">
        <f>HYPERLINK("https://youtu.be/PpYHATrG8JM?t=4876","channel 4")</f>
        <v>channel 4</v>
      </c>
    </row>
    <row r="103">
      <c r="B103" s="62" t="s">
        <v>3112</v>
      </c>
      <c r="C103" s="45" t="s">
        <v>344</v>
      </c>
      <c r="D103" s="62" t="s">
        <v>3263</v>
      </c>
      <c r="E103" s="11" t="str">
        <f>HYPERLINK("https://youtu.be/k0MuYVtpdcg?t=5823","channel 3")</f>
        <v>channel 3</v>
      </c>
    </row>
    <row r="104">
      <c r="B104" s="62" t="s">
        <v>1263</v>
      </c>
      <c r="C104" s="45" t="s">
        <v>298</v>
      </c>
      <c r="D104" s="62" t="s">
        <v>2826</v>
      </c>
      <c r="E104" s="11" t="str">
        <f>HYPERLINK("https://youtu.be/PpYHATrG8JM?t=5852","channel 4")</f>
        <v>channel 4</v>
      </c>
    </row>
    <row r="105">
      <c r="B105" s="61" t="s">
        <v>3262</v>
      </c>
      <c r="C105" s="45" t="s">
        <v>184</v>
      </c>
      <c r="D105" s="62" t="s">
        <v>3263</v>
      </c>
      <c r="E105" s="11" t="str">
        <f>HYPERLINK("https://youtu.be/k0MuYVtpdcg?t=6755","channel 3")</f>
        <v>channel 3</v>
      </c>
    </row>
    <row r="106">
      <c r="B106" s="62" t="s">
        <v>3112</v>
      </c>
      <c r="C106" s="45" t="s">
        <v>620</v>
      </c>
      <c r="D106" s="62" t="s">
        <v>2826</v>
      </c>
      <c r="E106" s="11" t="str">
        <f>HYPERLINK("https://youtu.be/PpYHATrG8JM?t=6835","channel 4")</f>
        <v>channel 4</v>
      </c>
    </row>
    <row r="107">
      <c r="B107" s="62" t="s">
        <v>1263</v>
      </c>
      <c r="C107" s="45" t="s">
        <v>185</v>
      </c>
      <c r="D107" s="62" t="s">
        <v>3263</v>
      </c>
      <c r="E107" s="11" t="str">
        <f>HYPERLINK("https://youtu.be/k0MuYVtpdcg?t=7766","channel 3")</f>
        <v>channel 3</v>
      </c>
      <c r="H107" s="50" t="s">
        <v>514</v>
      </c>
    </row>
    <row r="108">
      <c r="B108" s="62" t="s">
        <v>3112</v>
      </c>
      <c r="C108" s="45" t="s">
        <v>545</v>
      </c>
      <c r="D108" s="61" t="s">
        <v>3262</v>
      </c>
      <c r="E108" s="11" t="str">
        <f>HYPERLINK("https://youtu.be/PpYHATrG8JM?t=7802","channel 4")</f>
        <v>channel 4</v>
      </c>
    </row>
    <row r="109">
      <c r="B109" s="62" t="s">
        <v>2826</v>
      </c>
      <c r="C109" s="45" t="s">
        <v>327</v>
      </c>
      <c r="D109" s="62" t="s">
        <v>3263</v>
      </c>
      <c r="E109" s="11" t="str">
        <f>HYPERLINK("https://youtu.be/k0MuYVtpdcg?t=8810","channel 3")</f>
        <v>channel 3</v>
      </c>
    </row>
    <row r="110">
      <c r="B110" s="62" t="s">
        <v>1263</v>
      </c>
      <c r="C110" s="45" t="s">
        <v>425</v>
      </c>
      <c r="D110" s="61" t="s">
        <v>3262</v>
      </c>
      <c r="E110" s="11" t="str">
        <f>HYPERLINK("https://youtu.be/PpYHATrG8JM?t=8793","channel 4")</f>
        <v>channel 4</v>
      </c>
    </row>
    <row r="111">
      <c r="B111" s="96" t="s">
        <v>3047</v>
      </c>
      <c r="C111" s="2"/>
      <c r="D111" s="3"/>
      <c r="E111" s="5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3194</v>
      </c>
      <c r="C113" s="45" t="s">
        <v>856</v>
      </c>
      <c r="D113" s="62" t="s">
        <v>1731</v>
      </c>
      <c r="E113" s="11" t="str">
        <f>HYPERLINK("https://youtu.be/B2rcBJgq5gg","channel 3")</f>
        <v>channel 3</v>
      </c>
    </row>
    <row r="114">
      <c r="B114" s="62" t="s">
        <v>2485</v>
      </c>
      <c r="C114" s="45" t="s">
        <v>251</v>
      </c>
      <c r="D114" s="61" t="s">
        <v>3265</v>
      </c>
      <c r="E114" s="11" t="str">
        <f>HYPERLINK("https://youtu.be/5Ks5L00HQzQ","channel 4")</f>
        <v>channel 4</v>
      </c>
      <c r="G114" s="50" t="s">
        <v>514</v>
      </c>
    </row>
    <row r="115">
      <c r="B115" s="62" t="s">
        <v>1653</v>
      </c>
      <c r="C115" s="45" t="s">
        <v>185</v>
      </c>
      <c r="D115" s="62" t="s">
        <v>3194</v>
      </c>
      <c r="E115" s="11" t="str">
        <f>HYPERLINK("https://youtu.be/B2rcBJgq5gg?t=963","channel 3")</f>
        <v>channel 3</v>
      </c>
    </row>
    <row r="116">
      <c r="B116" s="62" t="s">
        <v>2485</v>
      </c>
      <c r="C116" s="45" t="s">
        <v>302</v>
      </c>
      <c r="D116" s="62" t="s">
        <v>1731</v>
      </c>
      <c r="E116" s="11" t="str">
        <f>HYPERLINK("https://youtu.be/5Ks5L00HQzQ?t=1036","channel 4")</f>
        <v>channel 4</v>
      </c>
    </row>
    <row r="117">
      <c r="B117" s="62" t="s">
        <v>1653</v>
      </c>
      <c r="C117" s="45" t="s">
        <v>442</v>
      </c>
      <c r="D117" s="61" t="s">
        <v>3265</v>
      </c>
      <c r="E117" s="11" t="str">
        <f>HYPERLINK("https://youtu.be/B2rcBJgq5gg?t=1871","channel 3")</f>
        <v>channel 3</v>
      </c>
    </row>
    <row r="118">
      <c r="B118" s="62" t="s">
        <v>2485</v>
      </c>
      <c r="C118" s="45" t="s">
        <v>19</v>
      </c>
      <c r="D118" s="62" t="s">
        <v>3194</v>
      </c>
      <c r="E118" s="11" t="str">
        <f>HYPERLINK("https://youtu.be/5Ks5L00HQzQ?t=1961","channel 4")</f>
        <v>channel 4</v>
      </c>
    </row>
    <row r="119">
      <c r="B119" s="62" t="s">
        <v>1653</v>
      </c>
      <c r="C119" s="45" t="s">
        <v>534</v>
      </c>
      <c r="D119" s="62" t="s">
        <v>1731</v>
      </c>
      <c r="E119" s="11" t="str">
        <f>HYPERLINK("https://youtu.be/B2rcBJgq5gg?t=2855","channel 3")</f>
        <v>channel 3</v>
      </c>
    </row>
    <row r="120">
      <c r="B120" s="61" t="s">
        <v>3265</v>
      </c>
      <c r="C120" s="45" t="s">
        <v>344</v>
      </c>
      <c r="D120" s="62" t="s">
        <v>3194</v>
      </c>
      <c r="E120" s="11" t="str">
        <f>HYPERLINK("https://youtu.be/5Ks5L00HQzQ?t=2899","channel 4")</f>
        <v>channel 4</v>
      </c>
    </row>
    <row r="121">
      <c r="B121" s="62" t="s">
        <v>1653</v>
      </c>
      <c r="C121" s="45" t="s">
        <v>443</v>
      </c>
      <c r="D121" s="62" t="s">
        <v>2485</v>
      </c>
      <c r="E121" s="11" t="str">
        <f>HYPERLINK("https://youtu.be/B2rcBJgq5gg?t=3808","channel 3")</f>
        <v>channel 3</v>
      </c>
    </row>
    <row r="122">
      <c r="B122" s="61" t="s">
        <v>3265</v>
      </c>
      <c r="C122" s="45" t="s">
        <v>162</v>
      </c>
      <c r="D122" s="62" t="s">
        <v>1731</v>
      </c>
      <c r="E122" s="11" t="str">
        <f>HYPERLINK("https://youtu.be/5Ks5L00HQzQ?t=3889","channel 4")</f>
        <v>channel 4</v>
      </c>
    </row>
    <row r="123">
      <c r="B123" s="62" t="s">
        <v>1731</v>
      </c>
      <c r="C123" s="45" t="s">
        <v>41</v>
      </c>
      <c r="D123" s="62" t="s">
        <v>3194</v>
      </c>
      <c r="E123" s="11" t="str">
        <f>HYPERLINK("https://youtu.be/B2rcBJgq5gg?t=4767","channel 3")</f>
        <v>channel 3</v>
      </c>
    </row>
    <row r="124">
      <c r="B124" s="61" t="s">
        <v>3265</v>
      </c>
      <c r="C124" s="45" t="s">
        <v>774</v>
      </c>
      <c r="D124" s="62" t="s">
        <v>2485</v>
      </c>
      <c r="E124" s="11" t="str">
        <f>HYPERLINK("https://youtu.be/5Ks5L00HQzQ?t=4864","channel 4")</f>
        <v>channel 4</v>
      </c>
    </row>
    <row r="125">
      <c r="B125" s="62" t="s">
        <v>3194</v>
      </c>
      <c r="C125" s="45" t="s">
        <v>324</v>
      </c>
      <c r="D125" s="62" t="s">
        <v>1653</v>
      </c>
      <c r="E125" s="11" t="str">
        <f>HYPERLINK("https://youtu.be/B2rcBJgq5gg?t=5695","channel 3")</f>
        <v>channel 3</v>
      </c>
    </row>
    <row r="126">
      <c r="B126" s="62" t="s">
        <v>1731</v>
      </c>
      <c r="C126" s="45" t="s">
        <v>208</v>
      </c>
      <c r="D126" s="62" t="s">
        <v>2485</v>
      </c>
      <c r="E126" s="11" t="str">
        <f>HYPERLINK("https://youtu.be/5Ks5L00HQzQ?t=5784","channel 4")</f>
        <v>channel 4</v>
      </c>
      <c r="J126" s="50" t="s">
        <v>514</v>
      </c>
    </row>
    <row r="127">
      <c r="B127" s="61" t="s">
        <v>3265</v>
      </c>
      <c r="C127" s="45" t="s">
        <v>418</v>
      </c>
      <c r="D127" s="62" t="s">
        <v>1653</v>
      </c>
      <c r="E127" s="11" t="str">
        <f>HYPERLINK("https://youtu.be/B2rcBJgq5gg?t=6624","channel 3")</f>
        <v>channel 3</v>
      </c>
    </row>
    <row r="128">
      <c r="B128" s="62" t="s">
        <v>3194</v>
      </c>
      <c r="C128" s="45" t="s">
        <v>17</v>
      </c>
      <c r="D128" s="62" t="s">
        <v>2485</v>
      </c>
      <c r="E128" s="11" t="str">
        <f>HYPERLINK("https://youtu.be/5Ks5L00HQzQ?t=6724","channel 4")</f>
        <v>channel 4</v>
      </c>
    </row>
    <row r="129">
      <c r="B129" s="62" t="s">
        <v>1731</v>
      </c>
      <c r="C129" s="45" t="s">
        <v>196</v>
      </c>
      <c r="D129" s="62" t="s">
        <v>1653</v>
      </c>
      <c r="E129" s="11" t="str">
        <f>HYPERLINK("https://youtu.be/B2rcBJgq5gg?t=7562","channel 3")</f>
        <v>channel 3</v>
      </c>
    </row>
    <row r="130">
      <c r="B130" s="62" t="s">
        <v>3194</v>
      </c>
      <c r="C130" s="45" t="s">
        <v>291</v>
      </c>
      <c r="D130" s="61" t="s">
        <v>3265</v>
      </c>
      <c r="E130" s="11" t="str">
        <f>HYPERLINK("https://youtu.be/5Ks5L00HQzQ?t=7720","channel 4")</f>
        <v>channel 4</v>
      </c>
      <c r="H130" s="50" t="s">
        <v>514</v>
      </c>
    </row>
    <row r="131">
      <c r="B131" s="62" t="s">
        <v>2485</v>
      </c>
      <c r="C131" s="45" t="s">
        <v>311</v>
      </c>
      <c r="D131" s="62" t="s">
        <v>1653</v>
      </c>
      <c r="E131" s="11" t="str">
        <f>HYPERLINK("https://youtu.be/B2rcBJgq5gg?t=8486","channel 3")</f>
        <v>channel 3</v>
      </c>
    </row>
    <row r="132">
      <c r="B132" s="62" t="s">
        <v>1731</v>
      </c>
      <c r="C132" s="45" t="s">
        <v>426</v>
      </c>
      <c r="D132" s="61" t="s">
        <v>3265</v>
      </c>
      <c r="E132" s="11" t="str">
        <f>HYPERLINK("https://youtu.be/5Ks5L00HQzQ?t=8613","channel 4")</f>
        <v>channel 4</v>
      </c>
    </row>
    <row r="133">
      <c r="B133" s="96" t="s">
        <v>1544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3266</v>
      </c>
      <c r="C135" s="45" t="s">
        <v>185</v>
      </c>
      <c r="D135" s="62" t="s">
        <v>2110</v>
      </c>
      <c r="E135" s="11" t="str">
        <f>HYPERLINK("https://youtu.be/m2rBwHqrji4","channel 1")</f>
        <v>channel 1</v>
      </c>
    </row>
    <row r="136">
      <c r="B136" s="62" t="s">
        <v>3099</v>
      </c>
      <c r="C136" s="45" t="s">
        <v>181</v>
      </c>
      <c r="D136" s="61" t="s">
        <v>3267</v>
      </c>
      <c r="E136" s="11" t="str">
        <f>HYPERLINK("https://youtu.be/VqpVCzTEL0M","channel 2")</f>
        <v>channel 2</v>
      </c>
    </row>
    <row r="137">
      <c r="B137" s="62" t="s">
        <v>3268</v>
      </c>
      <c r="C137" s="45" t="s">
        <v>20</v>
      </c>
      <c r="D137" s="62" t="s">
        <v>3266</v>
      </c>
      <c r="E137" s="11" t="str">
        <f>HYPERLINK("https://youtu.be/m2rBwHqrji4?t=1026","channel 1")</f>
        <v>channel 1</v>
      </c>
    </row>
    <row r="138">
      <c r="B138" s="62" t="s">
        <v>3099</v>
      </c>
      <c r="C138" s="45" t="s">
        <v>251</v>
      </c>
      <c r="D138" s="62" t="s">
        <v>2110</v>
      </c>
      <c r="E138" s="11" t="str">
        <f>HYPERLINK("https://youtu.be/VqpVCzTEL0M?t=1157","channel 2")</f>
        <v>channel 2</v>
      </c>
    </row>
    <row r="139">
      <c r="B139" s="62" t="s">
        <v>3268</v>
      </c>
      <c r="C139" s="45" t="s">
        <v>220</v>
      </c>
      <c r="D139" s="61" t="s">
        <v>3267</v>
      </c>
      <c r="E139" s="11" t="str">
        <f>HYPERLINK("https://youtu.be/m2rBwHqrji4?t=1961","channel 1")</f>
        <v>channel 1</v>
      </c>
    </row>
    <row r="140">
      <c r="B140" s="62" t="s">
        <v>3099</v>
      </c>
      <c r="C140" s="45" t="s">
        <v>7</v>
      </c>
      <c r="D140" s="62" t="s">
        <v>3266</v>
      </c>
      <c r="E140" s="11" t="str">
        <f>HYPERLINK("https://youtu.be/VqpVCzTEL0M?t=2137","channel 2")</f>
        <v>channel 2</v>
      </c>
    </row>
    <row r="141">
      <c r="B141" s="62" t="s">
        <v>3268</v>
      </c>
      <c r="C141" s="45" t="s">
        <v>289</v>
      </c>
      <c r="D141" s="62" t="s">
        <v>2110</v>
      </c>
      <c r="E141" s="11" t="str">
        <f>HYPERLINK("https://youtu.be/m2rBwHqrji4?t=2974","channel 1")</f>
        <v>channel 1</v>
      </c>
    </row>
    <row r="142">
      <c r="B142" s="61" t="s">
        <v>3267</v>
      </c>
      <c r="C142" s="45" t="s">
        <v>344</v>
      </c>
      <c r="D142" s="62" t="s">
        <v>3266</v>
      </c>
      <c r="E142" s="11" t="str">
        <f>HYPERLINK("https://youtu.be/VqpVCzTEL0M?t=2975","channel 2")</f>
        <v>channel 2</v>
      </c>
    </row>
    <row r="143">
      <c r="B143" s="62" t="s">
        <v>3268</v>
      </c>
      <c r="C143" s="45" t="s">
        <v>193</v>
      </c>
      <c r="D143" s="62" t="s">
        <v>3099</v>
      </c>
      <c r="E143" s="11" t="str">
        <f>HYPERLINK("https://youtu.be/m2rBwHqrji4?t=3874","channel 1")</f>
        <v>channel 1</v>
      </c>
    </row>
    <row r="144">
      <c r="B144" s="61" t="s">
        <v>3267</v>
      </c>
      <c r="C144" s="45" t="s">
        <v>155</v>
      </c>
      <c r="D144" s="62" t="s">
        <v>2110</v>
      </c>
      <c r="E144" s="11" t="str">
        <f>HYPERLINK("https://youtu.be/VqpVCzTEL0M?t=3942","channel 2")</f>
        <v>channel 2</v>
      </c>
    </row>
    <row r="145">
      <c r="B145" s="62" t="s">
        <v>2110</v>
      </c>
      <c r="C145" s="45" t="s">
        <v>7</v>
      </c>
      <c r="D145" s="62" t="s">
        <v>3266</v>
      </c>
      <c r="E145" s="11" t="str">
        <f>HYPERLINK("https://youtu.be/m2rBwHqrji4?t=4832","channel 1")</f>
        <v>channel 1</v>
      </c>
    </row>
    <row r="146">
      <c r="B146" s="61" t="s">
        <v>3267</v>
      </c>
      <c r="C146" s="45" t="s">
        <v>381</v>
      </c>
      <c r="D146" s="62" t="s">
        <v>3099</v>
      </c>
      <c r="E146" s="11" t="str">
        <f>HYPERLINK("https://youtu.be/VqpVCzTEL0M?t=4869","channel 2")</f>
        <v>channel 2</v>
      </c>
    </row>
    <row r="147">
      <c r="B147" s="62" t="s">
        <v>3266</v>
      </c>
      <c r="C147" s="45" t="s">
        <v>194</v>
      </c>
      <c r="D147" s="62" t="s">
        <v>3268</v>
      </c>
      <c r="E147" s="11" t="str">
        <f>HYPERLINK("https://youtu.be/m2rBwHqrji4?t=5764","channel 1")</f>
        <v>channel 1</v>
      </c>
    </row>
    <row r="148">
      <c r="B148" s="62" t="s">
        <v>2110</v>
      </c>
      <c r="C148" s="45" t="s">
        <v>248</v>
      </c>
      <c r="D148" s="62" t="s">
        <v>3099</v>
      </c>
      <c r="E148" s="11" t="str">
        <f>HYPERLINK("https://youtu.be/VqpVCzTEL0M?t=5911","channel 2")</f>
        <v>channel 2</v>
      </c>
    </row>
    <row r="149">
      <c r="B149" s="61" t="s">
        <v>3267</v>
      </c>
      <c r="C149" s="45" t="s">
        <v>233</v>
      </c>
      <c r="D149" s="62" t="s">
        <v>3268</v>
      </c>
      <c r="E149" s="11" t="str">
        <f>HYPERLINK("https://youtu.be/m2rBwHqrji4?t=6658","channel 1")</f>
        <v>channel 1</v>
      </c>
    </row>
    <row r="150">
      <c r="B150" s="62" t="s">
        <v>3266</v>
      </c>
      <c r="C150" s="45" t="s">
        <v>381</v>
      </c>
      <c r="D150" s="62" t="s">
        <v>3099</v>
      </c>
      <c r="E150" s="11" t="str">
        <f>HYPERLINK("https://youtu.be/VqpVCzTEL0M?t=6794","channel 2")</f>
        <v>channel 2</v>
      </c>
    </row>
    <row r="151">
      <c r="B151" s="62" t="s">
        <v>2110</v>
      </c>
      <c r="C151" s="45" t="s">
        <v>193</v>
      </c>
      <c r="D151" s="62" t="s">
        <v>3268</v>
      </c>
      <c r="E151" s="11" t="str">
        <f>HYPERLINK("https://youtu.be/m2rBwHqrji4?t=7682","channel 1")</f>
        <v>channel 1</v>
      </c>
    </row>
    <row r="152">
      <c r="B152" s="62" t="s">
        <v>3266</v>
      </c>
      <c r="C152" s="45" t="s">
        <v>209</v>
      </c>
      <c r="D152" s="61" t="s">
        <v>3267</v>
      </c>
      <c r="E152" s="11" t="str">
        <f>HYPERLINK("https://youtu.be/VqpVCzTEL0M?t=7763","channel 2")</f>
        <v>channel 2</v>
      </c>
    </row>
    <row r="153">
      <c r="B153" s="62" t="s">
        <v>3099</v>
      </c>
      <c r="C153" s="45" t="s">
        <v>218</v>
      </c>
      <c r="D153" s="62" t="s">
        <v>3268</v>
      </c>
      <c r="E153" s="11" t="str">
        <f>HYPERLINK("https://youtu.be/m2rBwHqrji4?t=8601","channel 1")</f>
        <v>channel 1</v>
      </c>
    </row>
    <row r="154">
      <c r="B154" s="62" t="s">
        <v>2110</v>
      </c>
      <c r="C154" s="45" t="s">
        <v>271</v>
      </c>
      <c r="D154" s="61" t="s">
        <v>3267</v>
      </c>
      <c r="E154" s="11" t="str">
        <f>HYPERLINK("https://youtu.be/VqpVCzTEL0M?t=8698","channel 2")</f>
        <v>channel 2</v>
      </c>
    </row>
    <row r="155">
      <c r="B155" s="96" t="s">
        <v>1803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604</v>
      </c>
      <c r="C157" s="45" t="s">
        <v>18</v>
      </c>
      <c r="D157" s="62" t="s">
        <v>81</v>
      </c>
      <c r="E157" s="11" t="str">
        <f>HYPERLINK("https://youtu.be/km4N2xqPEic","channel 1")</f>
        <v>channel 1</v>
      </c>
    </row>
    <row r="158">
      <c r="B158" s="62" t="s">
        <v>3269</v>
      </c>
      <c r="C158" s="45" t="s">
        <v>18</v>
      </c>
      <c r="D158" s="61" t="s">
        <v>3270</v>
      </c>
      <c r="E158" s="11" t="str">
        <f>HYPERLINK("https://youtu.be/b1FYcV-MjGA","channel 2")</f>
        <v>channel 2</v>
      </c>
    </row>
    <row r="159">
      <c r="B159" s="62" t="s">
        <v>1228</v>
      </c>
      <c r="C159" s="45" t="s">
        <v>1079</v>
      </c>
      <c r="D159" s="62" t="s">
        <v>604</v>
      </c>
      <c r="E159" s="11" t="str">
        <f>HYPERLINK("https://youtu.be/km4N2xqPEic?t=978","channel 1")</f>
        <v>channel 1</v>
      </c>
    </row>
    <row r="160">
      <c r="B160" s="62" t="s">
        <v>3269</v>
      </c>
      <c r="C160" s="45" t="s">
        <v>369</v>
      </c>
      <c r="D160" s="62" t="s">
        <v>81</v>
      </c>
      <c r="E160" s="11" t="str">
        <f>HYPERLINK("https://youtu.be/b1FYcV-MjGA?t=1007","channel 2")</f>
        <v>channel 2</v>
      </c>
    </row>
    <row r="161">
      <c r="B161" s="62" t="s">
        <v>1228</v>
      </c>
      <c r="C161" s="45" t="s">
        <v>177</v>
      </c>
      <c r="D161" s="61" t="s">
        <v>3270</v>
      </c>
      <c r="E161" s="11" t="str">
        <f>HYPERLINK("https://youtu.be/km4N2xqPEic?t=1882","channel 1")</f>
        <v>channel 1</v>
      </c>
    </row>
    <row r="162">
      <c r="B162" s="62" t="s">
        <v>3269</v>
      </c>
      <c r="C162" s="45" t="s">
        <v>37</v>
      </c>
      <c r="D162" s="62" t="s">
        <v>604</v>
      </c>
      <c r="E162" s="11" t="str">
        <f>HYPERLINK("https://youtu.be/b1FYcV-MjGA?t=1951","channel 2")</f>
        <v>channel 2</v>
      </c>
    </row>
    <row r="163">
      <c r="B163" s="62" t="s">
        <v>1228</v>
      </c>
      <c r="C163" s="45" t="s">
        <v>162</v>
      </c>
      <c r="D163" s="62" t="s">
        <v>81</v>
      </c>
      <c r="E163" s="11" t="str">
        <f>HYPERLINK("https://youtu.be/km4N2xqPEic?t=2822","channel 1")</f>
        <v>channel 1</v>
      </c>
    </row>
    <row r="164">
      <c r="B164" s="61" t="s">
        <v>3270</v>
      </c>
      <c r="C164" s="45" t="s">
        <v>171</v>
      </c>
      <c r="D164" s="62" t="s">
        <v>604</v>
      </c>
      <c r="E164" s="11" t="str">
        <f>HYPERLINK("https://youtu.be/b1FYcV-MjGA?t=2849","channel 2")</f>
        <v>channel 2</v>
      </c>
    </row>
    <row r="165">
      <c r="B165" s="62" t="s">
        <v>1228</v>
      </c>
      <c r="C165" s="45" t="s">
        <v>440</v>
      </c>
      <c r="D165" s="62" t="s">
        <v>3269</v>
      </c>
      <c r="E165" s="11" t="str">
        <f>HYPERLINK("https://youtu.be/km4N2xqPEic?t=3730","channel 1")</f>
        <v>channel 1</v>
      </c>
    </row>
    <row r="166">
      <c r="B166" s="61" t="s">
        <v>3270</v>
      </c>
      <c r="C166" s="45" t="s">
        <v>344</v>
      </c>
      <c r="D166" s="62" t="s">
        <v>81</v>
      </c>
      <c r="E166" s="11" t="str">
        <f>HYPERLINK("https://youtu.be/b1FYcV-MjGA?t=3795","channel 2")</f>
        <v>channel 2</v>
      </c>
    </row>
    <row r="167">
      <c r="B167" s="62" t="s">
        <v>81</v>
      </c>
      <c r="C167" s="45" t="s">
        <v>20</v>
      </c>
      <c r="D167" s="62" t="s">
        <v>604</v>
      </c>
      <c r="E167" s="11" t="str">
        <f>HYPERLINK("https://youtu.be/km4N2xqPEic?t=4677","channel 1")</f>
        <v>channel 1</v>
      </c>
    </row>
    <row r="168">
      <c r="B168" s="61" t="s">
        <v>3270</v>
      </c>
      <c r="C168" s="45" t="s">
        <v>18</v>
      </c>
      <c r="D168" s="62" t="s">
        <v>3269</v>
      </c>
      <c r="E168" s="11" t="str">
        <f>HYPERLINK("https://youtu.be/b1FYcV-MjGA?t=4728","channel 2")</f>
        <v>channel 2</v>
      </c>
    </row>
    <row r="169">
      <c r="B169" s="62" t="s">
        <v>604</v>
      </c>
      <c r="C169" s="45" t="s">
        <v>38</v>
      </c>
      <c r="D169" s="62" t="s">
        <v>1228</v>
      </c>
      <c r="E169" s="11" t="str">
        <f>HYPERLINK("https://youtu.be/km4N2xqPEic?t=5568","channel 1")</f>
        <v>channel 1</v>
      </c>
    </row>
    <row r="170">
      <c r="B170" s="62" t="s">
        <v>81</v>
      </c>
      <c r="C170" s="45" t="s">
        <v>155</v>
      </c>
      <c r="D170" s="62" t="s">
        <v>3269</v>
      </c>
      <c r="E170" s="11" t="str">
        <f>HYPERLINK("https://youtu.be/b1FYcV-MjGA?t=5678","channel 2")</f>
        <v>channel 2</v>
      </c>
    </row>
    <row r="171">
      <c r="B171" s="61" t="s">
        <v>3270</v>
      </c>
      <c r="C171" s="45" t="s">
        <v>376</v>
      </c>
      <c r="D171" s="62" t="s">
        <v>1228</v>
      </c>
      <c r="E171" s="11" t="str">
        <f>HYPERLINK("https://youtu.be/km4N2xqPEic?t=6505","channel 1")</f>
        <v>channel 1</v>
      </c>
    </row>
    <row r="172">
      <c r="B172" s="62" t="s">
        <v>604</v>
      </c>
      <c r="C172" s="45" t="s">
        <v>16</v>
      </c>
      <c r="D172" s="62" t="s">
        <v>3269</v>
      </c>
      <c r="E172" s="11" t="str">
        <f>HYPERLINK("https://youtu.be/b1FYcV-MjGA?t=6565","channel 2")</f>
        <v>channel 2</v>
      </c>
    </row>
    <row r="173">
      <c r="B173" s="62" t="s">
        <v>81</v>
      </c>
      <c r="C173" s="45" t="s">
        <v>209</v>
      </c>
      <c r="D173" s="62" t="s">
        <v>1228</v>
      </c>
      <c r="E173" s="11" t="str">
        <f>HYPERLINK("https://youtu.be/km4N2xqPEic?t=7429","channel 1")</f>
        <v>channel 1</v>
      </c>
    </row>
    <row r="174">
      <c r="B174" s="62" t="s">
        <v>604</v>
      </c>
      <c r="C174" s="45" t="s">
        <v>1590</v>
      </c>
      <c r="D174" s="61" t="s">
        <v>3270</v>
      </c>
      <c r="E174" s="11" t="str">
        <f>HYPERLINK("https://youtu.be/b1FYcV-MjGA?t=7466","channel 2")</f>
        <v>channel 2</v>
      </c>
    </row>
    <row r="175">
      <c r="B175" s="62" t="s">
        <v>3269</v>
      </c>
      <c r="C175" s="45" t="s">
        <v>43</v>
      </c>
      <c r="D175" s="62" t="s">
        <v>1228</v>
      </c>
      <c r="E175" s="11" t="str">
        <f>HYPERLINK("https://youtu.be/km4N2xqPEic?t=8363","channel 1")</f>
        <v>channel 1</v>
      </c>
    </row>
    <row r="176">
      <c r="B176" s="62" t="s">
        <v>81</v>
      </c>
      <c r="C176" s="45" t="s">
        <v>220</v>
      </c>
      <c r="D176" s="61" t="s">
        <v>3270</v>
      </c>
      <c r="E176" s="11" t="str">
        <f>HYPERLINK("https://youtu.be/b1FYcV-MjGA?t=8407","channel 2")</f>
        <v>channel 2</v>
      </c>
    </row>
    <row r="177">
      <c r="B177" s="96" t="s">
        <v>2666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2777</v>
      </c>
      <c r="C179" s="45" t="s">
        <v>208</v>
      </c>
      <c r="D179" s="62" t="s">
        <v>1443</v>
      </c>
      <c r="E179" s="11" t="str">
        <f>HYPERLINK("https://youtu.be/4bau7nKPhGA","channel 3")</f>
        <v>channel 3</v>
      </c>
    </row>
    <row r="180">
      <c r="B180" s="62" t="s">
        <v>2621</v>
      </c>
      <c r="C180" s="45" t="s">
        <v>1316</v>
      </c>
      <c r="D180" s="61" t="s">
        <v>3271</v>
      </c>
      <c r="E180" s="11" t="str">
        <f>HYPERLINK("https://youtu.be/7wRERxliFRI","channel 4")</f>
        <v>channel 4</v>
      </c>
    </row>
    <row r="181">
      <c r="B181" s="62" t="s">
        <v>3172</v>
      </c>
      <c r="C181" s="45" t="s">
        <v>158</v>
      </c>
      <c r="D181" s="62" t="s">
        <v>2777</v>
      </c>
      <c r="E181" s="11" t="str">
        <f>HYPERLINK("https://youtu.be/4bau7nKPhGA?t=965","channel 3")</f>
        <v>channel 3</v>
      </c>
    </row>
    <row r="182">
      <c r="B182" s="62" t="s">
        <v>2621</v>
      </c>
      <c r="C182" s="45" t="s">
        <v>256</v>
      </c>
      <c r="D182" s="62" t="s">
        <v>1443</v>
      </c>
      <c r="E182" s="11" t="str">
        <f>HYPERLINK("https://youtu.be/7wRERxliFRI?t=997","channel 4")</f>
        <v>channel 4</v>
      </c>
    </row>
    <row r="183">
      <c r="B183" s="62" t="s">
        <v>3172</v>
      </c>
      <c r="C183" s="45" t="s">
        <v>159</v>
      </c>
      <c r="D183" s="61" t="s">
        <v>3271</v>
      </c>
      <c r="E183" s="11" t="str">
        <f>HYPERLINK("https://youtu.be/4bau7nKPhGA?t=1889","channel 3")</f>
        <v>channel 3</v>
      </c>
    </row>
    <row r="184">
      <c r="B184" s="62" t="s">
        <v>2621</v>
      </c>
      <c r="C184" s="45" t="s">
        <v>220</v>
      </c>
      <c r="D184" s="62" t="s">
        <v>2777</v>
      </c>
      <c r="E184" s="11" t="str">
        <f>HYPERLINK("https://youtu.be/7wRERxliFRI?t=1870","channel 4")</f>
        <v>channel 4</v>
      </c>
    </row>
    <row r="185">
      <c r="B185" s="62" t="s">
        <v>3172</v>
      </c>
      <c r="C185" s="45" t="s">
        <v>44</v>
      </c>
      <c r="D185" s="62" t="s">
        <v>1443</v>
      </c>
      <c r="E185" s="11" t="str">
        <f>HYPERLINK("https://youtu.be/4bau7nKPhGA?t=2859","channel 3")</f>
        <v>channel 3</v>
      </c>
    </row>
    <row r="186">
      <c r="B186" s="61" t="s">
        <v>3271</v>
      </c>
      <c r="C186" s="45" t="s">
        <v>158</v>
      </c>
      <c r="D186" s="62" t="s">
        <v>2777</v>
      </c>
      <c r="E186" s="11" t="str">
        <f>HYPERLINK("https://youtu.be/7wRERxliFRI?t=2878","channel 4")</f>
        <v>channel 4</v>
      </c>
    </row>
    <row r="187">
      <c r="B187" s="62" t="s">
        <v>3172</v>
      </c>
      <c r="C187" s="45" t="s">
        <v>23</v>
      </c>
      <c r="D187" s="62" t="s">
        <v>2621</v>
      </c>
      <c r="E187" s="11" t="str">
        <f>HYPERLINK("https://youtu.be/4bau7nKPhGA?t=3784","channel 3")</f>
        <v>channel 3</v>
      </c>
    </row>
    <row r="188">
      <c r="B188" s="61" t="s">
        <v>3271</v>
      </c>
      <c r="C188" s="45" t="s">
        <v>233</v>
      </c>
      <c r="D188" s="62" t="s">
        <v>1443</v>
      </c>
      <c r="E188" s="11" t="str">
        <f>HYPERLINK("https://youtu.be/7wRERxliFRI?t=3817","channel 4")</f>
        <v>channel 4</v>
      </c>
    </row>
    <row r="189">
      <c r="B189" s="62" t="s">
        <v>1443</v>
      </c>
      <c r="C189" s="45" t="s">
        <v>279</v>
      </c>
      <c r="D189" s="62" t="s">
        <v>2777</v>
      </c>
      <c r="E189" s="11" t="str">
        <f>HYPERLINK("https://youtu.be/4bau7nKPhGA?t=4768","channel 3")</f>
        <v>channel 3</v>
      </c>
    </row>
    <row r="190">
      <c r="B190" s="61" t="s">
        <v>3271</v>
      </c>
      <c r="C190" s="45" t="s">
        <v>248</v>
      </c>
      <c r="D190" s="62" t="s">
        <v>2621</v>
      </c>
      <c r="E190" s="11" t="str">
        <f>HYPERLINK("https://youtu.be/7wRERxliFRI?t=4820","channel 4")</f>
        <v>channel 4</v>
      </c>
    </row>
    <row r="191">
      <c r="B191" s="62" t="s">
        <v>2777</v>
      </c>
      <c r="C191" s="45" t="s">
        <v>17</v>
      </c>
      <c r="D191" s="62" t="s">
        <v>3172</v>
      </c>
      <c r="E191" s="11" t="str">
        <f>HYPERLINK("https://youtu.be/4bau7nKPhGA?t=5683","channel 3")</f>
        <v>channel 3</v>
      </c>
    </row>
    <row r="192">
      <c r="B192" s="62" t="s">
        <v>1443</v>
      </c>
      <c r="C192" s="45" t="s">
        <v>790</v>
      </c>
      <c r="D192" s="62" t="s">
        <v>2621</v>
      </c>
      <c r="E192" s="11" t="str">
        <f>HYPERLINK("https://youtu.be/7wRERxliFRI?t=5753","channel 4")</f>
        <v>channel 4</v>
      </c>
    </row>
    <row r="193">
      <c r="B193" s="61" t="s">
        <v>3271</v>
      </c>
      <c r="C193" s="45" t="s">
        <v>185</v>
      </c>
      <c r="D193" s="62" t="s">
        <v>3172</v>
      </c>
      <c r="E193" s="11" t="str">
        <f>HYPERLINK("https://youtu.be/4bau7nKPhGA?t=6598","channel 3")</f>
        <v>channel 3</v>
      </c>
      <c r="J193" s="50" t="s">
        <v>861</v>
      </c>
    </row>
    <row r="194">
      <c r="B194" s="62" t="s">
        <v>2777</v>
      </c>
      <c r="C194" s="45" t="s">
        <v>239</v>
      </c>
      <c r="D194" s="62" t="s">
        <v>2621</v>
      </c>
      <c r="E194" s="11" t="str">
        <f>HYPERLINK("https://youtu.be/7wRERxliFRI?t=6704","channel 4")</f>
        <v>channel 4</v>
      </c>
    </row>
    <row r="195">
      <c r="B195" s="62" t="s">
        <v>1443</v>
      </c>
      <c r="C195" s="45" t="s">
        <v>163</v>
      </c>
      <c r="D195" s="62" t="s">
        <v>3172</v>
      </c>
      <c r="E195" s="11" t="str">
        <f>HYPERLINK("https://youtu.be/4bau7nKPhGA?t=7622","channel 3")</f>
        <v>channel 3</v>
      </c>
    </row>
    <row r="196">
      <c r="B196" s="62" t="s">
        <v>2777</v>
      </c>
      <c r="C196" s="45" t="s">
        <v>3272</v>
      </c>
      <c r="D196" s="61" t="s">
        <v>3271</v>
      </c>
      <c r="E196" s="11" t="str">
        <f>HYPERLINK("https://youtu.be/7wRERxliFRI?t=7623","channel 4")</f>
        <v>channel 4</v>
      </c>
    </row>
    <row r="197">
      <c r="B197" s="62" t="s">
        <v>2621</v>
      </c>
      <c r="C197" s="45" t="s">
        <v>2475</v>
      </c>
      <c r="D197" s="62" t="s">
        <v>3172</v>
      </c>
      <c r="E197" s="11" t="str">
        <f>HYPERLINK("https://youtu.be/4bau7nKPhGA?t=8522","channel 3")</f>
        <v>channel 3</v>
      </c>
    </row>
    <row r="198">
      <c r="B198" s="62" t="s">
        <v>1443</v>
      </c>
      <c r="C198" s="45" t="s">
        <v>185</v>
      </c>
      <c r="D198" s="61" t="s">
        <v>3271</v>
      </c>
      <c r="E198" s="11" t="str">
        <f>HYPERLINK("https://youtu.be/7wRERxliFRI?t=8567","channel 4")</f>
        <v>channel 4</v>
      </c>
    </row>
    <row r="199">
      <c r="B199" s="96" t="s">
        <v>2990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2991</v>
      </c>
      <c r="C201" s="45" t="s">
        <v>7</v>
      </c>
      <c r="D201" s="62" t="s">
        <v>3273</v>
      </c>
      <c r="E201" s="11" t="str">
        <f>HYPERLINK("https://youtu.be/ynHaQ1gDL1w","channel 3")</f>
        <v>channel 3</v>
      </c>
    </row>
    <row r="202">
      <c r="B202" s="62" t="s">
        <v>3274</v>
      </c>
      <c r="C202" s="45" t="s">
        <v>231</v>
      </c>
      <c r="D202" s="61" t="s">
        <v>3275</v>
      </c>
      <c r="E202" s="11" t="str">
        <f>HYPERLINK("https://youtu.be/NEurjpTq-9M","channel 4")</f>
        <v>channel 4</v>
      </c>
    </row>
    <row r="203">
      <c r="B203" s="62" t="s">
        <v>2585</v>
      </c>
      <c r="C203" s="45" t="s">
        <v>18</v>
      </c>
      <c r="D203" s="62" t="s">
        <v>2991</v>
      </c>
      <c r="E203" s="11" t="str">
        <f>HYPERLINK("https://youtu.be/ynHaQ1gDL1w?t=1041","channel 3")</f>
        <v>channel 3</v>
      </c>
    </row>
    <row r="204">
      <c r="B204" s="62" t="s">
        <v>3274</v>
      </c>
      <c r="C204" s="45" t="s">
        <v>18</v>
      </c>
      <c r="D204" s="62" t="s">
        <v>3273</v>
      </c>
      <c r="E204" s="11" t="str">
        <f>HYPERLINK("https://youtu.be/NEurjpTq-9M?t=1076","channel 4")</f>
        <v>channel 4</v>
      </c>
    </row>
    <row r="205">
      <c r="B205" s="62" t="s">
        <v>2585</v>
      </c>
      <c r="C205" s="45" t="s">
        <v>19</v>
      </c>
      <c r="D205" s="61" t="s">
        <v>3275</v>
      </c>
      <c r="E205" s="11" t="str">
        <f>HYPERLINK("https://youtu.be/ynHaQ1gDL1w?t=1949","channel 3")</f>
        <v>channel 3</v>
      </c>
    </row>
    <row r="206">
      <c r="B206" s="62" t="s">
        <v>3274</v>
      </c>
      <c r="C206" s="45" t="s">
        <v>18</v>
      </c>
      <c r="D206" s="62" t="s">
        <v>2991</v>
      </c>
      <c r="E206" s="11" t="str">
        <f>HYPERLINK("https://youtu.be/NEurjpTq-9M?t=1947","channel 4")</f>
        <v>channel 4</v>
      </c>
    </row>
    <row r="207">
      <c r="B207" s="62" t="s">
        <v>2585</v>
      </c>
      <c r="C207" s="45" t="s">
        <v>290</v>
      </c>
      <c r="D207" s="62" t="s">
        <v>3273</v>
      </c>
      <c r="E207" s="11" t="str">
        <f>HYPERLINK("https://youtu.be/ynHaQ1gDL1w?t=2896","channel 3")</f>
        <v>channel 3</v>
      </c>
    </row>
    <row r="208">
      <c r="B208" s="61" t="s">
        <v>3275</v>
      </c>
      <c r="C208" s="45" t="s">
        <v>342</v>
      </c>
      <c r="D208" s="62" t="s">
        <v>2991</v>
      </c>
      <c r="E208" s="11" t="str">
        <f>HYPERLINK("https://youtu.be/NEurjpTq-9M?t=2885","channel 4")</f>
        <v>channel 4</v>
      </c>
    </row>
    <row r="209">
      <c r="B209" s="62" t="s">
        <v>2585</v>
      </c>
      <c r="C209" s="45" t="s">
        <v>185</v>
      </c>
      <c r="D209" s="62" t="s">
        <v>3274</v>
      </c>
      <c r="E209" s="11" t="str">
        <f>HYPERLINK("https://youtu.be/ynHaQ1gDL1w?t=3816","channel 3")</f>
        <v>channel 3</v>
      </c>
    </row>
    <row r="210">
      <c r="B210" s="61" t="s">
        <v>3275</v>
      </c>
      <c r="C210" s="45" t="s">
        <v>181</v>
      </c>
      <c r="D210" s="62" t="s">
        <v>3273</v>
      </c>
      <c r="E210" s="11" t="str">
        <f>HYPERLINK("https://youtu.be/NEurjpTq-9M?t=3865","channel 4")</f>
        <v>channel 4</v>
      </c>
    </row>
    <row r="211">
      <c r="B211" s="62" t="s">
        <v>3273</v>
      </c>
      <c r="C211" s="45" t="s">
        <v>16</v>
      </c>
      <c r="D211" s="62" t="s">
        <v>2991</v>
      </c>
      <c r="E211" s="11" t="str">
        <f>HYPERLINK("https://youtu.be/ynHaQ1gDL1w?t=4774","channel 3")</f>
        <v>channel 3</v>
      </c>
    </row>
    <row r="212">
      <c r="B212" s="61" t="s">
        <v>3275</v>
      </c>
      <c r="C212" s="45" t="s">
        <v>16</v>
      </c>
      <c r="D212" s="62" t="s">
        <v>3274</v>
      </c>
      <c r="E212" s="11" t="str">
        <f>HYPERLINK("https://youtu.be/NEurjpTq-9M?t=4781","channel 4")</f>
        <v>channel 4</v>
      </c>
    </row>
    <row r="213">
      <c r="B213" s="62" t="s">
        <v>2991</v>
      </c>
      <c r="C213" s="45" t="s">
        <v>210</v>
      </c>
      <c r="D213" s="62" t="s">
        <v>2585</v>
      </c>
      <c r="E213" s="11" t="str">
        <f>HYPERLINK("https://youtu.be/ynHaQ1gDL1w?t=5704","channel 3")</f>
        <v>channel 3</v>
      </c>
    </row>
    <row r="214">
      <c r="B214" s="62" t="s">
        <v>3273</v>
      </c>
      <c r="C214" s="45" t="s">
        <v>477</v>
      </c>
      <c r="D214" s="62" t="s">
        <v>3274</v>
      </c>
      <c r="E214" s="11" t="str">
        <f>HYPERLINK("https://youtu.be/NEurjpTq-9M?t=5697","channel 4")</f>
        <v>channel 4</v>
      </c>
    </row>
    <row r="215">
      <c r="B215" s="61" t="s">
        <v>3275</v>
      </c>
      <c r="C215" s="45" t="s">
        <v>251</v>
      </c>
      <c r="D215" s="62" t="s">
        <v>2585</v>
      </c>
      <c r="E215" s="11" t="str">
        <f>HYPERLINK("https://youtu.be/ynHaQ1gDL1w?t=6617","channel 3")</f>
        <v>channel 3</v>
      </c>
    </row>
    <row r="216">
      <c r="B216" s="62" t="s">
        <v>2991</v>
      </c>
      <c r="C216" s="45" t="s">
        <v>3276</v>
      </c>
      <c r="D216" s="62" t="s">
        <v>3274</v>
      </c>
      <c r="E216" s="11" t="str">
        <f>HYPERLINK("https://youtu.be/NEurjpTq-9M?t=6579","channel 4")</f>
        <v>channel 4</v>
      </c>
    </row>
    <row r="217">
      <c r="B217" s="62" t="s">
        <v>3273</v>
      </c>
      <c r="C217" s="45" t="s">
        <v>442</v>
      </c>
      <c r="D217" s="62" t="s">
        <v>2585</v>
      </c>
      <c r="E217" s="11" t="str">
        <f>HYPERLINK("https://youtu.be/ynHaQ1gDL1w?t=7542","channel 3")</f>
        <v>channel 3</v>
      </c>
    </row>
    <row r="218">
      <c r="B218" s="62" t="s">
        <v>2991</v>
      </c>
      <c r="C218" s="45" t="s">
        <v>7</v>
      </c>
      <c r="D218" s="61" t="s">
        <v>3275</v>
      </c>
      <c r="E218" s="11" t="str">
        <f>HYPERLINK("https://youtu.be/NEurjpTq-9M?t=7472","channel 4")</f>
        <v>channel 4</v>
      </c>
    </row>
    <row r="219">
      <c r="B219" s="62" t="s">
        <v>3274</v>
      </c>
      <c r="C219" s="45" t="s">
        <v>279</v>
      </c>
      <c r="D219" s="62" t="s">
        <v>2585</v>
      </c>
      <c r="E219" s="11" t="str">
        <f>HYPERLINK("https://youtu.be/ynHaQ1gDL1w?t=8449","channel 3")</f>
        <v>channel 3</v>
      </c>
    </row>
    <row r="220">
      <c r="B220" s="62" t="s">
        <v>3273</v>
      </c>
      <c r="C220" s="45" t="s">
        <v>14</v>
      </c>
      <c r="D220" s="61" t="s">
        <v>3275</v>
      </c>
      <c r="E220" s="11" t="str">
        <f>HYPERLINK("https://youtu.be/NEurjpTq-9M?t=8379","channel 4")</f>
        <v>channel 4</v>
      </c>
    </row>
    <row r="221">
      <c r="B221" s="96" t="s">
        <v>3060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3277</v>
      </c>
      <c r="C223" s="45" t="s">
        <v>20</v>
      </c>
      <c r="D223" s="62" t="s">
        <v>1594</v>
      </c>
      <c r="E223" s="11" t="str">
        <f>HYPERLINK("https://youtu.be/BzKbR2i5jJw?t=1460","channel 1")</f>
        <v>channel 1</v>
      </c>
    </row>
    <row r="224">
      <c r="B224" s="62" t="s">
        <v>2447</v>
      </c>
      <c r="C224" s="45" t="s">
        <v>324</v>
      </c>
      <c r="D224" s="61" t="s">
        <v>3278</v>
      </c>
      <c r="E224" s="11" t="str">
        <f>HYPERLINK("https://youtu.be/xF6wEmblE28","channel 2")</f>
        <v>channel 2</v>
      </c>
    </row>
    <row r="225">
      <c r="B225" s="62" t="s">
        <v>3279</v>
      </c>
      <c r="C225" s="45" t="s">
        <v>155</v>
      </c>
      <c r="D225" s="62" t="s">
        <v>3277</v>
      </c>
      <c r="E225" s="11" t="str">
        <f>HYPERLINK("https://youtu.be/BzKbR2i5jJw?t=2288","channel 1")</f>
        <v>channel 1</v>
      </c>
    </row>
    <row r="226">
      <c r="B226" s="62" t="s">
        <v>2447</v>
      </c>
      <c r="C226" s="45" t="s">
        <v>366</v>
      </c>
      <c r="D226" s="62" t="s">
        <v>1594</v>
      </c>
      <c r="E226" s="11" t="str">
        <f>HYPERLINK("https://youtu.be/xF6wEmblE28?t=1029","channel 2")</f>
        <v>channel 2</v>
      </c>
    </row>
    <row r="227">
      <c r="B227" s="62" t="s">
        <v>3279</v>
      </c>
      <c r="C227" s="45" t="s">
        <v>19</v>
      </c>
      <c r="D227" s="61" t="s">
        <v>3278</v>
      </c>
      <c r="E227" s="11" t="str">
        <f>HYPERLINK("https://youtu.be/BzKbR2i5jJw?t=3134","channel 1")</f>
        <v>channel 1</v>
      </c>
    </row>
    <row r="228">
      <c r="B228" s="62" t="s">
        <v>2447</v>
      </c>
      <c r="C228" s="45" t="s">
        <v>218</v>
      </c>
      <c r="D228" s="62" t="s">
        <v>3277</v>
      </c>
      <c r="E228" s="11" t="str">
        <f>HYPERLINK("https://youtu.be/xF6wEmblE28?t=1868","channel 2")</f>
        <v>channel 2</v>
      </c>
    </row>
    <row r="229">
      <c r="B229" s="62" t="s">
        <v>3279</v>
      </c>
      <c r="C229" s="45" t="s">
        <v>176</v>
      </c>
      <c r="D229" s="62" t="s">
        <v>1594</v>
      </c>
      <c r="E229" s="11" t="str">
        <f>HYPERLINK("https://youtu.be/BzKbR2i5jJw?t=3954","channel 1")</f>
        <v>channel 1</v>
      </c>
    </row>
    <row r="230">
      <c r="B230" s="61" t="s">
        <v>3278</v>
      </c>
      <c r="C230" s="45" t="s">
        <v>209</v>
      </c>
      <c r="D230" s="62" t="s">
        <v>3277</v>
      </c>
      <c r="E230" s="11" t="str">
        <f>HYPERLINK("https://youtu.be/xF6wEmblE28?t=2699","channel 2")</f>
        <v>channel 2</v>
      </c>
    </row>
    <row r="231">
      <c r="B231" s="62" t="s">
        <v>3279</v>
      </c>
      <c r="C231" s="45" t="s">
        <v>185</v>
      </c>
      <c r="D231" s="62" t="s">
        <v>2447</v>
      </c>
      <c r="E231" s="11" t="str">
        <f>HYPERLINK("https://youtu.be/BzKbR2i5jJw?t=4795","channel 1")</f>
        <v>channel 1</v>
      </c>
    </row>
    <row r="232">
      <c r="B232" s="61" t="s">
        <v>3278</v>
      </c>
      <c r="C232" s="45" t="s">
        <v>380</v>
      </c>
      <c r="D232" s="62" t="s">
        <v>1594</v>
      </c>
      <c r="E232" s="11" t="str">
        <f>HYPERLINK("https://youtu.be/xF6wEmblE28?t=3507","channel 2")</f>
        <v>channel 2</v>
      </c>
    </row>
    <row r="233">
      <c r="B233" s="62" t="s">
        <v>1594</v>
      </c>
      <c r="C233" s="45" t="s">
        <v>22</v>
      </c>
      <c r="D233" s="62" t="s">
        <v>3277</v>
      </c>
      <c r="E233" s="11" t="str">
        <f>HYPERLINK("https://youtu.be/BzKbR2i5jJw?t=5658","channel 1")</f>
        <v>channel 1</v>
      </c>
    </row>
    <row r="234">
      <c r="B234" s="61" t="s">
        <v>3278</v>
      </c>
      <c r="C234" s="45" t="s">
        <v>162</v>
      </c>
      <c r="D234" s="62" t="s">
        <v>2447</v>
      </c>
      <c r="E234" s="11" t="str">
        <f>HYPERLINK("https://youtu.be/xF6wEmblE28?t=4324","channel 2")</f>
        <v>channel 2</v>
      </c>
    </row>
    <row r="235">
      <c r="B235" s="62" t="s">
        <v>3277</v>
      </c>
      <c r="C235" s="45" t="s">
        <v>439</v>
      </c>
      <c r="D235" s="62" t="s">
        <v>3279</v>
      </c>
      <c r="E235" s="11" t="str">
        <f>HYPERLINK("https://youtu.be/BzKbR2i5jJw?t=6490","channel 1")</f>
        <v>channel 1</v>
      </c>
    </row>
    <row r="236">
      <c r="B236" s="62" t="s">
        <v>1594</v>
      </c>
      <c r="C236" s="45" t="s">
        <v>302</v>
      </c>
      <c r="D236" s="62" t="s">
        <v>2447</v>
      </c>
      <c r="E236" s="11" t="str">
        <f>HYPERLINK("https://youtu.be/xF6wEmblE28?t=5134","channel 2")</f>
        <v>channel 2</v>
      </c>
    </row>
    <row r="237">
      <c r="B237" s="61" t="s">
        <v>3278</v>
      </c>
      <c r="C237" s="45" t="s">
        <v>327</v>
      </c>
      <c r="D237" s="62" t="s">
        <v>3279</v>
      </c>
      <c r="E237" s="11" t="str">
        <f>HYPERLINK("https://youtu.be/BzKbR2i5jJw?t=7281","channel 1")</f>
        <v>channel 1</v>
      </c>
    </row>
    <row r="238">
      <c r="B238" s="62" t="s">
        <v>3277</v>
      </c>
      <c r="C238" s="45" t="s">
        <v>37</v>
      </c>
      <c r="D238" s="62" t="s">
        <v>2447</v>
      </c>
      <c r="E238" s="11" t="str">
        <f>HYPERLINK("https://youtu.be/xF6wEmblE28?t=5957","channel 2")</f>
        <v>channel 2</v>
      </c>
    </row>
    <row r="239">
      <c r="B239" s="62" t="s">
        <v>1594</v>
      </c>
      <c r="C239" s="45" t="s">
        <v>19</v>
      </c>
      <c r="D239" s="62" t="s">
        <v>3279</v>
      </c>
      <c r="E239" s="11" t="str">
        <f>HYPERLINK("https://youtu.be/BzKbR2i5jJw?t=8176","channel 1")</f>
        <v>channel 1</v>
      </c>
    </row>
    <row r="240">
      <c r="B240" s="62" t="s">
        <v>3277</v>
      </c>
      <c r="C240" s="45" t="s">
        <v>17</v>
      </c>
      <c r="D240" s="61" t="s">
        <v>3278</v>
      </c>
      <c r="E240" s="11" t="str">
        <f>HYPERLINK("https://youtu.be/xF6wEmblE28?t=6864","channel 2")</f>
        <v>channel 2</v>
      </c>
    </row>
    <row r="241">
      <c r="B241" s="62" t="s">
        <v>2447</v>
      </c>
      <c r="C241" s="45" t="s">
        <v>575</v>
      </c>
      <c r="D241" s="62" t="s">
        <v>3279</v>
      </c>
      <c r="E241" s="11" t="str">
        <f>HYPERLINK("https://youtu.be/BzKbR2i5jJw?t=8173","channel 1")</f>
        <v>channel 1</v>
      </c>
    </row>
    <row r="242">
      <c r="B242" s="62" t="s">
        <v>1594</v>
      </c>
      <c r="C242" s="45" t="s">
        <v>507</v>
      </c>
      <c r="D242" s="61" t="s">
        <v>3278</v>
      </c>
      <c r="E242" s="11" t="str">
        <f>HYPERLINK("https://youtu.be/xF6wEmblE28?t=7654","channel 2")</f>
        <v>channel 2</v>
      </c>
    </row>
    <row r="243">
      <c r="B243" s="96" t="s">
        <v>2304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3280</v>
      </c>
      <c r="C245" s="45" t="s">
        <v>161</v>
      </c>
      <c r="D245" s="62" t="s">
        <v>2679</v>
      </c>
      <c r="E245" s="11" t="str">
        <f>HYPERLINK("https://youtu.be/FwJT3aYtoug","channel 1")</f>
        <v>channel 1</v>
      </c>
    </row>
    <row r="246">
      <c r="B246" s="62" t="s">
        <v>2593</v>
      </c>
      <c r="C246" s="45" t="s">
        <v>357</v>
      </c>
      <c r="D246" s="61" t="s">
        <v>2305</v>
      </c>
      <c r="E246" s="11" t="str">
        <f>HYPERLINK("https://youtu.be/IigdHxPpNXg","channel 2")</f>
        <v>channel 2</v>
      </c>
    </row>
    <row r="247">
      <c r="B247" s="62" t="s">
        <v>1460</v>
      </c>
      <c r="C247" s="45" t="s">
        <v>1948</v>
      </c>
      <c r="D247" s="62" t="s">
        <v>3280</v>
      </c>
      <c r="E247" s="11" t="str">
        <f>HYPERLINK("https://youtu.be/FwJT3aYtoug?t=996","channel 1")</f>
        <v>channel 1</v>
      </c>
    </row>
    <row r="248">
      <c r="B248" s="62" t="s">
        <v>2593</v>
      </c>
      <c r="C248" s="45" t="s">
        <v>293</v>
      </c>
      <c r="D248" s="62" t="s">
        <v>2679</v>
      </c>
      <c r="E248" s="11" t="str">
        <f>HYPERLINK("https://youtu.be/IigdHxPpNXg?t=1101","channel 2")</f>
        <v>channel 2</v>
      </c>
    </row>
    <row r="249">
      <c r="B249" s="62" t="s">
        <v>1460</v>
      </c>
      <c r="C249" s="45" t="s">
        <v>566</v>
      </c>
      <c r="D249" s="61" t="s">
        <v>2305</v>
      </c>
      <c r="E249" s="11" t="str">
        <f>HYPERLINK("https://youtu.be/FwJT3aYtoug?t=1960","channel 1")</f>
        <v>channel 1</v>
      </c>
    </row>
    <row r="250">
      <c r="B250" s="62" t="s">
        <v>2593</v>
      </c>
      <c r="C250" s="45" t="s">
        <v>1661</v>
      </c>
      <c r="D250" s="62" t="s">
        <v>3280</v>
      </c>
      <c r="E250" s="11" t="str">
        <f>HYPERLINK("https://youtu.be/IigdHxPpNXg?t=2057","channel 2")</f>
        <v>channel 2</v>
      </c>
    </row>
    <row r="251">
      <c r="B251" s="62" t="s">
        <v>1460</v>
      </c>
      <c r="C251" s="45" t="s">
        <v>173</v>
      </c>
      <c r="D251" s="62" t="s">
        <v>2679</v>
      </c>
      <c r="E251" s="11" t="str">
        <f>HYPERLINK("https://youtu.be/FwJT3aYtoug?t=2931","channel 1")</f>
        <v>channel 1</v>
      </c>
    </row>
    <row r="252">
      <c r="B252" s="61" t="s">
        <v>2305</v>
      </c>
      <c r="C252" s="45" t="s">
        <v>19</v>
      </c>
      <c r="D252" s="62" t="s">
        <v>3280</v>
      </c>
      <c r="E252" s="11" t="str">
        <f>HYPERLINK("https://youtu.be/IigdHxPpNXg?t=3021","channel 2")</f>
        <v>channel 2</v>
      </c>
    </row>
    <row r="253">
      <c r="B253" s="62" t="s">
        <v>1460</v>
      </c>
      <c r="C253" s="45" t="s">
        <v>383</v>
      </c>
      <c r="D253" s="62" t="s">
        <v>2593</v>
      </c>
      <c r="E253" s="11" t="str">
        <f>HYPERLINK("https://youtu.be/FwJT3aYtoug?t=3863","channel 1")</f>
        <v>channel 1</v>
      </c>
    </row>
    <row r="254">
      <c r="B254" s="61" t="s">
        <v>2305</v>
      </c>
      <c r="C254" s="45" t="s">
        <v>327</v>
      </c>
      <c r="D254" s="62" t="s">
        <v>2679</v>
      </c>
      <c r="E254" s="11" t="str">
        <f>HYPERLINK("https://youtu.be/IigdHxPpNXg?t=4007","channel 2")</f>
        <v>channel 2</v>
      </c>
    </row>
    <row r="255">
      <c r="B255" s="62" t="s">
        <v>2679</v>
      </c>
      <c r="C255" s="45" t="s">
        <v>220</v>
      </c>
      <c r="D255" s="62" t="s">
        <v>3280</v>
      </c>
      <c r="E255" s="11" t="str">
        <f>HYPERLINK("https://youtu.be/FwJT3aYtoug?t=4824","channel 1")</f>
        <v>channel 1</v>
      </c>
    </row>
    <row r="256">
      <c r="B256" s="61" t="s">
        <v>2305</v>
      </c>
      <c r="C256" s="45" t="s">
        <v>2384</v>
      </c>
      <c r="D256" s="62" t="s">
        <v>2593</v>
      </c>
      <c r="E256" s="11" t="str">
        <f>HYPERLINK("https://youtu.be/IigdHxPpNXg?t=4963","channel 2")</f>
        <v>channel 2</v>
      </c>
    </row>
    <row r="257">
      <c r="B257" s="62" t="s">
        <v>3280</v>
      </c>
      <c r="C257" s="45" t="s">
        <v>417</v>
      </c>
      <c r="D257" s="62" t="s">
        <v>1460</v>
      </c>
      <c r="E257" s="11" t="str">
        <f>HYPERLINK("https://youtu.be/FwJT3aYtoug?t=5762","channel 1")</f>
        <v>channel 1</v>
      </c>
    </row>
    <row r="258">
      <c r="B258" s="62" t="s">
        <v>2679</v>
      </c>
      <c r="C258" s="45" t="s">
        <v>315</v>
      </c>
      <c r="D258" s="62" t="s">
        <v>2593</v>
      </c>
      <c r="E258" s="11" t="str">
        <f>HYPERLINK("https://youtu.be/IigdHxPpNXg?t=5891","channel 2")</f>
        <v>channel 2</v>
      </c>
    </row>
    <row r="259">
      <c r="B259" s="61" t="s">
        <v>2305</v>
      </c>
      <c r="C259" s="45" t="s">
        <v>157</v>
      </c>
      <c r="D259" s="62" t="s">
        <v>1460</v>
      </c>
      <c r="E259" s="11" t="str">
        <f>HYPERLINK("https://youtu.be/FwJT3aYtoug?t=6712","channel 1")</f>
        <v>channel 1</v>
      </c>
    </row>
    <row r="260">
      <c r="B260" s="62" t="s">
        <v>3280</v>
      </c>
      <c r="C260" s="45" t="s">
        <v>155</v>
      </c>
      <c r="D260" s="62" t="s">
        <v>2593</v>
      </c>
      <c r="E260" s="11" t="str">
        <f>HYPERLINK("https://youtu.be/IigdHxPpNXg?t=6846","channel 2")</f>
        <v>channel 2</v>
      </c>
    </row>
    <row r="261">
      <c r="B261" s="62" t="s">
        <v>2679</v>
      </c>
      <c r="C261" s="45" t="s">
        <v>301</v>
      </c>
      <c r="D261" s="62" t="s">
        <v>1460</v>
      </c>
      <c r="E261" s="11" t="str">
        <f>HYPERLINK("https://youtu.be/FwJT3aYtoug?t=7628","channel 1")</f>
        <v>channel 1</v>
      </c>
    </row>
    <row r="262">
      <c r="B262" s="62" t="s">
        <v>3280</v>
      </c>
      <c r="C262" s="45" t="s">
        <v>233</v>
      </c>
      <c r="D262" s="61" t="s">
        <v>2305</v>
      </c>
      <c r="E262" s="11" t="str">
        <f>HYPERLINK("https://youtu.be/IigdHxPpNXg?t=7794","channel 2")</f>
        <v>channel 2</v>
      </c>
    </row>
    <row r="263">
      <c r="B263" s="62" t="s">
        <v>2593</v>
      </c>
      <c r="C263" s="45" t="s">
        <v>185</v>
      </c>
      <c r="D263" s="62" t="s">
        <v>1460</v>
      </c>
      <c r="E263" s="11" t="str">
        <f>HYPERLINK("https://youtu.be/FwJT3aYtoug?t=8562","channel 1")</f>
        <v>channel 1</v>
      </c>
    </row>
    <row r="264">
      <c r="B264" s="62" t="s">
        <v>2679</v>
      </c>
      <c r="C264" s="45" t="s">
        <v>158</v>
      </c>
      <c r="D264" s="61" t="s">
        <v>2305</v>
      </c>
      <c r="E264" s="11" t="str">
        <f>HYPERLINK("https://youtu.be/IigdHxPpNXg?t=8733","channel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2316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3224</v>
      </c>
      <c r="C3" s="45" t="s">
        <v>225</v>
      </c>
      <c r="D3" s="62" t="s">
        <v>3281</v>
      </c>
      <c r="E3" s="120" t="str">
        <f>HYPERLINK("https://youtu.be/3BUDRmMLUYQ","channel 1")</f>
        <v>channel 1</v>
      </c>
    </row>
    <row r="4">
      <c r="A4" s="90"/>
      <c r="B4" s="62" t="s">
        <v>3282</v>
      </c>
      <c r="C4" s="45" t="s">
        <v>165</v>
      </c>
      <c r="D4" s="61" t="s">
        <v>2192</v>
      </c>
      <c r="E4" s="120" t="str">
        <f>HYPERLINK("https://youtu.be/lrKMfDmAUqI","channel 2")</f>
        <v>channel 2</v>
      </c>
    </row>
    <row r="5">
      <c r="A5" s="90"/>
      <c r="B5" s="62" t="s">
        <v>3283</v>
      </c>
      <c r="C5" s="45" t="s">
        <v>164</v>
      </c>
      <c r="D5" s="62" t="s">
        <v>3224</v>
      </c>
      <c r="E5" s="121" t="s">
        <v>9</v>
      </c>
    </row>
    <row r="6">
      <c r="A6" s="90"/>
      <c r="B6" s="62" t="s">
        <v>3282</v>
      </c>
      <c r="C6" s="45" t="s">
        <v>17</v>
      </c>
      <c r="D6" s="62" t="s">
        <v>3281</v>
      </c>
      <c r="E6" s="120" t="str">
        <f>HYPERLINK("https://youtu.be/lrKMfDmAUqI?t=1174","channel 2")</f>
        <v>channel 2</v>
      </c>
    </row>
    <row r="7">
      <c r="A7" s="90"/>
      <c r="B7" s="62" t="s">
        <v>3283</v>
      </c>
      <c r="C7" s="45" t="s">
        <v>697</v>
      </c>
      <c r="D7" s="61" t="s">
        <v>2192</v>
      </c>
      <c r="E7" s="121" t="s">
        <v>9</v>
      </c>
    </row>
    <row r="8">
      <c r="A8" s="90"/>
      <c r="B8" s="62" t="s">
        <v>3282</v>
      </c>
      <c r="C8" s="45" t="s">
        <v>177</v>
      </c>
      <c r="D8" s="62" t="s">
        <v>3224</v>
      </c>
      <c r="E8" s="120" t="str">
        <f>HYPERLINK("https://youtu.be/lrKMfDmAUqI?t=2127","channel 2")</f>
        <v>channel 2</v>
      </c>
    </row>
    <row r="9">
      <c r="A9" s="90"/>
      <c r="B9" s="62" t="s">
        <v>3283</v>
      </c>
      <c r="C9" s="45" t="s">
        <v>194</v>
      </c>
      <c r="D9" s="62" t="s">
        <v>3281</v>
      </c>
      <c r="E9" s="121" t="s">
        <v>9</v>
      </c>
    </row>
    <row r="10">
      <c r="A10" s="90"/>
      <c r="B10" s="61" t="s">
        <v>2192</v>
      </c>
      <c r="C10" s="45" t="s">
        <v>39</v>
      </c>
      <c r="D10" s="62" t="s">
        <v>3224</v>
      </c>
      <c r="E10" s="120" t="str">
        <f>HYPERLINK("https://youtu.be/lrKMfDmAUqI?t=3055","channel 2")</f>
        <v>channel 2</v>
      </c>
    </row>
    <row r="11">
      <c r="A11" s="90"/>
      <c r="B11" s="62" t="s">
        <v>3283</v>
      </c>
      <c r="C11" s="45" t="s">
        <v>193</v>
      </c>
      <c r="D11" s="62" t="s">
        <v>3282</v>
      </c>
      <c r="E11" s="121" t="s">
        <v>9</v>
      </c>
    </row>
    <row r="12">
      <c r="A12" s="90"/>
      <c r="B12" s="61" t="s">
        <v>2192</v>
      </c>
      <c r="C12" s="45" t="s">
        <v>256</v>
      </c>
      <c r="D12" s="62" t="s">
        <v>3281</v>
      </c>
      <c r="E12" s="120" t="str">
        <f>HYPERLINK("https://youtu.be/lrKMfDmAUqI?t=4031","channel 2")</f>
        <v>channel 2</v>
      </c>
    </row>
    <row r="13">
      <c r="A13" s="90"/>
      <c r="B13" s="62" t="s">
        <v>3281</v>
      </c>
      <c r="C13" s="45" t="s">
        <v>14</v>
      </c>
      <c r="D13" s="62" t="s">
        <v>3224</v>
      </c>
      <c r="E13" s="121" t="s">
        <v>9</v>
      </c>
    </row>
    <row r="14">
      <c r="A14" s="90"/>
      <c r="B14" s="61" t="s">
        <v>2192</v>
      </c>
      <c r="C14" s="45" t="s">
        <v>302</v>
      </c>
      <c r="D14" s="62" t="s">
        <v>3282</v>
      </c>
      <c r="E14" s="120" t="str">
        <f>HYPERLINK("https://youtu.be/lrKMfDmAUqI?t=4942","channel 2")</f>
        <v>channel 2</v>
      </c>
    </row>
    <row r="15">
      <c r="A15" s="90"/>
      <c r="B15" s="62" t="s">
        <v>3224</v>
      </c>
      <c r="C15" s="45" t="s">
        <v>17</v>
      </c>
      <c r="D15" s="62" t="s">
        <v>3283</v>
      </c>
      <c r="E15" s="121" t="s">
        <v>9</v>
      </c>
    </row>
    <row r="16">
      <c r="A16" s="90"/>
      <c r="B16" s="62" t="s">
        <v>3281</v>
      </c>
      <c r="C16" s="45" t="s">
        <v>301</v>
      </c>
      <c r="D16" s="62" t="s">
        <v>3282</v>
      </c>
      <c r="E16" s="120" t="str">
        <f>HYPERLINK("https://youtu.be/lrKMfDmAUqI?t=5856","channel 2")</f>
        <v>channel 2</v>
      </c>
    </row>
    <row r="17">
      <c r="A17" s="90"/>
      <c r="B17" s="61" t="s">
        <v>2192</v>
      </c>
      <c r="C17" s="45" t="s">
        <v>1814</v>
      </c>
      <c r="D17" s="62" t="s">
        <v>3283</v>
      </c>
      <c r="E17" s="121" t="s">
        <v>9</v>
      </c>
    </row>
    <row r="18">
      <c r="A18" s="90"/>
      <c r="B18" s="62" t="s">
        <v>3224</v>
      </c>
      <c r="C18" s="45" t="s">
        <v>34</v>
      </c>
      <c r="D18" s="62" t="s">
        <v>3282</v>
      </c>
      <c r="E18" s="120" t="str">
        <f>HYPERLINK("https://youtu.be/lrKMfDmAUqI?t=6789","channel 2")</f>
        <v>channel 2</v>
      </c>
    </row>
    <row r="19">
      <c r="A19" s="90"/>
      <c r="B19" s="62" t="s">
        <v>3281</v>
      </c>
      <c r="C19" s="45" t="s">
        <v>258</v>
      </c>
      <c r="D19" s="62" t="s">
        <v>3283</v>
      </c>
      <c r="E19" s="121" t="s">
        <v>9</v>
      </c>
    </row>
    <row r="20">
      <c r="A20" s="90"/>
      <c r="B20" s="62" t="s">
        <v>3224</v>
      </c>
      <c r="C20" s="45" t="s">
        <v>323</v>
      </c>
      <c r="D20" s="61" t="s">
        <v>2192</v>
      </c>
      <c r="E20" s="120" t="str">
        <f>HYPERLINK("https://youtu.be/lrKMfDmAUqI?t=7733","channel 2")</f>
        <v>channel 2</v>
      </c>
    </row>
    <row r="21">
      <c r="A21" s="90"/>
      <c r="B21" s="62" t="s">
        <v>3282</v>
      </c>
      <c r="C21" s="45" t="s">
        <v>39</v>
      </c>
      <c r="D21" s="62" t="s">
        <v>3283</v>
      </c>
      <c r="E21" s="121" t="s">
        <v>9</v>
      </c>
    </row>
    <row r="22">
      <c r="A22" s="90"/>
      <c r="B22" s="62" t="s">
        <v>3281</v>
      </c>
      <c r="C22" s="45" t="s">
        <v>185</v>
      </c>
      <c r="D22" s="61" t="s">
        <v>2192</v>
      </c>
      <c r="E22" s="120" t="str">
        <f>HYPERLINK("https://youtu.be/lrKMfDmAUqI?t=8648","channel 2")</f>
        <v>channel 2</v>
      </c>
    </row>
    <row r="23">
      <c r="A23" s="90"/>
      <c r="B23" s="96" t="s">
        <v>1461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3284</v>
      </c>
      <c r="C25" s="45" t="s">
        <v>210</v>
      </c>
      <c r="D25" s="62" t="s">
        <v>1414</v>
      </c>
      <c r="E25" s="11" t="str">
        <f>HYPERLINK("https://youtu.be/7lm_EG555ns","channel 1")</f>
        <v>channel 1</v>
      </c>
    </row>
    <row r="26">
      <c r="A26" s="90"/>
      <c r="B26" s="62" t="s">
        <v>3285</v>
      </c>
      <c r="C26" s="45" t="s">
        <v>7</v>
      </c>
      <c r="D26" s="61" t="s">
        <v>1960</v>
      </c>
      <c r="E26" s="11" t="str">
        <f>HYPERLINK("https://youtu.be/rq_UJjJggbU","channel 2")</f>
        <v>channel 2</v>
      </c>
    </row>
    <row r="27">
      <c r="A27" s="90"/>
      <c r="B27" s="62" t="s">
        <v>846</v>
      </c>
      <c r="C27" s="45" t="s">
        <v>24</v>
      </c>
      <c r="D27" s="62" t="s">
        <v>3284</v>
      </c>
      <c r="E27" s="11" t="str">
        <f>HYPERLINK("https://youtu.be/7lm_EG555ns?t=974","channel 1")</f>
        <v>channel 1</v>
      </c>
    </row>
    <row r="28">
      <c r="A28" s="90"/>
      <c r="B28" s="62" t="s">
        <v>3285</v>
      </c>
      <c r="C28" s="45" t="s">
        <v>18</v>
      </c>
      <c r="D28" s="62" t="s">
        <v>1414</v>
      </c>
      <c r="E28" s="11" t="str">
        <f>HYPERLINK("https://youtu.be/rq_UJjJggbU?t=1057","channel 2")</f>
        <v>channel 2</v>
      </c>
    </row>
    <row r="29">
      <c r="A29" s="90"/>
      <c r="B29" s="62" t="s">
        <v>846</v>
      </c>
      <c r="C29" s="45" t="s">
        <v>425</v>
      </c>
      <c r="D29" s="61" t="s">
        <v>1960</v>
      </c>
      <c r="E29" s="11" t="str">
        <f>HYPERLINK("https://youtu.be/7lm_EG555ns?t=1900","channel 1")</f>
        <v>channel 1</v>
      </c>
    </row>
    <row r="30">
      <c r="A30" s="90"/>
      <c r="B30" s="62" t="s">
        <v>3285</v>
      </c>
      <c r="C30" s="45" t="s">
        <v>574</v>
      </c>
      <c r="D30" s="62" t="s">
        <v>3284</v>
      </c>
      <c r="E30" s="11" t="str">
        <f>HYPERLINK("https://youtu.be/rq_UJjJggbU?t=1960","channel 2")</f>
        <v>channel 2</v>
      </c>
    </row>
    <row r="31">
      <c r="A31" s="90"/>
      <c r="B31" s="62" t="s">
        <v>846</v>
      </c>
      <c r="C31" s="45" t="s">
        <v>38</v>
      </c>
      <c r="D31" s="62" t="s">
        <v>1414</v>
      </c>
      <c r="E31" s="11" t="str">
        <f>HYPERLINK("https://youtu.be/7lm_EG555ns?t=2769","channel 1")</f>
        <v>channel 1</v>
      </c>
    </row>
    <row r="32">
      <c r="A32" s="90"/>
      <c r="B32" s="61" t="s">
        <v>1960</v>
      </c>
      <c r="C32" s="45" t="s">
        <v>196</v>
      </c>
      <c r="D32" s="62" t="s">
        <v>3284</v>
      </c>
      <c r="E32" s="11" t="str">
        <f>HYPERLINK("https://youtu.be/rq_UJjJggbU?t=2883","channel 2")</f>
        <v>channel 2</v>
      </c>
    </row>
    <row r="33">
      <c r="A33" s="90"/>
      <c r="B33" s="62" t="s">
        <v>846</v>
      </c>
      <c r="C33" s="45" t="s">
        <v>184</v>
      </c>
      <c r="D33" s="62" t="s">
        <v>3285</v>
      </c>
      <c r="E33" s="11" t="str">
        <f>HYPERLINK("https://youtu.be/7lm_EG555ns?t=3694","channel 1")</f>
        <v>channel 1</v>
      </c>
    </row>
    <row r="34">
      <c r="A34" s="90"/>
      <c r="B34" s="61" t="s">
        <v>1960</v>
      </c>
      <c r="C34" s="45" t="s">
        <v>209</v>
      </c>
      <c r="D34" s="62" t="s">
        <v>1414</v>
      </c>
      <c r="E34" s="11" t="str">
        <f>HYPERLINK("https://youtu.be/rq_UJjJggbU?t=3849","channel 2")</f>
        <v>channel 2</v>
      </c>
    </row>
    <row r="35">
      <c r="A35" s="90"/>
      <c r="B35" s="62" t="s">
        <v>1414</v>
      </c>
      <c r="C35" s="45" t="s">
        <v>16</v>
      </c>
      <c r="D35" s="62" t="s">
        <v>3284</v>
      </c>
      <c r="E35" s="11" t="str">
        <f>HYPERLINK("https://youtu.be/7lm_EG555ns?t=4629","channel 1")</f>
        <v>channel 1</v>
      </c>
    </row>
    <row r="36">
      <c r="A36" s="90"/>
      <c r="B36" s="61" t="s">
        <v>1960</v>
      </c>
      <c r="C36" s="45" t="s">
        <v>183</v>
      </c>
      <c r="D36" s="62" t="s">
        <v>3285</v>
      </c>
      <c r="E36" s="11" t="str">
        <f>HYPERLINK("https://youtu.be/rq_UJjJggbU?t=4766","channel 2")</f>
        <v>channel 2</v>
      </c>
    </row>
    <row r="37">
      <c r="A37" s="90"/>
      <c r="B37" s="62" t="s">
        <v>3284</v>
      </c>
      <c r="C37" s="45" t="s">
        <v>302</v>
      </c>
      <c r="D37" s="62" t="s">
        <v>846</v>
      </c>
      <c r="E37" s="11" t="str">
        <f>HYPERLINK("https://youtu.be/7lm_EG555ns?t=5594","channel 1")</f>
        <v>channel 1</v>
      </c>
    </row>
    <row r="38">
      <c r="A38" s="90"/>
      <c r="B38" s="62" t="s">
        <v>1414</v>
      </c>
      <c r="C38" s="45" t="s">
        <v>271</v>
      </c>
      <c r="D38" s="62" t="s">
        <v>3285</v>
      </c>
      <c r="E38" s="11" t="str">
        <f>HYPERLINK("https://youtu.be/rq_UJjJggbU?t=5723","channel 2")</f>
        <v>channel 2</v>
      </c>
    </row>
    <row r="39">
      <c r="A39" s="90"/>
      <c r="B39" s="61" t="s">
        <v>1960</v>
      </c>
      <c r="C39" s="45" t="s">
        <v>2222</v>
      </c>
      <c r="D39" s="62" t="s">
        <v>846</v>
      </c>
      <c r="E39" s="11" t="str">
        <f>HYPERLINK("https://youtu.be/7lm_EG555ns?t=6508","channel 1")</f>
        <v>channel 1</v>
      </c>
    </row>
    <row r="40">
      <c r="A40" s="90"/>
      <c r="B40" s="62" t="s">
        <v>3284</v>
      </c>
      <c r="C40" s="45" t="s">
        <v>219</v>
      </c>
      <c r="D40" s="62" t="s">
        <v>3285</v>
      </c>
      <c r="E40" s="11" t="str">
        <f>HYPERLINK("https://youtu.be/rq_UJjJggbU?t=6690","channel 2")</f>
        <v>channel 2</v>
      </c>
    </row>
    <row r="41">
      <c r="A41" s="90"/>
      <c r="B41" s="62" t="s">
        <v>1414</v>
      </c>
      <c r="C41" s="45" t="s">
        <v>517</v>
      </c>
      <c r="D41" s="62" t="s">
        <v>846</v>
      </c>
      <c r="E41" s="11" t="str">
        <f>HYPERLINK("https://youtu.be/7lm_EG555ns?t=7524","channel 1")</f>
        <v>channel 1</v>
      </c>
    </row>
    <row r="42">
      <c r="A42" s="90"/>
      <c r="B42" s="62" t="s">
        <v>3284</v>
      </c>
      <c r="C42" s="45" t="s">
        <v>181</v>
      </c>
      <c r="D42" s="61" t="s">
        <v>1960</v>
      </c>
      <c r="E42" s="11" t="str">
        <f>HYPERLINK("https://youtu.be/rq_UJjJggbU?t=7695","channel 2")</f>
        <v>channel 2</v>
      </c>
    </row>
    <row r="43">
      <c r="A43" s="90"/>
      <c r="B43" s="62" t="s">
        <v>3285</v>
      </c>
      <c r="C43" s="45" t="s">
        <v>41</v>
      </c>
      <c r="D43" s="62" t="s">
        <v>846</v>
      </c>
      <c r="E43" s="11" t="str">
        <f>HYPERLINK("https://youtu.be/7lm_EG555ns?t=8506","channel 1")</f>
        <v>channel 1</v>
      </c>
    </row>
    <row r="44">
      <c r="A44" s="91"/>
      <c r="B44" s="62" t="s">
        <v>1414</v>
      </c>
      <c r="C44" s="45" t="s">
        <v>41</v>
      </c>
      <c r="D44" s="61" t="s">
        <v>1960</v>
      </c>
      <c r="E44" s="11" t="str">
        <f>HYPERLINK("https://youtu.be/rq_UJjJggbU?t=8632","channel 2")</f>
        <v>channel 2</v>
      </c>
    </row>
    <row r="45">
      <c r="B45" s="96" t="s">
        <v>3131</v>
      </c>
      <c r="C45" s="2"/>
      <c r="D45" s="3"/>
      <c r="E45" s="107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62" t="s">
        <v>2418</v>
      </c>
      <c r="C47" s="45" t="s">
        <v>357</v>
      </c>
      <c r="D47" s="62" t="s">
        <v>1028</v>
      </c>
      <c r="E47" s="120" t="str">
        <f>HYPERLINK("https://youtu.be/oWxPzW-0bZs","channel 1")</f>
        <v>channel 1</v>
      </c>
    </row>
    <row r="48">
      <c r="B48" s="62" t="s">
        <v>3286</v>
      </c>
      <c r="C48" s="45" t="s">
        <v>1188</v>
      </c>
      <c r="D48" s="61" t="s">
        <v>3287</v>
      </c>
      <c r="E48" s="120" t="str">
        <f>HYPERLINK("https://youtu.be/CD8BnxXsxyI","channel 2")</f>
        <v>channel 2</v>
      </c>
    </row>
    <row r="49">
      <c r="B49" s="62" t="s">
        <v>3288</v>
      </c>
      <c r="C49" s="45" t="s">
        <v>195</v>
      </c>
      <c r="D49" s="62" t="s">
        <v>2418</v>
      </c>
      <c r="E49" s="120" t="str">
        <f>HYPERLINK("https://youtu.be/oWxPzW-0bZs?t=1019","channel 1")</f>
        <v>channel 1</v>
      </c>
    </row>
    <row r="50">
      <c r="B50" s="62" t="s">
        <v>3286</v>
      </c>
      <c r="C50" s="45" t="s">
        <v>23</v>
      </c>
      <c r="D50" s="62" t="s">
        <v>1028</v>
      </c>
      <c r="E50" s="120" t="str">
        <f>HYPERLINK("https://youtu.be/CD8BnxXsxyI?t=1091","channel 2")</f>
        <v>channel 2</v>
      </c>
    </row>
    <row r="51">
      <c r="B51" s="62" t="s">
        <v>3288</v>
      </c>
      <c r="C51" s="45" t="s">
        <v>248</v>
      </c>
      <c r="D51" s="61" t="s">
        <v>3287</v>
      </c>
      <c r="E51" s="120" t="str">
        <f>HYPERLINK("https://youtu.be/oWxPzW-0bZs?t=1894","channel 1")</f>
        <v>channel 1</v>
      </c>
    </row>
    <row r="52">
      <c r="B52" s="62" t="s">
        <v>3286</v>
      </c>
      <c r="C52" s="45" t="s">
        <v>39</v>
      </c>
      <c r="D52" s="62" t="s">
        <v>2418</v>
      </c>
      <c r="E52" s="120" t="str">
        <f>HYPERLINK("https://youtu.be/CD8BnxXsxyI?t=2043","channel 2")</f>
        <v>channel 2</v>
      </c>
    </row>
    <row r="53">
      <c r="B53" s="62" t="s">
        <v>3288</v>
      </c>
      <c r="C53" s="45" t="s">
        <v>524</v>
      </c>
      <c r="D53" s="62" t="s">
        <v>1028</v>
      </c>
      <c r="E53" s="120" t="str">
        <f>HYPERLINK("https://youtu.be/oWxPzW-0bZs?t=2849","channel 1")</f>
        <v>channel 1</v>
      </c>
    </row>
    <row r="54">
      <c r="B54" s="61" t="s">
        <v>3287</v>
      </c>
      <c r="C54" s="45" t="s">
        <v>2064</v>
      </c>
      <c r="D54" s="62" t="s">
        <v>2418</v>
      </c>
      <c r="E54" s="120" t="str">
        <f>HYPERLINK("https://youtu.be/CD8BnxXsxyI?t=3023","channel 2")</f>
        <v>channel 2</v>
      </c>
    </row>
    <row r="55">
      <c r="B55" s="62" t="s">
        <v>3288</v>
      </c>
      <c r="C55" s="45" t="s">
        <v>16</v>
      </c>
      <c r="D55" s="62" t="s">
        <v>3286</v>
      </c>
      <c r="E55" s="120" t="str">
        <f>HYPERLINK("https://youtu.be/oWxPzW-0bZs?t=3850","channel 1")</f>
        <v>channel 1</v>
      </c>
    </row>
    <row r="56">
      <c r="B56" s="61" t="s">
        <v>3287</v>
      </c>
      <c r="C56" s="45" t="s">
        <v>279</v>
      </c>
      <c r="D56" s="62" t="s">
        <v>1028</v>
      </c>
      <c r="E56" s="120" t="str">
        <f>HYPERLINK("https://youtu.be/CD8BnxXsxyI?t=3954","channel 2")</f>
        <v>channel 2</v>
      </c>
    </row>
    <row r="57">
      <c r="B57" s="62" t="s">
        <v>1028</v>
      </c>
      <c r="C57" s="45" t="s">
        <v>281</v>
      </c>
      <c r="D57" s="62" t="s">
        <v>2418</v>
      </c>
      <c r="E57" s="120" t="str">
        <f>HYPERLINK("https://youtu.be/oWxPzW-0bZs?t=4864","channel 1")</f>
        <v>channel 1</v>
      </c>
    </row>
    <row r="58">
      <c r="B58" s="61" t="s">
        <v>3287</v>
      </c>
      <c r="C58" s="45" t="s">
        <v>289</v>
      </c>
      <c r="D58" s="62" t="s">
        <v>3286</v>
      </c>
      <c r="E58" s="120" t="str">
        <f>HYPERLINK("https://youtu.be/CD8BnxXsxyI?t=4917","channel 2")</f>
        <v>channel 2</v>
      </c>
    </row>
    <row r="59">
      <c r="B59" s="62" t="s">
        <v>2418</v>
      </c>
      <c r="C59" s="45" t="s">
        <v>209</v>
      </c>
      <c r="D59" s="62" t="s">
        <v>3288</v>
      </c>
      <c r="E59" s="120" t="str">
        <f>HYPERLINK("https://youtu.be/oWxPzW-0bZs?t=5812","channel 1")</f>
        <v>channel 1</v>
      </c>
    </row>
    <row r="60">
      <c r="B60" s="62" t="s">
        <v>1028</v>
      </c>
      <c r="C60" s="45" t="s">
        <v>218</v>
      </c>
      <c r="D60" s="62" t="s">
        <v>3286</v>
      </c>
      <c r="E60" s="120" t="str">
        <f>HYPERLINK("https://youtu.be/CD8BnxXsxyI?t=5856","channel 2")</f>
        <v>channel 2</v>
      </c>
    </row>
    <row r="61">
      <c r="B61" s="61" t="s">
        <v>3287</v>
      </c>
      <c r="C61" s="45" t="s">
        <v>19</v>
      </c>
      <c r="D61" s="62" t="s">
        <v>3288</v>
      </c>
      <c r="E61" s="120" t="str">
        <f>HYPERLINK("https://youtu.be/oWxPzW-0bZs?t=6756","channel 1")</f>
        <v>channel 1</v>
      </c>
    </row>
    <row r="62">
      <c r="B62" s="62" t="s">
        <v>2418</v>
      </c>
      <c r="C62" s="45" t="s">
        <v>351</v>
      </c>
      <c r="D62" s="62" t="s">
        <v>3286</v>
      </c>
      <c r="E62" s="120" t="str">
        <f>HYPERLINK("https://youtu.be/CD8BnxXsxyI?t=6778","channel 2")</f>
        <v>channel 2</v>
      </c>
    </row>
    <row r="63">
      <c r="B63" s="62" t="s">
        <v>1028</v>
      </c>
      <c r="C63" s="45" t="s">
        <v>324</v>
      </c>
      <c r="D63" s="62" t="s">
        <v>3288</v>
      </c>
      <c r="E63" s="120" t="str">
        <f>HYPERLINK("https://youtu.be/oWxPzW-0bZs?t=7708","channel 1")</f>
        <v>channel 1</v>
      </c>
    </row>
    <row r="64">
      <c r="B64" s="62" t="s">
        <v>2418</v>
      </c>
      <c r="C64" s="45" t="s">
        <v>209</v>
      </c>
      <c r="D64" s="61" t="s">
        <v>3287</v>
      </c>
      <c r="E64" s="120" t="str">
        <f>HYPERLINK("https://youtu.be/CD8BnxXsxyI?t=7695","channel 2")</f>
        <v>channel 2</v>
      </c>
    </row>
    <row r="65">
      <c r="B65" s="62" t="s">
        <v>3286</v>
      </c>
      <c r="C65" s="45" t="s">
        <v>155</v>
      </c>
      <c r="D65" s="62" t="s">
        <v>3288</v>
      </c>
      <c r="E65" s="120" t="str">
        <f>HYPERLINK("https://youtu.be/oWxPzW-0bZs?t=8617","channel 1")</f>
        <v>channel 1</v>
      </c>
    </row>
    <row r="66">
      <c r="B66" s="62" t="s">
        <v>1028</v>
      </c>
      <c r="C66" s="45" t="s">
        <v>248</v>
      </c>
      <c r="D66" s="61" t="s">
        <v>3287</v>
      </c>
      <c r="E66" s="120" t="str">
        <f>HYPERLINK("https://youtu.be/CD8BnxXsxyI?t=8633","channel 2")</f>
        <v>channel 2</v>
      </c>
    </row>
    <row r="67">
      <c r="B67" s="96" t="s">
        <v>3289</v>
      </c>
      <c r="C67" s="2"/>
      <c r="D67" s="3"/>
      <c r="E67" s="107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62" t="s">
        <v>3290</v>
      </c>
      <c r="C69" s="45" t="s">
        <v>165</v>
      </c>
      <c r="D69" s="62" t="s">
        <v>3291</v>
      </c>
      <c r="E69" s="120" t="str">
        <f>HYPERLINK("https://youtu.be/9NEuRzHrTQc","channel 1")</f>
        <v>channel 1</v>
      </c>
    </row>
    <row r="70">
      <c r="B70" s="62" t="s">
        <v>3292</v>
      </c>
      <c r="C70" s="45" t="s">
        <v>155</v>
      </c>
      <c r="D70" s="61" t="s">
        <v>1976</v>
      </c>
      <c r="E70" s="120" t="str">
        <f>HYPERLINK("https://youtu.be/AxoETfY-y5Y","channel 2")</f>
        <v>channel 2</v>
      </c>
    </row>
    <row r="71">
      <c r="B71" s="62" t="s">
        <v>2208</v>
      </c>
      <c r="C71" s="45" t="s">
        <v>556</v>
      </c>
      <c r="D71" s="62" t="s">
        <v>3290</v>
      </c>
      <c r="E71" s="120" t="str">
        <f>HYPERLINK("https://youtu.be/9NEuRzHrTQc?t=988","channel 1")</f>
        <v>channel 1</v>
      </c>
    </row>
    <row r="72">
      <c r="B72" s="62" t="s">
        <v>3292</v>
      </c>
      <c r="C72" s="45" t="s">
        <v>166</v>
      </c>
      <c r="D72" s="62" t="s">
        <v>3291</v>
      </c>
      <c r="E72" s="120" t="str">
        <f>HYPERLINK("https://youtu.be/AxoETfY-y5Y?t=1047","channel 2")</f>
        <v>channel 2</v>
      </c>
    </row>
    <row r="73">
      <c r="B73" s="62" t="s">
        <v>2208</v>
      </c>
      <c r="C73" s="45" t="s">
        <v>7</v>
      </c>
      <c r="D73" s="61" t="s">
        <v>1976</v>
      </c>
      <c r="E73" s="120" t="str">
        <f>HYPERLINK("https://youtu.be/9NEuRzHrTQc?t=1947","channel 1")</f>
        <v>channel 1</v>
      </c>
    </row>
    <row r="74">
      <c r="B74" s="62" t="s">
        <v>3292</v>
      </c>
      <c r="C74" s="45" t="s">
        <v>196</v>
      </c>
      <c r="D74" s="62" t="s">
        <v>3290</v>
      </c>
      <c r="E74" s="120" t="str">
        <f>HYPERLINK("https://youtu.be/AxoETfY-y5Y?t=2075","channel 2")</f>
        <v>channel 2</v>
      </c>
    </row>
    <row r="75">
      <c r="B75" s="62" t="s">
        <v>2208</v>
      </c>
      <c r="C75" s="45" t="s">
        <v>394</v>
      </c>
      <c r="D75" s="62" t="s">
        <v>3291</v>
      </c>
      <c r="E75" s="120" t="str">
        <f>HYPERLINK("https://youtu.be/9NEuRzHrTQc?t=2904","channel 1")</f>
        <v>channel 1</v>
      </c>
    </row>
    <row r="76">
      <c r="B76" s="61" t="s">
        <v>1976</v>
      </c>
      <c r="C76" s="45" t="s">
        <v>245</v>
      </c>
      <c r="D76" s="62" t="s">
        <v>3290</v>
      </c>
      <c r="E76" s="120" t="str">
        <f>HYPERLINK("https://youtu.be/AxoETfY-y5Y?t=3053","channel 2")</f>
        <v>channel 2</v>
      </c>
    </row>
    <row r="77">
      <c r="B77" s="62" t="s">
        <v>2208</v>
      </c>
      <c r="C77" s="45" t="s">
        <v>324</v>
      </c>
      <c r="D77" s="62" t="s">
        <v>3292</v>
      </c>
      <c r="E77" s="120" t="str">
        <f>HYPERLINK("https://youtu.be/9NEuRzHrTQc?t=3885","channel 1")</f>
        <v>channel 1</v>
      </c>
    </row>
    <row r="78">
      <c r="B78" s="61" t="s">
        <v>1976</v>
      </c>
      <c r="C78" s="45" t="s">
        <v>14</v>
      </c>
      <c r="D78" s="62" t="s">
        <v>3291</v>
      </c>
      <c r="E78" s="120" t="str">
        <f>HYPERLINK("https://youtu.be/AxoETfY-y5Y?t=4052","channel 2")</f>
        <v>channel 2</v>
      </c>
    </row>
    <row r="79">
      <c r="B79" s="62" t="s">
        <v>3291</v>
      </c>
      <c r="C79" s="45" t="s">
        <v>41</v>
      </c>
      <c r="D79" s="62" t="s">
        <v>3290</v>
      </c>
      <c r="E79" s="120" t="str">
        <f>HYPERLINK("https://youtu.be/9NEuRzHrTQc?t=4968","channel 1")</f>
        <v>channel 1</v>
      </c>
    </row>
    <row r="80">
      <c r="B80" s="61" t="s">
        <v>1976</v>
      </c>
      <c r="C80" s="45" t="s">
        <v>1121</v>
      </c>
      <c r="D80" s="62" t="s">
        <v>3292</v>
      </c>
      <c r="E80" s="120" t="str">
        <f>HYPERLINK("https://youtu.be/AxoETfY-y5Y?t=4989","channel 2")</f>
        <v>channel 2</v>
      </c>
    </row>
    <row r="81">
      <c r="B81" s="62" t="s">
        <v>3290</v>
      </c>
      <c r="C81" s="45" t="s">
        <v>162</v>
      </c>
      <c r="D81" s="62" t="s">
        <v>2208</v>
      </c>
      <c r="E81" s="120" t="str">
        <f>HYPERLINK("https://youtu.be/9NEuRzHrTQc?t=5906","channel 1")</f>
        <v>channel 1</v>
      </c>
    </row>
    <row r="82">
      <c r="B82" s="62" t="s">
        <v>3291</v>
      </c>
      <c r="C82" s="45" t="s">
        <v>189</v>
      </c>
      <c r="D82" s="62" t="s">
        <v>3292</v>
      </c>
      <c r="E82" s="120" t="str">
        <f>HYPERLINK("https://youtu.be/AxoETfY-y5Y?t=5946","channel 2")</f>
        <v>channel 2</v>
      </c>
    </row>
    <row r="83">
      <c r="B83" s="61" t="s">
        <v>1976</v>
      </c>
      <c r="C83" s="45" t="s">
        <v>198</v>
      </c>
      <c r="D83" s="62" t="s">
        <v>2208</v>
      </c>
      <c r="E83" s="120" t="str">
        <f>HYPERLINK("https://youtu.be/9NEuRzHrTQc?t=6812","channel 1")</f>
        <v>channel 1</v>
      </c>
    </row>
    <row r="84">
      <c r="B84" s="62" t="s">
        <v>3290</v>
      </c>
      <c r="C84" s="45" t="s">
        <v>750</v>
      </c>
      <c r="D84" s="62" t="s">
        <v>3292</v>
      </c>
      <c r="E84" s="120" t="str">
        <f>HYPERLINK("https://youtu.be/AxoETfY-y5Y?t=6881","channel 2")</f>
        <v>channel 2</v>
      </c>
    </row>
    <row r="85">
      <c r="B85" s="62" t="s">
        <v>3291</v>
      </c>
      <c r="C85" s="45" t="s">
        <v>155</v>
      </c>
      <c r="D85" s="62" t="s">
        <v>2208</v>
      </c>
      <c r="E85" s="120" t="str">
        <f>HYPERLINK("https://youtu.be/9NEuRzHrTQc?t=7774","channel 1")</f>
        <v>channel 1</v>
      </c>
    </row>
    <row r="86">
      <c r="B86" s="62" t="s">
        <v>3290</v>
      </c>
      <c r="C86" s="45" t="s">
        <v>566</v>
      </c>
      <c r="D86" s="61" t="s">
        <v>1976</v>
      </c>
      <c r="E86" s="120" t="str">
        <f>HYPERLINK("https://youtu.be/AxoETfY-y5Y?t=7850","channel 2")</f>
        <v>channel 2</v>
      </c>
    </row>
    <row r="87">
      <c r="B87" s="62" t="s">
        <v>3292</v>
      </c>
      <c r="C87" s="45" t="s">
        <v>158</v>
      </c>
      <c r="D87" s="62" t="s">
        <v>2208</v>
      </c>
      <c r="E87" s="120" t="str">
        <f>HYPERLINK("https://youtu.be/9NEuRzHrTQc?t=8682","channel 1")</f>
        <v>channel 1</v>
      </c>
    </row>
    <row r="88">
      <c r="B88" s="62" t="s">
        <v>3291</v>
      </c>
      <c r="C88" s="45" t="s">
        <v>181</v>
      </c>
      <c r="D88" s="61" t="s">
        <v>1976</v>
      </c>
      <c r="E88" s="120" t="str">
        <f>HYPERLINK("https://youtu.be/AxoETfY-y5Y?t=8800","channel 2")</f>
        <v>channel 2</v>
      </c>
    </row>
    <row r="89">
      <c r="B89" s="96" t="s">
        <v>3293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3294</v>
      </c>
      <c r="C91" s="45" t="s">
        <v>292</v>
      </c>
      <c r="D91" s="62" t="s">
        <v>1527</v>
      </c>
      <c r="E91" s="11" t="str">
        <f>HYPERLINK("https://youtu.be/Jf6F6x8U1EA","channel 3")</f>
        <v>channel 3</v>
      </c>
    </row>
    <row r="92">
      <c r="B92" s="62" t="s">
        <v>1467</v>
      </c>
      <c r="C92" s="45" t="s">
        <v>209</v>
      </c>
      <c r="D92" s="61" t="s">
        <v>3295</v>
      </c>
      <c r="E92" s="11" t="str">
        <f>HYPERLINK("https://youtu.be/T6axrJXU_M8","channel 4")</f>
        <v>channel 4</v>
      </c>
    </row>
    <row r="93">
      <c r="B93" s="62" t="s">
        <v>3296</v>
      </c>
      <c r="C93" s="45" t="s">
        <v>20</v>
      </c>
      <c r="D93" s="62" t="s">
        <v>3294</v>
      </c>
      <c r="E93" s="11" t="str">
        <f>HYPERLINK("https://youtu.be/Jf6F6x8U1EA?t=962","channel 3")</f>
        <v>channel 3</v>
      </c>
    </row>
    <row r="94">
      <c r="B94" s="62" t="s">
        <v>1467</v>
      </c>
      <c r="C94" s="45" t="s">
        <v>7</v>
      </c>
      <c r="D94" s="62" t="s">
        <v>1527</v>
      </c>
      <c r="E94" s="11" t="str">
        <f>HYPERLINK("https://youtu.be/T6axrJXU_M8?t=1040","channel 4")</f>
        <v>channel 4</v>
      </c>
    </row>
    <row r="95">
      <c r="B95" s="62" t="s">
        <v>3296</v>
      </c>
      <c r="C95" s="45" t="s">
        <v>208</v>
      </c>
      <c r="D95" s="61" t="s">
        <v>3295</v>
      </c>
      <c r="E95" s="11" t="str">
        <f>HYPERLINK("https://youtu.be/Jf6F6x8U1EA?t=1889","channel 3")</f>
        <v>channel 3</v>
      </c>
    </row>
    <row r="96">
      <c r="B96" s="62" t="s">
        <v>1467</v>
      </c>
      <c r="C96" s="45" t="s">
        <v>196</v>
      </c>
      <c r="D96" s="62" t="s">
        <v>3294</v>
      </c>
      <c r="E96" s="11" t="str">
        <f>HYPERLINK("https://youtu.be/T6axrJXU_M8?t=1984","channel 4")</f>
        <v>channel 4</v>
      </c>
    </row>
    <row r="97">
      <c r="B97" s="62" t="s">
        <v>3296</v>
      </c>
      <c r="C97" s="45" t="s">
        <v>17</v>
      </c>
      <c r="D97" s="62" t="s">
        <v>1527</v>
      </c>
      <c r="E97" s="11" t="str">
        <f>HYPERLINK("https://youtu.be/Jf6F6x8U1EA?t=2784","channel 3")</f>
        <v>channel 3</v>
      </c>
      <c r="I97" s="50" t="s">
        <v>514</v>
      </c>
    </row>
    <row r="98">
      <c r="B98" s="61" t="s">
        <v>3295</v>
      </c>
      <c r="C98" s="45" t="s">
        <v>195</v>
      </c>
      <c r="D98" s="62" t="s">
        <v>3294</v>
      </c>
      <c r="E98" s="11" t="str">
        <f>HYPERLINK("https://youtu.be/T6axrJXU_M8?t=2903","channel 4")</f>
        <v>channel 4</v>
      </c>
    </row>
    <row r="99">
      <c r="B99" s="62" t="s">
        <v>3296</v>
      </c>
      <c r="C99" s="45" t="s">
        <v>18</v>
      </c>
      <c r="D99" s="62" t="s">
        <v>1467</v>
      </c>
      <c r="E99" s="11" t="str">
        <f>HYPERLINK("https://youtu.be/Jf6F6x8U1EA?t=3706","channel 3")</f>
        <v>channel 3</v>
      </c>
    </row>
    <row r="100">
      <c r="B100" s="61" t="s">
        <v>3295</v>
      </c>
      <c r="C100" s="45" t="s">
        <v>18</v>
      </c>
      <c r="D100" s="62" t="s">
        <v>1527</v>
      </c>
      <c r="E100" s="11" t="str">
        <f>HYPERLINK("https://youtu.be/T6axrJXU_M8?t=3808","channel 4")</f>
        <v>channel 4</v>
      </c>
    </row>
    <row r="101">
      <c r="B101" s="62" t="s">
        <v>1527</v>
      </c>
      <c r="C101" s="45" t="s">
        <v>38</v>
      </c>
      <c r="D101" s="62" t="s">
        <v>3294</v>
      </c>
      <c r="E101" s="11" t="str">
        <f>HYPERLINK("https://youtu.be/Jf6F6x8U1EA?t=4613","channel 3")</f>
        <v>channel 3</v>
      </c>
    </row>
    <row r="102">
      <c r="B102" s="61" t="s">
        <v>3295</v>
      </c>
      <c r="C102" s="45" t="s">
        <v>219</v>
      </c>
      <c r="D102" s="62" t="s">
        <v>1467</v>
      </c>
      <c r="E102" s="11" t="str">
        <f>HYPERLINK("https://youtu.be/T6axrJXU_M8?t=4723","channel 4")</f>
        <v>channel 4</v>
      </c>
    </row>
    <row r="103">
      <c r="B103" s="62" t="s">
        <v>3294</v>
      </c>
      <c r="C103" s="45" t="s">
        <v>44</v>
      </c>
      <c r="D103" s="62" t="s">
        <v>3296</v>
      </c>
      <c r="E103" s="11" t="str">
        <f>HYPERLINK("https://youtu.be/Jf6F6x8U1EA?t=5569","channel 3")</f>
        <v>channel 3</v>
      </c>
    </row>
    <row r="104">
      <c r="B104" s="62" t="s">
        <v>1527</v>
      </c>
      <c r="C104" s="45" t="s">
        <v>173</v>
      </c>
      <c r="D104" s="62" t="s">
        <v>1467</v>
      </c>
      <c r="E104" s="11" t="str">
        <f>HYPERLINK("https://youtu.be/T6axrJXU_M8?t=5647","channel 4")</f>
        <v>channel 4</v>
      </c>
    </row>
    <row r="105">
      <c r="B105" s="61" t="s">
        <v>3295</v>
      </c>
      <c r="C105" s="45" t="s">
        <v>173</v>
      </c>
      <c r="D105" s="62" t="s">
        <v>3296</v>
      </c>
      <c r="E105" s="11" t="str">
        <f>HYPERLINK("https://youtu.be/Jf6F6x8U1EA?t=6522","channel 3")</f>
        <v>channel 3</v>
      </c>
    </row>
    <row r="106">
      <c r="B106" s="62" t="s">
        <v>3294</v>
      </c>
      <c r="C106" s="45" t="s">
        <v>250</v>
      </c>
      <c r="D106" s="62" t="s">
        <v>1467</v>
      </c>
      <c r="E106" s="11" t="str">
        <f>HYPERLINK("https://youtu.be/T6axrJXU_M8?t=6667","channel 4")</f>
        <v>channel 4</v>
      </c>
    </row>
    <row r="107">
      <c r="B107" s="62" t="s">
        <v>1527</v>
      </c>
      <c r="C107" s="45" t="s">
        <v>162</v>
      </c>
      <c r="D107" s="62" t="s">
        <v>3296</v>
      </c>
      <c r="E107" s="11" t="str">
        <f>HYPERLINK("https://youtu.be/Jf6F6x8U1EA?t=7465","channel 3")</f>
        <v>channel 3</v>
      </c>
    </row>
    <row r="108">
      <c r="B108" s="62" t="s">
        <v>3294</v>
      </c>
      <c r="C108" s="45" t="s">
        <v>762</v>
      </c>
      <c r="D108" s="61" t="s">
        <v>3295</v>
      </c>
      <c r="E108" s="11" t="str">
        <f>HYPERLINK("https://youtu.be/T6axrJXU_M8?t=7581","channel 4")</f>
        <v>channel 4</v>
      </c>
    </row>
    <row r="109">
      <c r="B109" s="62" t="s">
        <v>1467</v>
      </c>
      <c r="C109" s="45" t="s">
        <v>303</v>
      </c>
      <c r="D109" s="62" t="s">
        <v>3296</v>
      </c>
      <c r="E109" s="11" t="str">
        <f>HYPERLINK("https://youtu.be/Jf6F6x8U1EA?t=8442","channel 3")</f>
        <v>channel 3</v>
      </c>
    </row>
    <row r="110">
      <c r="B110" s="62" t="s">
        <v>1527</v>
      </c>
      <c r="C110" s="45" t="s">
        <v>250</v>
      </c>
      <c r="D110" s="61" t="s">
        <v>3295</v>
      </c>
      <c r="E110" s="11" t="str">
        <f>HYPERLINK("https://youtu.be/T6axrJXU_M8?t=8485","channel 4")</f>
        <v>channel 4</v>
      </c>
    </row>
    <row r="111">
      <c r="B111" s="96" t="s">
        <v>2698</v>
      </c>
      <c r="C111" s="2"/>
      <c r="D111" s="3"/>
      <c r="E111" s="5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3297</v>
      </c>
      <c r="C113" s="45" t="s">
        <v>24</v>
      </c>
      <c r="D113" s="62" t="s">
        <v>2500</v>
      </c>
      <c r="E113" s="11" t="str">
        <f>HYPERLINK("https://youtu.be/149sNjwxVtk","channel 3")</f>
        <v>channel 3</v>
      </c>
    </row>
    <row r="114">
      <c r="B114" s="62" t="s">
        <v>3263</v>
      </c>
      <c r="C114" s="45" t="s">
        <v>1675</v>
      </c>
      <c r="D114" s="61" t="s">
        <v>2800</v>
      </c>
      <c r="E114" s="11" t="str">
        <f>HYPERLINK("https://youtu.be/IOzMPNDHedE","channel 4")</f>
        <v>channel 4</v>
      </c>
    </row>
    <row r="115">
      <c r="B115" s="62" t="s">
        <v>1380</v>
      </c>
      <c r="C115" s="45" t="s">
        <v>302</v>
      </c>
      <c r="D115" s="62" t="s">
        <v>3297</v>
      </c>
      <c r="E115" s="11" t="str">
        <f>HYPERLINK("https://youtu.be/149sNjwxVtk?t=974","channel 3")</f>
        <v>channel 3</v>
      </c>
    </row>
    <row r="116">
      <c r="B116" s="62" t="s">
        <v>3263</v>
      </c>
      <c r="C116" s="45" t="s">
        <v>998</v>
      </c>
      <c r="D116" s="62" t="s">
        <v>2500</v>
      </c>
      <c r="E116" s="11" t="str">
        <f>HYPERLINK("https://youtu.be/IOzMPNDHedE?t=1016","channel 4")</f>
        <v>channel 4</v>
      </c>
    </row>
    <row r="117">
      <c r="B117" s="62" t="s">
        <v>1380</v>
      </c>
      <c r="C117" s="45" t="s">
        <v>302</v>
      </c>
      <c r="D117" s="61" t="s">
        <v>2800</v>
      </c>
      <c r="E117" s="11" t="str">
        <f>HYPERLINK("https://youtu.be/149sNjwxVtk?t=1888","channel 3")</f>
        <v>channel 3</v>
      </c>
    </row>
    <row r="118">
      <c r="B118" s="62" t="s">
        <v>3263</v>
      </c>
      <c r="C118" s="45" t="s">
        <v>216</v>
      </c>
      <c r="D118" s="62" t="s">
        <v>3297</v>
      </c>
      <c r="E118" s="11" t="str">
        <f>HYPERLINK("https://youtu.be/IOzMPNDHedE?t=1956","channel 4")</f>
        <v>channel 4</v>
      </c>
    </row>
    <row r="119">
      <c r="B119" s="62" t="s">
        <v>1380</v>
      </c>
      <c r="C119" s="45" t="s">
        <v>3298</v>
      </c>
      <c r="D119" s="62" t="s">
        <v>2500</v>
      </c>
      <c r="E119" s="11" t="str">
        <f>HYPERLINK("https://youtu.be/149sNjwxVtk?t=2782","channel 3")</f>
        <v>channel 3</v>
      </c>
    </row>
    <row r="120">
      <c r="B120" s="61" t="s">
        <v>2800</v>
      </c>
      <c r="C120" s="45" t="s">
        <v>24</v>
      </c>
      <c r="D120" s="62" t="s">
        <v>3297</v>
      </c>
      <c r="E120" s="11" t="str">
        <f>HYPERLINK("https://youtu.be/IOzMPNDHedE?t=2912","channel 4")</f>
        <v>channel 4</v>
      </c>
    </row>
    <row r="121">
      <c r="B121" s="62" t="s">
        <v>1380</v>
      </c>
      <c r="C121" s="45" t="s">
        <v>1392</v>
      </c>
      <c r="D121" s="62" t="s">
        <v>3263</v>
      </c>
      <c r="E121" s="11" t="str">
        <f>HYPERLINK("https://youtu.be/149sNjwxVtk?t=3688","channel 3")</f>
        <v>channel 3</v>
      </c>
    </row>
    <row r="122">
      <c r="B122" s="61" t="s">
        <v>2800</v>
      </c>
      <c r="C122" s="45" t="s">
        <v>19</v>
      </c>
      <c r="D122" s="62" t="s">
        <v>2500</v>
      </c>
      <c r="E122" s="11" t="str">
        <f>HYPERLINK("https://youtu.be/IOzMPNDHedE?t=3894","channel 4")</f>
        <v>channel 4</v>
      </c>
    </row>
    <row r="123">
      <c r="B123" s="62" t="s">
        <v>2500</v>
      </c>
      <c r="C123" s="45" t="s">
        <v>164</v>
      </c>
      <c r="D123" s="62" t="s">
        <v>3297</v>
      </c>
      <c r="E123" s="11" t="str">
        <f>HYPERLINK("https://youtu.be/149sNjwxVtk?t=4755","channel 3")</f>
        <v>channel 3</v>
      </c>
    </row>
    <row r="124">
      <c r="B124" s="61" t="s">
        <v>2800</v>
      </c>
      <c r="C124" s="45" t="s">
        <v>2615</v>
      </c>
      <c r="D124" s="62" t="s">
        <v>3263</v>
      </c>
      <c r="E124" s="11" t="str">
        <f>HYPERLINK("https://youtu.be/IOzMPNDHedE?t=4908","channel 4")</f>
        <v>channel 4</v>
      </c>
    </row>
    <row r="125">
      <c r="B125" s="62" t="s">
        <v>3297</v>
      </c>
      <c r="C125" s="45" t="s">
        <v>14</v>
      </c>
      <c r="D125" s="62" t="s">
        <v>1380</v>
      </c>
      <c r="E125" s="11" t="str">
        <f>HYPERLINK("https://youtu.be/149sNjwxVtk?t=5826","channel 3")</f>
        <v>channel 3</v>
      </c>
    </row>
    <row r="126">
      <c r="B126" s="62" t="s">
        <v>2500</v>
      </c>
      <c r="C126" s="45" t="s">
        <v>248</v>
      </c>
      <c r="D126" s="62" t="s">
        <v>3263</v>
      </c>
      <c r="E126" s="11" t="str">
        <f>HYPERLINK("https://youtu.be/IOzMPNDHedE?t=5864","channel 4")</f>
        <v>channel 4</v>
      </c>
    </row>
    <row r="127">
      <c r="B127" s="61" t="s">
        <v>2800</v>
      </c>
      <c r="C127" s="45" t="s">
        <v>863</v>
      </c>
      <c r="D127" s="62" t="s">
        <v>1380</v>
      </c>
      <c r="E127" s="11" t="str">
        <f>HYPERLINK("https://youtu.be/149sNjwxVtk?t=6812","channel 3")</f>
        <v>channel 3</v>
      </c>
    </row>
    <row r="128">
      <c r="B128" s="62" t="s">
        <v>3297</v>
      </c>
      <c r="C128" s="45" t="s">
        <v>915</v>
      </c>
      <c r="D128" s="62" t="s">
        <v>3263</v>
      </c>
      <c r="E128" s="11" t="str">
        <f>HYPERLINK("https://youtu.be/IOzMPNDHedE?t=6821","channel 4")</f>
        <v>channel 4</v>
      </c>
    </row>
    <row r="129">
      <c r="B129" s="62" t="s">
        <v>2500</v>
      </c>
      <c r="C129" s="45" t="s">
        <v>554</v>
      </c>
      <c r="D129" s="62" t="s">
        <v>1380</v>
      </c>
      <c r="E129" s="11" t="str">
        <f>HYPERLINK("https://youtu.be/149sNjwxVtk?t=7730","channel 3")</f>
        <v>channel 3</v>
      </c>
    </row>
    <row r="130">
      <c r="B130" s="62" t="s">
        <v>3297</v>
      </c>
      <c r="C130" s="45" t="s">
        <v>250</v>
      </c>
      <c r="D130" s="61" t="s">
        <v>2800</v>
      </c>
      <c r="E130" s="11" t="str">
        <f>HYPERLINK("https://youtu.be/IOzMPNDHedE?t=7783","channel 4")</f>
        <v>channel 4</v>
      </c>
    </row>
    <row r="131">
      <c r="B131" s="62" t="s">
        <v>3263</v>
      </c>
      <c r="C131" s="45" t="s">
        <v>3299</v>
      </c>
      <c r="D131" s="62" t="s">
        <v>1380</v>
      </c>
      <c r="E131" s="11" t="str">
        <f>HYPERLINK("https://youtu.be/149sNjwxVtk?t=8698","channel 3")</f>
        <v>channel 3</v>
      </c>
    </row>
    <row r="132">
      <c r="B132" s="62" t="s">
        <v>2500</v>
      </c>
      <c r="C132" s="45" t="s">
        <v>376</v>
      </c>
      <c r="D132" s="61" t="s">
        <v>2800</v>
      </c>
      <c r="E132" s="11" t="str">
        <f>HYPERLINK("https://youtu.be/IOzMPNDHedE?t=8676","channel 4")</f>
        <v>channel 4</v>
      </c>
    </row>
    <row r="133">
      <c r="B133" s="96" t="s">
        <v>3300</v>
      </c>
      <c r="C133" s="2"/>
      <c r="D133" s="3"/>
      <c r="E133" s="107"/>
    </row>
    <row r="134">
      <c r="B134" s="108" t="s">
        <v>2</v>
      </c>
      <c r="C134" s="109" t="s">
        <v>3</v>
      </c>
      <c r="D134" s="109" t="s">
        <v>4</v>
      </c>
      <c r="E134" s="109" t="s">
        <v>5</v>
      </c>
    </row>
    <row r="135">
      <c r="B135" s="62" t="s">
        <v>2491</v>
      </c>
      <c r="C135" s="45" t="s">
        <v>301</v>
      </c>
      <c r="D135" s="62" t="s">
        <v>918</v>
      </c>
      <c r="E135" s="120" t="str">
        <f>HYPERLINK("https://youtu.be/fUZcwbYRpn4","channel 1")</f>
        <v>channel 1</v>
      </c>
    </row>
    <row r="136">
      <c r="B136" s="62" t="s">
        <v>3301</v>
      </c>
      <c r="C136" s="45" t="s">
        <v>159</v>
      </c>
      <c r="D136" s="61" t="s">
        <v>3302</v>
      </c>
      <c r="E136" s="120" t="str">
        <f>HYPERLINK("https://youtu.be/kgNZa1YYwig","channel 2")</f>
        <v>channel 2</v>
      </c>
    </row>
    <row r="137">
      <c r="B137" s="62" t="s">
        <v>3303</v>
      </c>
      <c r="C137" s="45" t="s">
        <v>203</v>
      </c>
      <c r="D137" s="62" t="s">
        <v>2491</v>
      </c>
      <c r="E137" s="120" t="str">
        <f>HYPERLINK("https://youtu.be/fUZcwbYRpn4?t=947","channel 1")</f>
        <v>channel 1</v>
      </c>
    </row>
    <row r="138">
      <c r="B138" s="62" t="s">
        <v>3301</v>
      </c>
      <c r="C138" s="45" t="s">
        <v>515</v>
      </c>
      <c r="D138" s="62" t="s">
        <v>918</v>
      </c>
      <c r="E138" s="120" t="str">
        <f>HYPERLINK("https://youtu.be/kgNZa1YYwig?t=1127","channel 2")</f>
        <v>channel 2</v>
      </c>
    </row>
    <row r="139">
      <c r="B139" s="62" t="s">
        <v>3303</v>
      </c>
      <c r="C139" s="45" t="s">
        <v>256</v>
      </c>
      <c r="D139" s="61" t="s">
        <v>3302</v>
      </c>
      <c r="E139" s="120" t="str">
        <f>HYPERLINK("https://youtu.be/fUZcwbYRpn4?t=1933","channel 1")</f>
        <v>channel 1</v>
      </c>
    </row>
    <row r="140">
      <c r="B140" s="62" t="s">
        <v>3301</v>
      </c>
      <c r="C140" s="45" t="s">
        <v>196</v>
      </c>
      <c r="D140" s="62" t="s">
        <v>2491</v>
      </c>
      <c r="E140" s="120" t="str">
        <f>HYPERLINK("https://youtu.be/kgNZa1YYwig?t=2035","channel 2")</f>
        <v>channel 2</v>
      </c>
    </row>
    <row r="141">
      <c r="B141" s="62" t="s">
        <v>3303</v>
      </c>
      <c r="C141" s="45" t="s">
        <v>218</v>
      </c>
      <c r="D141" s="62" t="s">
        <v>918</v>
      </c>
      <c r="E141" s="120" t="str">
        <f>HYPERLINK("https://youtu.be/fUZcwbYRpn4?t=2906","channel 1")</f>
        <v>channel 1</v>
      </c>
    </row>
    <row r="142">
      <c r="B142" s="61" t="s">
        <v>3302</v>
      </c>
      <c r="C142" s="45" t="s">
        <v>536</v>
      </c>
      <c r="D142" s="62" t="s">
        <v>2491</v>
      </c>
      <c r="E142" s="120" t="str">
        <f>HYPERLINK("https://youtu.be/kgNZa1YYwig?t=3030","channel 2")</f>
        <v>channel 2</v>
      </c>
    </row>
    <row r="143">
      <c r="B143" s="62" t="s">
        <v>3303</v>
      </c>
      <c r="C143" s="45" t="s">
        <v>38</v>
      </c>
      <c r="D143" s="62" t="s">
        <v>3301</v>
      </c>
      <c r="E143" s="120" t="str">
        <f>HYPERLINK("https://youtu.be/fUZcwbYRpn4?t=3793","channel 1")</f>
        <v>channel 1</v>
      </c>
    </row>
    <row r="144">
      <c r="B144" s="61" t="s">
        <v>3302</v>
      </c>
      <c r="C144" s="45" t="s">
        <v>198</v>
      </c>
      <c r="D144" s="62" t="s">
        <v>918</v>
      </c>
      <c r="E144" s="120" t="str">
        <f>HYPERLINK("https://youtu.be/kgNZa1YYwig?t=3964","channel 2")</f>
        <v>channel 2</v>
      </c>
    </row>
    <row r="145">
      <c r="B145" s="62" t="s">
        <v>918</v>
      </c>
      <c r="C145" s="45" t="s">
        <v>20</v>
      </c>
      <c r="D145" s="62" t="s">
        <v>2491</v>
      </c>
      <c r="E145" s="120" t="str">
        <f>HYPERLINK("https://youtu.be/fUZcwbYRpn4?t=4793","channel 1")</f>
        <v>channel 1</v>
      </c>
    </row>
    <row r="146">
      <c r="B146" s="61" t="s">
        <v>3302</v>
      </c>
      <c r="C146" s="45" t="s">
        <v>220</v>
      </c>
      <c r="D146" s="62" t="s">
        <v>3301</v>
      </c>
      <c r="E146" s="120" t="str">
        <f>HYPERLINK("https://youtu.be/kgNZa1YYwig?t=4924","channel 2")</f>
        <v>channel 2</v>
      </c>
    </row>
    <row r="147">
      <c r="B147" s="62" t="s">
        <v>2491</v>
      </c>
      <c r="C147" s="45" t="s">
        <v>545</v>
      </c>
      <c r="D147" s="62" t="s">
        <v>3303</v>
      </c>
      <c r="E147" s="120" t="str">
        <f>HYPERLINK("https://youtu.be/fUZcwbYRpn4?t=5812","channel 1")</f>
        <v>channel 1</v>
      </c>
    </row>
    <row r="148">
      <c r="B148" s="62" t="s">
        <v>918</v>
      </c>
      <c r="C148" s="45" t="s">
        <v>233</v>
      </c>
      <c r="D148" s="62" t="s">
        <v>3301</v>
      </c>
      <c r="E148" s="120" t="str">
        <f>HYPERLINK("https://youtu.be/kgNZa1YYwig?t=5866","channel 2")</f>
        <v>channel 2</v>
      </c>
    </row>
    <row r="149">
      <c r="B149" s="61" t="s">
        <v>3302</v>
      </c>
      <c r="C149" s="45" t="s">
        <v>195</v>
      </c>
      <c r="D149" s="62" t="s">
        <v>3303</v>
      </c>
      <c r="E149" s="120" t="str">
        <f>HYPERLINK("https://youtu.be/fUZcwbYRpn4?t=6729","channel 1")</f>
        <v>channel 1</v>
      </c>
    </row>
    <row r="150">
      <c r="B150" s="62" t="s">
        <v>2491</v>
      </c>
      <c r="C150" s="45" t="s">
        <v>196</v>
      </c>
      <c r="D150" s="62" t="s">
        <v>3301</v>
      </c>
      <c r="E150" s="120" t="str">
        <f>HYPERLINK("https://youtu.be/kgNZa1YYwig?t=6798","channel 2")</f>
        <v>channel 2</v>
      </c>
    </row>
    <row r="151">
      <c r="B151" s="62" t="s">
        <v>918</v>
      </c>
      <c r="C151" s="45" t="s">
        <v>354</v>
      </c>
      <c r="D151" s="62" t="s">
        <v>3303</v>
      </c>
      <c r="E151" s="120" t="str">
        <f>HYPERLINK("https://youtu.be/fUZcwbYRpn4?t=7639","channel 1")</f>
        <v>channel 1</v>
      </c>
    </row>
    <row r="152">
      <c r="B152" s="62" t="s">
        <v>2491</v>
      </c>
      <c r="C152" s="45" t="s">
        <v>248</v>
      </c>
      <c r="D152" s="61" t="s">
        <v>3302</v>
      </c>
      <c r="E152" s="120" t="str">
        <f>HYPERLINK("https://youtu.be/kgNZa1YYwig?t=7759","channel 2")</f>
        <v>channel 2</v>
      </c>
    </row>
    <row r="153">
      <c r="B153" s="62" t="s">
        <v>3301</v>
      </c>
      <c r="C153" s="45" t="s">
        <v>20</v>
      </c>
      <c r="D153" s="62" t="s">
        <v>3303</v>
      </c>
      <c r="E153" s="120" t="str">
        <f>HYPERLINK("https://youtu.be/fUZcwbYRpn4?t=8598","channel 1")</f>
        <v>channel 1</v>
      </c>
    </row>
    <row r="154">
      <c r="B154" s="62" t="s">
        <v>918</v>
      </c>
      <c r="C154" s="45" t="s">
        <v>7</v>
      </c>
      <c r="D154" s="61" t="s">
        <v>3302</v>
      </c>
      <c r="E154" s="120" t="str">
        <f>HYPERLINK("https://youtu.be/kgNZa1YYwig?t=8662","channel 2")</f>
        <v>channel 2</v>
      </c>
    </row>
    <row r="155">
      <c r="B155" s="96" t="s">
        <v>3108</v>
      </c>
      <c r="C155" s="2"/>
      <c r="D155" s="3"/>
      <c r="E155" s="107"/>
    </row>
    <row r="156">
      <c r="B156" s="108" t="s">
        <v>2</v>
      </c>
      <c r="C156" s="109" t="s">
        <v>3</v>
      </c>
      <c r="D156" s="109" t="s">
        <v>4</v>
      </c>
      <c r="E156" s="109" t="s">
        <v>5</v>
      </c>
    </row>
    <row r="157">
      <c r="B157" s="62" t="s">
        <v>3304</v>
      </c>
      <c r="C157" s="45" t="s">
        <v>289</v>
      </c>
      <c r="D157" s="62" t="s">
        <v>1293</v>
      </c>
      <c r="E157" s="120" t="str">
        <f>HYPERLINK("https://youtu.be/nF0ptcY4RTg","channel 1")</f>
        <v>channel 1</v>
      </c>
    </row>
    <row r="158">
      <c r="B158" s="62" t="s">
        <v>3180</v>
      </c>
      <c r="C158" s="45" t="s">
        <v>225</v>
      </c>
      <c r="D158" s="61" t="s">
        <v>63</v>
      </c>
      <c r="E158" s="120" t="str">
        <f>HYPERLINK("https://youtu.be/AnlMyDxabf4","channel 2")</f>
        <v>channel 2</v>
      </c>
    </row>
    <row r="159">
      <c r="B159" s="62" t="s">
        <v>3305</v>
      </c>
      <c r="C159" s="45" t="s">
        <v>303</v>
      </c>
      <c r="D159" s="62" t="s">
        <v>3304</v>
      </c>
      <c r="E159" s="120" t="str">
        <f>HYPERLINK("https://youtu.be/nF0ptcY4RTg?t=996","channel 1")</f>
        <v>channel 1</v>
      </c>
    </row>
    <row r="160">
      <c r="B160" s="62" t="s">
        <v>3180</v>
      </c>
      <c r="C160" s="45" t="s">
        <v>21</v>
      </c>
      <c r="D160" s="62" t="s">
        <v>1293</v>
      </c>
      <c r="E160" s="120" t="str">
        <f>HYPERLINK("https://youtu.be/AnlMyDxabf4?t=1062","channel 2")</f>
        <v>channel 2</v>
      </c>
    </row>
    <row r="161">
      <c r="B161" s="62" t="s">
        <v>3305</v>
      </c>
      <c r="C161" s="45" t="s">
        <v>281</v>
      </c>
      <c r="D161" s="61" t="s">
        <v>63</v>
      </c>
      <c r="E161" s="120" t="str">
        <f>HYPERLINK("https://youtu.be/nF0ptcY4RTg?t=1960","channel 1")</f>
        <v>channel 1</v>
      </c>
    </row>
    <row r="162">
      <c r="B162" s="62" t="s">
        <v>3180</v>
      </c>
      <c r="C162" s="45" t="s">
        <v>230</v>
      </c>
      <c r="D162" s="62" t="s">
        <v>3304</v>
      </c>
      <c r="E162" s="120" t="str">
        <f>HYPERLINK("https://youtu.be/AnlMyDxabf4?t=2110","channel 2")</f>
        <v>channel 2</v>
      </c>
    </row>
    <row r="163">
      <c r="B163" s="62" t="s">
        <v>3305</v>
      </c>
      <c r="C163" s="45" t="s">
        <v>2222</v>
      </c>
      <c r="D163" s="62" t="s">
        <v>1293</v>
      </c>
      <c r="E163" s="120" t="str">
        <f>HYPERLINK("https://youtu.be/nF0ptcY4RTg?t=2983","channel 1")</f>
        <v>channel 1</v>
      </c>
    </row>
    <row r="164">
      <c r="B164" s="61" t="s">
        <v>63</v>
      </c>
      <c r="C164" s="45" t="s">
        <v>433</v>
      </c>
      <c r="D164" s="62" t="s">
        <v>3304</v>
      </c>
      <c r="E164" s="120" t="str">
        <f>HYPERLINK("https://youtu.be/AnlMyDxabf4?t=3036","channel 2")</f>
        <v>channel 2</v>
      </c>
    </row>
    <row r="165">
      <c r="B165" s="62" t="s">
        <v>3305</v>
      </c>
      <c r="C165" s="45" t="s">
        <v>41</v>
      </c>
      <c r="D165" s="62" t="s">
        <v>3180</v>
      </c>
      <c r="E165" s="120" t="str">
        <f>HYPERLINK("https://youtu.be/nF0ptcY4RTg?t=3956","channel 1")</f>
        <v>channel 1</v>
      </c>
    </row>
    <row r="166">
      <c r="B166" s="61" t="s">
        <v>63</v>
      </c>
      <c r="C166" s="45" t="s">
        <v>43</v>
      </c>
      <c r="D166" s="62" t="s">
        <v>1293</v>
      </c>
      <c r="E166" s="120" t="str">
        <f>HYPERLINK("https://youtu.be/AnlMyDxabf4?t=4011","channel 2")</f>
        <v>channel 2</v>
      </c>
    </row>
    <row r="167">
      <c r="B167" s="62" t="s">
        <v>1293</v>
      </c>
      <c r="C167" s="45" t="s">
        <v>155</v>
      </c>
      <c r="D167" s="62" t="s">
        <v>3304</v>
      </c>
      <c r="E167" s="120" t="str">
        <f>HYPERLINK("https://youtu.be/nF0ptcY4RTg?t=4956","channel 1")</f>
        <v>channel 1</v>
      </c>
    </row>
    <row r="168">
      <c r="B168" s="61" t="s">
        <v>63</v>
      </c>
      <c r="C168" s="45" t="s">
        <v>38</v>
      </c>
      <c r="D168" s="62" t="s">
        <v>3180</v>
      </c>
      <c r="E168" s="120" t="str">
        <f>HYPERLINK("https://youtu.be/AnlMyDxabf4?t=4975","channel 2")</f>
        <v>channel 2</v>
      </c>
    </row>
    <row r="169">
      <c r="B169" s="62" t="s">
        <v>3304</v>
      </c>
      <c r="C169" s="45" t="s">
        <v>155</v>
      </c>
      <c r="D169" s="62" t="s">
        <v>3305</v>
      </c>
      <c r="E169" s="120" t="str">
        <f>HYPERLINK("https://youtu.be/nF0ptcY4RTg?t=5861","channel 1")</f>
        <v>channel 1</v>
      </c>
    </row>
    <row r="170">
      <c r="B170" s="62" t="s">
        <v>1293</v>
      </c>
      <c r="C170" s="45" t="s">
        <v>162</v>
      </c>
      <c r="D170" s="62" t="s">
        <v>3180</v>
      </c>
      <c r="E170" s="120" t="str">
        <f>HYPERLINK("https://youtu.be/AnlMyDxabf4?t=5944","channel 2")</f>
        <v>channel 2</v>
      </c>
    </row>
    <row r="171">
      <c r="B171" s="61" t="s">
        <v>63</v>
      </c>
      <c r="C171" s="45" t="s">
        <v>20</v>
      </c>
      <c r="D171" s="62" t="s">
        <v>3305</v>
      </c>
      <c r="E171" s="120" t="str">
        <f>HYPERLINK("https://youtu.be/nF0ptcY4RTg?t=6782","channel 1")</f>
        <v>channel 1</v>
      </c>
    </row>
    <row r="172">
      <c r="B172" s="62" t="s">
        <v>3304</v>
      </c>
      <c r="C172" s="45" t="s">
        <v>18</v>
      </c>
      <c r="D172" s="62" t="s">
        <v>3180</v>
      </c>
      <c r="E172" s="120" t="str">
        <f>HYPERLINK("https://youtu.be/AnlMyDxabf4?t=6846","channel 2")</f>
        <v>channel 2</v>
      </c>
    </row>
    <row r="173">
      <c r="B173" s="62" t="s">
        <v>1293</v>
      </c>
      <c r="C173" s="45" t="s">
        <v>173</v>
      </c>
      <c r="D173" s="62" t="s">
        <v>3305</v>
      </c>
      <c r="E173" s="120" t="str">
        <f>HYPERLINK("https://youtu.be/nF0ptcY4RTg?t=7678","channel 1")</f>
        <v>channel 1</v>
      </c>
    </row>
    <row r="174">
      <c r="B174" s="62" t="s">
        <v>3304</v>
      </c>
      <c r="C174" s="45" t="s">
        <v>180</v>
      </c>
      <c r="D174" s="61" t="s">
        <v>63</v>
      </c>
      <c r="E174" s="120" t="str">
        <f>HYPERLINK("https://youtu.be/AnlMyDxabf4","channel 2")</f>
        <v>channel 2</v>
      </c>
    </row>
    <row r="175">
      <c r="B175" s="62" t="s">
        <v>3180</v>
      </c>
      <c r="C175" s="45" t="s">
        <v>41</v>
      </c>
      <c r="D175" s="62" t="s">
        <v>3305</v>
      </c>
      <c r="E175" s="120" t="str">
        <f>HYPERLINK("https://youtu.be/nF0ptcY4RTg?t=8640","channel 1")</f>
        <v>channel 1</v>
      </c>
    </row>
    <row r="176">
      <c r="B176" s="62" t="s">
        <v>1293</v>
      </c>
      <c r="C176" s="45" t="s">
        <v>248</v>
      </c>
      <c r="D176" s="61" t="s">
        <v>63</v>
      </c>
      <c r="E176" s="120" t="str">
        <f>HYPERLINK("https://youtu.be/AnlMyDxabf4?t=8766","channel 2")</f>
        <v>channel 2</v>
      </c>
    </row>
    <row r="177">
      <c r="B177" s="96" t="s">
        <v>2820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3306</v>
      </c>
      <c r="C179" s="45" t="s">
        <v>158</v>
      </c>
      <c r="D179" s="62" t="s">
        <v>434</v>
      </c>
      <c r="E179" s="11" t="str">
        <f>HYPERLINK("https://youtu.be/22J-aSxRvzc","channel 3")</f>
        <v>channel 3</v>
      </c>
    </row>
    <row r="180">
      <c r="B180" s="62" t="s">
        <v>1308</v>
      </c>
      <c r="C180" s="45" t="s">
        <v>357</v>
      </c>
      <c r="D180" s="61" t="s">
        <v>3307</v>
      </c>
      <c r="E180" s="11" t="str">
        <f>HYPERLINK("https://youtu.be/ojew0NFG0Rk","channel 4")</f>
        <v>channel 4</v>
      </c>
    </row>
    <row r="181">
      <c r="B181" s="62" t="s">
        <v>2041</v>
      </c>
      <c r="C181" s="45" t="s">
        <v>16</v>
      </c>
      <c r="D181" s="62" t="s">
        <v>3306</v>
      </c>
      <c r="E181" s="11" t="str">
        <f>HYPERLINK("https://youtu.be/22J-aSxRvzc?t=953","channel 3")</f>
        <v>channel 3</v>
      </c>
    </row>
    <row r="182">
      <c r="B182" s="62" t="s">
        <v>1308</v>
      </c>
      <c r="C182" s="45" t="s">
        <v>344</v>
      </c>
      <c r="D182" s="62" t="s">
        <v>434</v>
      </c>
      <c r="E182" s="11" t="str">
        <f>HYPERLINK("https://youtu.be/ojew0NFG0Rk?t=996","channel 4")</f>
        <v>channel 4</v>
      </c>
    </row>
    <row r="183">
      <c r="B183" s="62" t="s">
        <v>2041</v>
      </c>
      <c r="C183" s="45" t="s">
        <v>44</v>
      </c>
      <c r="D183" s="61" t="s">
        <v>3307</v>
      </c>
      <c r="E183" s="11" t="str">
        <f>HYPERLINK("https://youtu.be/22J-aSxRvzc?t=1909","channel 3")</f>
        <v>channel 3</v>
      </c>
    </row>
    <row r="184">
      <c r="B184" s="62" t="s">
        <v>1308</v>
      </c>
      <c r="C184" s="45" t="s">
        <v>220</v>
      </c>
      <c r="D184" s="62" t="s">
        <v>3306</v>
      </c>
      <c r="E184" s="11" t="str">
        <f>HYPERLINK("https://youtu.be/ojew0NFG0Rk?t=1913","channel 4")</f>
        <v>channel 4</v>
      </c>
    </row>
    <row r="185">
      <c r="B185" s="62" t="s">
        <v>2041</v>
      </c>
      <c r="C185" s="45" t="s">
        <v>250</v>
      </c>
      <c r="D185" s="62" t="s">
        <v>434</v>
      </c>
      <c r="E185" s="11" t="str">
        <f>HYPERLINK("https://youtu.be/22J-aSxRvzc?t=2809","channel 3")</f>
        <v>channel 3</v>
      </c>
    </row>
    <row r="186">
      <c r="B186" s="61" t="s">
        <v>3307</v>
      </c>
      <c r="C186" s="45" t="s">
        <v>185</v>
      </c>
      <c r="D186" s="62" t="s">
        <v>3306</v>
      </c>
      <c r="E186" s="11" t="str">
        <f>HYPERLINK("https://youtu.be/ojew0NFG0Rk?t=2858","channel 4")</f>
        <v>channel 4</v>
      </c>
    </row>
    <row r="187">
      <c r="B187" s="62" t="s">
        <v>2041</v>
      </c>
      <c r="C187" s="45" t="s">
        <v>454</v>
      </c>
      <c r="D187" s="62" t="s">
        <v>1308</v>
      </c>
      <c r="E187" s="11" t="str">
        <f>HYPERLINK("https://youtu.be/22J-aSxRvzc?t=3754","channel 3")</f>
        <v>channel 3</v>
      </c>
    </row>
    <row r="188">
      <c r="B188" s="61" t="s">
        <v>3307</v>
      </c>
      <c r="C188" s="45" t="s">
        <v>338</v>
      </c>
      <c r="D188" s="62" t="s">
        <v>434</v>
      </c>
      <c r="E188" s="11" t="str">
        <f>HYPERLINK("https://youtu.be/ojew0NFG0Rk?t=3793","channel 4")</f>
        <v>channel 4</v>
      </c>
    </row>
    <row r="189">
      <c r="B189" s="62" t="s">
        <v>434</v>
      </c>
      <c r="C189" s="45" t="s">
        <v>7</v>
      </c>
      <c r="D189" s="62" t="s">
        <v>3306</v>
      </c>
      <c r="E189" s="11" t="str">
        <f>HYPERLINK("https://youtu.be/22J-aSxRvzc?t=4658","channel 3")</f>
        <v>channel 3</v>
      </c>
    </row>
    <row r="190">
      <c r="B190" s="61" t="s">
        <v>3307</v>
      </c>
      <c r="C190" s="45" t="s">
        <v>3308</v>
      </c>
      <c r="D190" s="62" t="s">
        <v>1308</v>
      </c>
      <c r="E190" s="11" t="str">
        <f>HYPERLINK("https://youtu.be/ojew0NFG0Rk?t=4757","channel 4")</f>
        <v>channel 4</v>
      </c>
    </row>
    <row r="191">
      <c r="B191" s="62" t="s">
        <v>3306</v>
      </c>
      <c r="C191" s="45" t="s">
        <v>181</v>
      </c>
      <c r="D191" s="62" t="s">
        <v>2041</v>
      </c>
      <c r="E191" s="11" t="str">
        <f>HYPERLINK("https://youtu.be/22J-aSxRvzc?t=5563","channel 3")</f>
        <v>channel 3</v>
      </c>
    </row>
    <row r="192">
      <c r="B192" s="62" t="s">
        <v>434</v>
      </c>
      <c r="C192" s="45" t="s">
        <v>180</v>
      </c>
      <c r="D192" s="62" t="s">
        <v>1308</v>
      </c>
      <c r="E192" s="11" t="str">
        <f>HYPERLINK("https://youtu.be/ojew0NFG0Rk?t=5707","channel 4")</f>
        <v>channel 4</v>
      </c>
    </row>
    <row r="193">
      <c r="B193" s="61" t="s">
        <v>3307</v>
      </c>
      <c r="C193" s="45" t="s">
        <v>18</v>
      </c>
      <c r="D193" s="62" t="s">
        <v>2041</v>
      </c>
      <c r="E193" s="11" t="str">
        <f>HYPERLINK("https://youtu.be/22J-aSxRvzc?t=6561","channel 3")</f>
        <v>channel 3</v>
      </c>
    </row>
    <row r="194">
      <c r="B194" s="62" t="s">
        <v>3306</v>
      </c>
      <c r="C194" s="45" t="s">
        <v>344</v>
      </c>
      <c r="D194" s="62" t="s">
        <v>1308</v>
      </c>
      <c r="E194" s="11" t="str">
        <f>HYPERLINK("https://youtu.be/ojew0NFG0Rk?t=6682","channel 4")</f>
        <v>channel 4</v>
      </c>
    </row>
    <row r="195">
      <c r="B195" s="62" t="s">
        <v>434</v>
      </c>
      <c r="C195" s="45" t="s">
        <v>244</v>
      </c>
      <c r="D195" s="62" t="s">
        <v>2041</v>
      </c>
      <c r="E195" s="11" t="str">
        <f>HYPERLINK("https://youtu.be/22J-aSxRvzc?t=7549","channel 3")</f>
        <v>channel 3</v>
      </c>
    </row>
    <row r="196">
      <c r="B196" s="62" t="s">
        <v>3306</v>
      </c>
      <c r="C196" s="45" t="s">
        <v>517</v>
      </c>
      <c r="D196" s="61" t="s">
        <v>3307</v>
      </c>
      <c r="E196" s="11" t="str">
        <f>HYPERLINK("https://youtu.be/ojew0NFG0Rk?t=7553","channel 4")</f>
        <v>channel 4</v>
      </c>
    </row>
    <row r="197">
      <c r="B197" s="62" t="s">
        <v>1308</v>
      </c>
      <c r="C197" s="45" t="s">
        <v>311</v>
      </c>
      <c r="D197" s="62" t="s">
        <v>2041</v>
      </c>
      <c r="E197" s="11" t="str">
        <f>HYPERLINK("https://youtu.be/22J-aSxRvzc?t=8561","channel 3")</f>
        <v>channel 3</v>
      </c>
      <c r="I197" s="50" t="s">
        <v>861</v>
      </c>
    </row>
    <row r="198">
      <c r="B198" s="62" t="s">
        <v>434</v>
      </c>
      <c r="C198" s="45" t="s">
        <v>366</v>
      </c>
      <c r="D198" s="61" t="s">
        <v>3307</v>
      </c>
      <c r="E198" s="11" t="str">
        <f>HYPERLINK("https://youtu.be/ojew0NFG0Rk?t=8488","channel 4")</f>
        <v>channel 4</v>
      </c>
    </row>
    <row r="199">
      <c r="B199" s="96" t="s">
        <v>2752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3309</v>
      </c>
      <c r="C201" s="45" t="s">
        <v>196</v>
      </c>
      <c r="D201" s="62" t="s">
        <v>3310</v>
      </c>
      <c r="E201" s="11" t="str">
        <f>HYPERLINK("https://youtu.be/1X-4dvDOagQ","channel 3")</f>
        <v>channel 3</v>
      </c>
    </row>
    <row r="202">
      <c r="B202" s="62" t="s">
        <v>3147</v>
      </c>
      <c r="C202" s="45" t="s">
        <v>640</v>
      </c>
      <c r="D202" s="61" t="s">
        <v>3218</v>
      </c>
      <c r="E202" s="11" t="str">
        <f>HYPERLINK("https://youtu.be/Qc9vN77IYQU","channel 4")</f>
        <v>channel 4</v>
      </c>
    </row>
    <row r="203">
      <c r="B203" s="62" t="s">
        <v>1055</v>
      </c>
      <c r="C203" s="45" t="s">
        <v>20</v>
      </c>
      <c r="D203" s="62" t="s">
        <v>3309</v>
      </c>
      <c r="E203" s="11" t="str">
        <f>HYPERLINK("https://youtu.be/1X-4dvDOagQ?t=1097","channel 3")</f>
        <v>channel 3</v>
      </c>
    </row>
    <row r="204">
      <c r="B204" s="62" t="s">
        <v>3147</v>
      </c>
      <c r="C204" s="45" t="s">
        <v>279</v>
      </c>
      <c r="D204" s="62" t="s">
        <v>3310</v>
      </c>
      <c r="E204" s="11" t="str">
        <f>HYPERLINK("https://youtu.be/Qc9vN77IYQU?t=1057","channel 4")</f>
        <v>channel 4</v>
      </c>
    </row>
    <row r="205">
      <c r="B205" s="62" t="s">
        <v>1055</v>
      </c>
      <c r="C205" s="45" t="s">
        <v>366</v>
      </c>
      <c r="D205" s="61" t="s">
        <v>3218</v>
      </c>
      <c r="E205" s="11" t="str">
        <f>HYPERLINK("https://youtu.be/1X-4dvDOagQ?t=2054","channel 3")</f>
        <v>channel 3</v>
      </c>
    </row>
    <row r="206">
      <c r="B206" s="62" t="s">
        <v>3147</v>
      </c>
      <c r="C206" s="45" t="s">
        <v>41</v>
      </c>
      <c r="D206" s="62" t="s">
        <v>3309</v>
      </c>
      <c r="E206" s="11" t="str">
        <f>HYPERLINK("https://youtu.be/Qc9vN77IYQU?t=2037","channel 4")</f>
        <v>channel 4</v>
      </c>
      <c r="H206" s="50" t="s">
        <v>514</v>
      </c>
    </row>
    <row r="207">
      <c r="B207" s="62" t="s">
        <v>1055</v>
      </c>
      <c r="C207" s="45" t="s">
        <v>3311</v>
      </c>
      <c r="D207" s="62" t="s">
        <v>3310</v>
      </c>
      <c r="E207" s="11" t="str">
        <f>HYPERLINK("https://youtu.be/1X-4dvDOagQ?t=2995","channel 3")</f>
        <v>channel 3</v>
      </c>
    </row>
    <row r="208">
      <c r="B208" s="61" t="s">
        <v>3218</v>
      </c>
      <c r="C208" s="45" t="s">
        <v>298</v>
      </c>
      <c r="D208" s="62" t="s">
        <v>3309</v>
      </c>
      <c r="E208" s="11" t="str">
        <f>HYPERLINK("https://youtu.be/Qc9vN77IYQU?t=2956","channel 4")</f>
        <v>channel 4</v>
      </c>
    </row>
    <row r="209">
      <c r="B209" s="62" t="s">
        <v>1055</v>
      </c>
      <c r="C209" s="45" t="s">
        <v>3312</v>
      </c>
      <c r="D209" s="62" t="s">
        <v>3147</v>
      </c>
      <c r="E209" s="11" t="str">
        <f>HYPERLINK("https://youtu.be/1X-4dvDOagQ?t=3933","channel 3")</f>
        <v>channel 3</v>
      </c>
      <c r="F209" s="50" t="s">
        <v>861</v>
      </c>
    </row>
    <row r="210">
      <c r="B210" s="61" t="s">
        <v>3218</v>
      </c>
      <c r="C210" s="45" t="s">
        <v>2385</v>
      </c>
      <c r="D210" s="62" t="s">
        <v>3310</v>
      </c>
      <c r="E210" s="11" t="str">
        <f>HYPERLINK("https://youtu.be/Qc9vN77IYQU?t=3946","channel 4")</f>
        <v>channel 4</v>
      </c>
    </row>
    <row r="211">
      <c r="B211" s="62" t="s">
        <v>3310</v>
      </c>
      <c r="C211" s="45" t="s">
        <v>16</v>
      </c>
      <c r="D211" s="62" t="s">
        <v>3309</v>
      </c>
      <c r="E211" s="11" t="str">
        <f>HYPERLINK("https://youtu.be/1X-4dvDOagQ?t=4860","channel 3")</f>
        <v>channel 3</v>
      </c>
    </row>
    <row r="212">
      <c r="B212" s="61" t="s">
        <v>3218</v>
      </c>
      <c r="C212" s="45" t="s">
        <v>44</v>
      </c>
      <c r="D212" s="62" t="s">
        <v>3147</v>
      </c>
      <c r="E212" s="11" t="str">
        <f>HYPERLINK("https://youtu.be/Qc9vN77IYQU?t=4889","channel 4")</f>
        <v>channel 4</v>
      </c>
    </row>
    <row r="213">
      <c r="B213" s="62" t="s">
        <v>3309</v>
      </c>
      <c r="C213" s="45" t="s">
        <v>248</v>
      </c>
      <c r="D213" s="62" t="s">
        <v>1055</v>
      </c>
      <c r="E213" s="11" t="str">
        <f>HYPERLINK("https://youtu.be/1X-4dvDOagQ?t=5795","channel 3")</f>
        <v>channel 3</v>
      </c>
    </row>
    <row r="214">
      <c r="B214" s="62" t="s">
        <v>3310</v>
      </c>
      <c r="C214" s="45" t="s">
        <v>1255</v>
      </c>
      <c r="D214" s="62" t="s">
        <v>3147</v>
      </c>
      <c r="E214" s="11" t="str">
        <f>HYPERLINK("https://youtu.be/Qc9vN77IYQU?t=5784","channel 4")</f>
        <v>channel 4</v>
      </c>
    </row>
    <row r="215">
      <c r="B215" s="61" t="s">
        <v>3218</v>
      </c>
      <c r="C215" s="45" t="s">
        <v>477</v>
      </c>
      <c r="D215" s="62" t="s">
        <v>1055</v>
      </c>
      <c r="E215" s="11" t="str">
        <f>HYPERLINK("https://youtu.be/1X-4dvDOagQ?t=6703","channel 3")</f>
        <v>channel 3</v>
      </c>
    </row>
    <row r="216">
      <c r="B216" s="62" t="s">
        <v>3309</v>
      </c>
      <c r="C216" s="45" t="s">
        <v>7</v>
      </c>
      <c r="D216" s="62" t="s">
        <v>3147</v>
      </c>
      <c r="E216" s="11" t="str">
        <f>HYPERLINK("https://youtu.be/Qc9vN77IYQU?t=6715","channel 4")</f>
        <v>channel 4</v>
      </c>
    </row>
    <row r="217">
      <c r="B217" s="62" t="s">
        <v>3310</v>
      </c>
      <c r="C217" s="45" t="s">
        <v>38</v>
      </c>
      <c r="D217" s="62" t="s">
        <v>1055</v>
      </c>
      <c r="E217" s="11" t="str">
        <f>HYPERLINK("https://youtu.be/1X-4dvDOagQ?t=7624","channel 3")</f>
        <v>channel 3</v>
      </c>
    </row>
    <row r="218">
      <c r="B218" s="62" t="s">
        <v>3309</v>
      </c>
      <c r="C218" s="45" t="s">
        <v>185</v>
      </c>
      <c r="D218" s="61" t="s">
        <v>3218</v>
      </c>
      <c r="E218" s="11" t="str">
        <f>HYPERLINK("https://youtu.be/Qc9vN77IYQU?t=7667","channel 4")</f>
        <v>channel 4</v>
      </c>
    </row>
    <row r="219">
      <c r="B219" s="62" t="s">
        <v>3147</v>
      </c>
      <c r="C219" s="45" t="s">
        <v>381</v>
      </c>
      <c r="D219" s="62" t="s">
        <v>1055</v>
      </c>
      <c r="E219" s="11" t="str">
        <f>HYPERLINK("https://youtu.be/1X-4dvDOagQ?t=8545","channel 3")</f>
        <v>channel 3</v>
      </c>
    </row>
    <row r="220">
      <c r="B220" s="62" t="s">
        <v>3310</v>
      </c>
      <c r="C220" s="45" t="s">
        <v>620</v>
      </c>
      <c r="D220" s="61" t="s">
        <v>3218</v>
      </c>
      <c r="E220" s="11" t="str">
        <f>HYPERLINK("https://youtu.be/Qc9vN77IYQU?t=8565","channel 4")</f>
        <v>channel 4</v>
      </c>
    </row>
    <row r="221">
      <c r="B221" s="96" t="s">
        <v>2495</v>
      </c>
      <c r="C221" s="2"/>
      <c r="D221" s="3"/>
      <c r="E221" s="107"/>
    </row>
    <row r="222">
      <c r="B222" s="108" t="s">
        <v>2</v>
      </c>
      <c r="C222" s="109" t="s">
        <v>3</v>
      </c>
      <c r="D222" s="109" t="s">
        <v>4</v>
      </c>
      <c r="E222" s="109" t="s">
        <v>5</v>
      </c>
    </row>
    <row r="223">
      <c r="B223" s="62" t="s">
        <v>3313</v>
      </c>
      <c r="C223" s="45" t="s">
        <v>665</v>
      </c>
      <c r="D223" s="62" t="s">
        <v>1945</v>
      </c>
      <c r="E223" s="120" t="str">
        <f>HYPERLINK("https://youtu.be/PBdzs0lZtaw","channel 1")</f>
        <v>channel 1</v>
      </c>
    </row>
    <row r="224">
      <c r="B224" s="62" t="s">
        <v>3314</v>
      </c>
      <c r="C224" s="45" t="s">
        <v>181</v>
      </c>
      <c r="D224" s="61" t="s">
        <v>3315</v>
      </c>
      <c r="E224" s="120" t="str">
        <f>HYPERLINK("https://youtu.be/rQUVGJ87rNQ","channel 2")</f>
        <v>channel 2</v>
      </c>
    </row>
    <row r="225">
      <c r="B225" s="62" t="s">
        <v>1943</v>
      </c>
      <c r="C225" s="45" t="s">
        <v>203</v>
      </c>
      <c r="D225" s="62" t="s">
        <v>3313</v>
      </c>
      <c r="E225" s="120" t="str">
        <f>HYPERLINK("https://youtu.be/PBdzs0lZtaw?t=1050","channel 1")</f>
        <v>channel 1</v>
      </c>
    </row>
    <row r="226">
      <c r="B226" s="62" t="s">
        <v>3314</v>
      </c>
      <c r="C226" s="45" t="s">
        <v>344</v>
      </c>
      <c r="D226" s="62" t="s">
        <v>1945</v>
      </c>
      <c r="E226" s="120" t="str">
        <f>HYPERLINK("https://youtu.be/rQUVGJ87rNQ?t=1007","channel 2")</f>
        <v>channel 2</v>
      </c>
    </row>
    <row r="227">
      <c r="B227" s="62" t="s">
        <v>1943</v>
      </c>
      <c r="C227" s="45" t="s">
        <v>193</v>
      </c>
      <c r="D227" s="61" t="s">
        <v>3315</v>
      </c>
      <c r="E227" s="120" t="str">
        <f>HYPERLINK("https://youtu.be/PBdzs0lZtaw?t=2005","channel 1")</f>
        <v>channel 1</v>
      </c>
    </row>
    <row r="228">
      <c r="B228" s="62" t="s">
        <v>3314</v>
      </c>
      <c r="C228" s="45" t="s">
        <v>227</v>
      </c>
      <c r="D228" s="62" t="s">
        <v>3313</v>
      </c>
      <c r="E228" s="120" t="str">
        <f>HYPERLINK("https://youtu.be/rQUVGJ87rNQ?t=1947","channel 2")</f>
        <v>channel 2</v>
      </c>
    </row>
    <row r="229">
      <c r="B229" s="62" t="s">
        <v>1943</v>
      </c>
      <c r="C229" s="45" t="s">
        <v>220</v>
      </c>
      <c r="D229" s="62" t="s">
        <v>1945</v>
      </c>
      <c r="E229" s="120" t="str">
        <f>HYPERLINK("https://youtu.be/PBdzs0lZtaw?t=2933","channel 1")</f>
        <v>channel 1</v>
      </c>
    </row>
    <row r="230">
      <c r="B230" s="61" t="s">
        <v>3315</v>
      </c>
      <c r="C230" s="45" t="s">
        <v>220</v>
      </c>
      <c r="D230" s="62" t="s">
        <v>3313</v>
      </c>
      <c r="E230" s="120" t="str">
        <f>HYPERLINK("https://youtu.be/rQUVGJ87rNQ?t=2873","channel 2")</f>
        <v>channel 2</v>
      </c>
    </row>
    <row r="231">
      <c r="B231" s="62" t="s">
        <v>1943</v>
      </c>
      <c r="C231" s="45" t="s">
        <v>185</v>
      </c>
      <c r="D231" s="62" t="s">
        <v>3314</v>
      </c>
      <c r="E231" s="120" t="str">
        <f>HYPERLINK("https://youtu.be/PBdzs0lZtaw?t=3834","channel 1")</f>
        <v>channel 1</v>
      </c>
    </row>
    <row r="232">
      <c r="B232" s="61" t="s">
        <v>3315</v>
      </c>
      <c r="C232" s="45" t="s">
        <v>17</v>
      </c>
      <c r="D232" s="62" t="s">
        <v>1945</v>
      </c>
      <c r="E232" s="120" t="str">
        <f>HYPERLINK("https://youtu.be/rQUVGJ87rNQ?t=3796","channel 2")</f>
        <v>channel 2</v>
      </c>
    </row>
    <row r="233">
      <c r="B233" s="62" t="s">
        <v>1945</v>
      </c>
      <c r="C233" s="45" t="s">
        <v>164</v>
      </c>
      <c r="D233" s="62" t="s">
        <v>3313</v>
      </c>
      <c r="E233" s="120" t="str">
        <f>HYPERLINK("https://youtu.be/PBdzs0lZtaw?t=4830","channel 1")</f>
        <v>channel 1</v>
      </c>
    </row>
    <row r="234">
      <c r="B234" s="61" t="s">
        <v>3315</v>
      </c>
      <c r="C234" s="45" t="s">
        <v>39</v>
      </c>
      <c r="D234" s="62" t="s">
        <v>3314</v>
      </c>
      <c r="E234" s="120" t="str">
        <f>HYPERLINK("https://youtu.be/rQUVGJ87rNQ?t=4771","channel 2")</f>
        <v>channel 2</v>
      </c>
    </row>
    <row r="235">
      <c r="B235" s="62" t="s">
        <v>3313</v>
      </c>
      <c r="C235" s="45" t="s">
        <v>155</v>
      </c>
      <c r="D235" s="62" t="s">
        <v>1943</v>
      </c>
      <c r="E235" s="120" t="str">
        <f>HYPERLINK("https://youtu.be/PBdzs0lZtaw?t=5782","channel 1")</f>
        <v>channel 1</v>
      </c>
    </row>
    <row r="236">
      <c r="B236" s="62" t="s">
        <v>1945</v>
      </c>
      <c r="C236" s="45" t="s">
        <v>18</v>
      </c>
      <c r="D236" s="62" t="s">
        <v>3314</v>
      </c>
      <c r="E236" s="120" t="str">
        <f>HYPERLINK("https://youtu.be/rQUVGJ87rNQ?t=5700","channel 2")</f>
        <v>channel 2</v>
      </c>
    </row>
    <row r="237">
      <c r="B237" s="61" t="s">
        <v>3315</v>
      </c>
      <c r="C237" s="45" t="s">
        <v>41</v>
      </c>
      <c r="D237" s="62" t="s">
        <v>1943</v>
      </c>
      <c r="E237" s="120" t="str">
        <f>HYPERLINK("https://youtu.be/PBdzs0lZtaw?t=6682","channel 1")</f>
        <v>channel 1</v>
      </c>
    </row>
    <row r="238">
      <c r="B238" s="62" t="s">
        <v>3313</v>
      </c>
      <c r="C238" s="45" t="s">
        <v>302</v>
      </c>
      <c r="D238" s="62" t="s">
        <v>3314</v>
      </c>
      <c r="E238" s="120" t="str">
        <f>HYPERLINK("https://youtu.be/rQUVGJ87rNQ?t=6663","channel 2")</f>
        <v>channel 2</v>
      </c>
    </row>
    <row r="239">
      <c r="B239" s="62" t="s">
        <v>1945</v>
      </c>
      <c r="C239" s="45" t="s">
        <v>3316</v>
      </c>
      <c r="D239" s="62" t="s">
        <v>1943</v>
      </c>
      <c r="E239" s="120" t="str">
        <f>HYPERLINK("https://youtu.be/PBdzs0lZtaw?t=7606","channel 1")</f>
        <v>channel 1</v>
      </c>
    </row>
    <row r="240">
      <c r="B240" s="62" t="s">
        <v>3313</v>
      </c>
      <c r="C240" s="45" t="s">
        <v>302</v>
      </c>
      <c r="D240" s="61" t="s">
        <v>3315</v>
      </c>
      <c r="E240" s="120" t="str">
        <f>HYPERLINK("https://youtu.be/rQUVGJ87rNQ?t=7561","channel 2")</f>
        <v>channel 2</v>
      </c>
    </row>
    <row r="241">
      <c r="B241" s="62" t="s">
        <v>3314</v>
      </c>
      <c r="C241" s="45" t="s">
        <v>301</v>
      </c>
      <c r="D241" s="62" t="s">
        <v>1943</v>
      </c>
      <c r="E241" s="120" t="str">
        <f>HYPERLINK("https://youtu.be/PBdzs0lZtaw?t=8516","channel 1")</f>
        <v>channel 1</v>
      </c>
    </row>
    <row r="242">
      <c r="B242" s="62" t="s">
        <v>1945</v>
      </c>
      <c r="C242" s="45" t="s">
        <v>182</v>
      </c>
      <c r="D242" s="61" t="s">
        <v>3315</v>
      </c>
      <c r="E242" s="120" t="str">
        <f>HYPERLINK("https://youtu.be/rQUVGJ87rNQ?t=8502","channel 2")</f>
        <v>channel 2</v>
      </c>
    </row>
    <row r="243">
      <c r="B243" s="96" t="s">
        <v>2375</v>
      </c>
      <c r="C243" s="2"/>
      <c r="D243" s="3"/>
      <c r="E243" s="107"/>
    </row>
    <row r="244">
      <c r="B244" s="108" t="s">
        <v>2</v>
      </c>
      <c r="C244" s="109" t="s">
        <v>3</v>
      </c>
      <c r="D244" s="109" t="s">
        <v>4</v>
      </c>
      <c r="E244" s="109" t="s">
        <v>5</v>
      </c>
    </row>
    <row r="245">
      <c r="B245" s="62" t="s">
        <v>2501</v>
      </c>
      <c r="C245" s="45" t="s">
        <v>17</v>
      </c>
      <c r="D245" s="62" t="s">
        <v>3317</v>
      </c>
      <c r="E245" s="120" t="str">
        <f>HYPERLINK("https://youtu.be/fNh-ELeIQgA","channel 1")</f>
        <v>channel 1</v>
      </c>
    </row>
    <row r="246">
      <c r="B246" s="62" t="s">
        <v>3171</v>
      </c>
      <c r="C246" s="45" t="s">
        <v>173</v>
      </c>
      <c r="D246" s="61" t="s">
        <v>3318</v>
      </c>
      <c r="E246" s="120" t="str">
        <f>HYPERLINK("https://youtu.be/wKD88N1wdUk","channel 2")</f>
        <v>channel 2</v>
      </c>
    </row>
    <row r="247">
      <c r="B247" s="62" t="s">
        <v>2757</v>
      </c>
      <c r="C247" s="45" t="s">
        <v>185</v>
      </c>
      <c r="D247" s="62" t="s">
        <v>2501</v>
      </c>
      <c r="E247" s="120" t="str">
        <f>HYPERLINK("https://youtu.be/fNh-ELeIQgA?t=1135","channel 1")</f>
        <v>channel 1</v>
      </c>
    </row>
    <row r="248">
      <c r="B248" s="62" t="s">
        <v>3171</v>
      </c>
      <c r="C248" s="45" t="s">
        <v>162</v>
      </c>
      <c r="D248" s="62" t="s">
        <v>3317</v>
      </c>
      <c r="E248" s="120" t="str">
        <f>HYPERLINK("https://youtu.be/wKD88N1wdUk?t=974","channel 2")</f>
        <v>channel 2</v>
      </c>
    </row>
    <row r="249">
      <c r="B249" s="62" t="s">
        <v>2757</v>
      </c>
      <c r="C249" s="45" t="s">
        <v>20</v>
      </c>
      <c r="D249" s="61" t="s">
        <v>3318</v>
      </c>
      <c r="E249" s="120" t="str">
        <f>HYPERLINK("https://youtu.be/fNh-ELeIQgA?t=2066","channel 1")</f>
        <v>channel 1</v>
      </c>
    </row>
    <row r="250">
      <c r="B250" s="62" t="s">
        <v>3171</v>
      </c>
      <c r="C250" s="45" t="s">
        <v>352</v>
      </c>
      <c r="D250" s="62" t="s">
        <v>2501</v>
      </c>
      <c r="E250" s="120" t="str">
        <f>HYPERLINK("https://youtu.be/wKD88N1wdUk?t=1918","channel 2")</f>
        <v>channel 2</v>
      </c>
    </row>
    <row r="251">
      <c r="B251" s="62" t="s">
        <v>2757</v>
      </c>
      <c r="C251" s="45" t="s">
        <v>449</v>
      </c>
      <c r="D251" s="62" t="s">
        <v>3317</v>
      </c>
      <c r="E251" s="120" t="str">
        <f>HYPERLINK("https://youtu.be/fNh-ELeIQgA?t=2974","channel 1")</f>
        <v>channel 1</v>
      </c>
    </row>
    <row r="252">
      <c r="B252" s="61" t="s">
        <v>3318</v>
      </c>
      <c r="C252" s="45" t="s">
        <v>171</v>
      </c>
      <c r="D252" s="62" t="s">
        <v>2501</v>
      </c>
      <c r="E252" s="120" t="str">
        <f>HYPERLINK("https://youtu.be/wKD88N1wdUk?t=2898","channel 2")</f>
        <v>channel 2</v>
      </c>
    </row>
    <row r="253">
      <c r="B253" s="62" t="s">
        <v>2757</v>
      </c>
      <c r="C253" s="45" t="s">
        <v>524</v>
      </c>
      <c r="D253" s="62" t="s">
        <v>3171</v>
      </c>
      <c r="E253" s="120" t="str">
        <f>HYPERLINK("https://youtu.be/fNh-ELeIQgA?t=3923","channel 1")</f>
        <v>channel 1</v>
      </c>
    </row>
    <row r="254">
      <c r="B254" s="61" t="s">
        <v>3318</v>
      </c>
      <c r="C254" s="45" t="s">
        <v>164</v>
      </c>
      <c r="D254" s="62" t="s">
        <v>3317</v>
      </c>
      <c r="E254" s="120" t="str">
        <f>HYPERLINK("https://youtu.be/wKD88N1wdUk?t=3808","channel 2")</f>
        <v>channel 2</v>
      </c>
    </row>
    <row r="255">
      <c r="B255" s="62" t="s">
        <v>3317</v>
      </c>
      <c r="C255" s="45" t="s">
        <v>517</v>
      </c>
      <c r="D255" s="62" t="s">
        <v>2501</v>
      </c>
      <c r="E255" s="120" t="str">
        <f>HYPERLINK("https://youtu.be/fNh-ELeIQgA?t=4849","channel 1")</f>
        <v>channel 1</v>
      </c>
    </row>
    <row r="256">
      <c r="B256" s="61" t="s">
        <v>3318</v>
      </c>
      <c r="C256" s="45" t="s">
        <v>17</v>
      </c>
      <c r="D256" s="62" t="s">
        <v>3171</v>
      </c>
      <c r="E256" s="120" t="str">
        <f>HYPERLINK("https://youtu.be/wKD88N1wdUk?t=4746","channel 2")</f>
        <v>channel 2</v>
      </c>
    </row>
    <row r="257">
      <c r="B257" s="62" t="s">
        <v>2501</v>
      </c>
      <c r="C257" s="45" t="s">
        <v>14</v>
      </c>
      <c r="D257" s="62" t="s">
        <v>2757</v>
      </c>
      <c r="E257" s="120" t="str">
        <f>HYPERLINK("https://youtu.be/fNh-ELeIQgA?t=5788","channel 1")</f>
        <v>channel 1</v>
      </c>
    </row>
    <row r="258">
      <c r="B258" s="62" t="s">
        <v>3317</v>
      </c>
      <c r="C258" s="45" t="s">
        <v>311</v>
      </c>
      <c r="D258" s="62" t="s">
        <v>3171</v>
      </c>
      <c r="E258" s="120" t="str">
        <f>HYPERLINK("https://youtu.be/wKD88N1wdUk?t=5665","channel 2")</f>
        <v>channel 2</v>
      </c>
    </row>
    <row r="259">
      <c r="B259" s="61" t="s">
        <v>3318</v>
      </c>
      <c r="C259" s="45" t="s">
        <v>1120</v>
      </c>
      <c r="D259" s="62" t="s">
        <v>2757</v>
      </c>
      <c r="E259" s="120" t="str">
        <f>HYPERLINK("https://youtu.be/fNh-ELeIQgA?t=6799","channel 1")</f>
        <v>channel 1</v>
      </c>
    </row>
    <row r="260">
      <c r="B260" s="62" t="s">
        <v>2501</v>
      </c>
      <c r="C260" s="45" t="s">
        <v>744</v>
      </c>
      <c r="D260" s="62" t="s">
        <v>3171</v>
      </c>
      <c r="E260" s="120" t="str">
        <f>HYPERLINK("https://youtu.be/wKD88N1wdUk?t=6688","channel 2")</f>
        <v>channel 2</v>
      </c>
    </row>
    <row r="261">
      <c r="B261" s="62" t="s">
        <v>3317</v>
      </c>
      <c r="C261" s="45" t="s">
        <v>338</v>
      </c>
      <c r="D261" s="62" t="s">
        <v>2757</v>
      </c>
      <c r="E261" s="120" t="str">
        <f>HYPERLINK("https://youtu.be/fNh-ELeIQgA?t=7815","channel 1")</f>
        <v>channel 1</v>
      </c>
    </row>
    <row r="262">
      <c r="B262" s="62" t="s">
        <v>2501</v>
      </c>
      <c r="C262" s="45" t="s">
        <v>155</v>
      </c>
      <c r="D262" s="61" t="s">
        <v>3318</v>
      </c>
      <c r="E262" s="120" t="str">
        <f>HYPERLINK("https://youtu.be/wKD88N1wdUk?t=7699","channel 2")</f>
        <v>channel 2</v>
      </c>
    </row>
    <row r="263">
      <c r="B263" s="62" t="s">
        <v>3171</v>
      </c>
      <c r="C263" s="45" t="s">
        <v>203</v>
      </c>
      <c r="D263" s="62" t="s">
        <v>2757</v>
      </c>
      <c r="E263" s="120" t="str">
        <f>HYPERLINK("https://youtu.be/fNh-ELeIQgA?t=8801","channel 1")</f>
        <v>channel 1</v>
      </c>
    </row>
    <row r="264">
      <c r="B264" s="62" t="s">
        <v>3317</v>
      </c>
      <c r="C264" s="45" t="s">
        <v>181</v>
      </c>
      <c r="D264" s="61" t="s">
        <v>3318</v>
      </c>
      <c r="E264" s="120" t="str">
        <f>HYPERLINK("https://youtu.be/wKD88N1wdUk?t=8616","channel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3031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3319</v>
      </c>
      <c r="C3" s="45" t="s">
        <v>208</v>
      </c>
      <c r="D3" s="62" t="s">
        <v>3320</v>
      </c>
      <c r="E3" s="120" t="str">
        <f>HYPERLINK("https://youtu.be/4fSqPimBfzA","channel 1")</f>
        <v>channel 1</v>
      </c>
    </row>
    <row r="4">
      <c r="A4" s="90"/>
      <c r="B4" s="62" t="s">
        <v>2675</v>
      </c>
      <c r="C4" s="45" t="s">
        <v>517</v>
      </c>
      <c r="D4" s="61" t="s">
        <v>3321</v>
      </c>
      <c r="E4" s="120" t="str">
        <f>HYPERLINK("https://youtu.be/h1uqHiYcmoA","channel 2")</f>
        <v>channel 2</v>
      </c>
    </row>
    <row r="5">
      <c r="A5" s="90"/>
      <c r="B5" s="62" t="s">
        <v>3322</v>
      </c>
      <c r="C5" s="45" t="s">
        <v>209</v>
      </c>
      <c r="D5" s="62" t="s">
        <v>3319</v>
      </c>
      <c r="E5" s="120" t="str">
        <f>HYPERLINK("https://youtu.be/4fSqPimBfzA?t=1005","channel 1")</f>
        <v>channel 1</v>
      </c>
    </row>
    <row r="6">
      <c r="A6" s="90"/>
      <c r="B6" s="62" t="s">
        <v>2675</v>
      </c>
      <c r="C6" s="45" t="s">
        <v>549</v>
      </c>
      <c r="D6" s="62" t="s">
        <v>3320</v>
      </c>
      <c r="E6" s="120" t="str">
        <f>HYPERLINK("https://youtu.be/h1uqHiYcmoA?t=1046","channel 2")</f>
        <v>channel 2</v>
      </c>
    </row>
    <row r="7">
      <c r="A7" s="90"/>
      <c r="B7" s="62" t="s">
        <v>3322</v>
      </c>
      <c r="C7" s="45" t="s">
        <v>18</v>
      </c>
      <c r="D7" s="61" t="s">
        <v>3321</v>
      </c>
      <c r="E7" s="120" t="str">
        <f>HYPERLINK("https://youtu.be/4fSqPimBfzA?t=1908","channel 1")</f>
        <v>channel 1</v>
      </c>
    </row>
    <row r="8">
      <c r="A8" s="90"/>
      <c r="B8" s="62" t="s">
        <v>2675</v>
      </c>
      <c r="C8" s="45" t="s">
        <v>162</v>
      </c>
      <c r="D8" s="62" t="s">
        <v>3319</v>
      </c>
      <c r="E8" s="120" t="str">
        <f>HYPERLINK("https://youtu.be/h1uqHiYcmoA?t=2047","channel 2")</f>
        <v>channel 2</v>
      </c>
    </row>
    <row r="9">
      <c r="A9" s="90"/>
      <c r="B9" s="62" t="s">
        <v>3322</v>
      </c>
      <c r="C9" s="45" t="s">
        <v>268</v>
      </c>
      <c r="D9" s="62" t="s">
        <v>3320</v>
      </c>
      <c r="E9" s="120" t="str">
        <f>HYPERLINK("https://youtu.be/4fSqPimBfzA?t=2956","channel 1")</f>
        <v>channel 1</v>
      </c>
    </row>
    <row r="10">
      <c r="A10" s="90"/>
      <c r="B10" s="61" t="s">
        <v>3321</v>
      </c>
      <c r="C10" s="45" t="s">
        <v>292</v>
      </c>
      <c r="D10" s="62" t="s">
        <v>3319</v>
      </c>
      <c r="E10" s="120" t="str">
        <f>HYPERLINK("https://youtu.be/h1uqHiYcmoA?t=3005","channel 2")</f>
        <v>channel 2</v>
      </c>
    </row>
    <row r="11">
      <c r="A11" s="90"/>
      <c r="B11" s="62" t="s">
        <v>3322</v>
      </c>
      <c r="C11" s="45" t="s">
        <v>23</v>
      </c>
      <c r="D11" s="62" t="s">
        <v>2675</v>
      </c>
      <c r="E11" s="120" t="str">
        <f>HYPERLINK("https://youtu.be/4fSqPimBfzA?t=3955","channel 1")</f>
        <v>channel 1</v>
      </c>
    </row>
    <row r="12">
      <c r="A12" s="90"/>
      <c r="B12" s="61" t="s">
        <v>3321</v>
      </c>
      <c r="C12" s="45" t="s">
        <v>173</v>
      </c>
      <c r="D12" s="62" t="s">
        <v>3320</v>
      </c>
      <c r="E12" s="120" t="str">
        <f>HYPERLINK("https://youtu.be/h1uqHiYcmoA?t=4001","channel 2")</f>
        <v>channel 2</v>
      </c>
    </row>
    <row r="13">
      <c r="A13" s="90"/>
      <c r="B13" s="62" t="s">
        <v>3320</v>
      </c>
      <c r="C13" s="45" t="s">
        <v>42</v>
      </c>
      <c r="D13" s="62" t="s">
        <v>3319</v>
      </c>
      <c r="E13" s="120" t="str">
        <f>HYPERLINK("https://youtu.be/4fSqPimBfzA?t=4903","channel 1")</f>
        <v>channel 1</v>
      </c>
    </row>
    <row r="14">
      <c r="A14" s="90"/>
      <c r="B14" s="61" t="s">
        <v>3321</v>
      </c>
      <c r="C14" s="45" t="s">
        <v>38</v>
      </c>
      <c r="D14" s="62" t="s">
        <v>2675</v>
      </c>
      <c r="E14" s="120" t="str">
        <f>HYPERLINK("https://youtu.be/h1uqHiYcmoA?t=4961","channel 2")</f>
        <v>channel 2</v>
      </c>
    </row>
    <row r="15">
      <c r="A15" s="90"/>
      <c r="B15" s="62" t="s">
        <v>3319</v>
      </c>
      <c r="C15" s="45" t="s">
        <v>1015</v>
      </c>
      <c r="D15" s="62" t="s">
        <v>3322</v>
      </c>
      <c r="E15" s="120" t="str">
        <f>HYPERLINK("https://youtu.be/4fSqPimBfzA?t=5847","channel 1")</f>
        <v>channel 1</v>
      </c>
    </row>
    <row r="16">
      <c r="A16" s="90"/>
      <c r="B16" s="62" t="s">
        <v>3320</v>
      </c>
      <c r="C16" s="45" t="s">
        <v>7</v>
      </c>
      <c r="D16" s="62" t="s">
        <v>2675</v>
      </c>
      <c r="E16" s="120" t="str">
        <f>HYPERLINK("https://youtu.be/h1uqHiYcmoA?t=5889","channel 2")</f>
        <v>channel 2</v>
      </c>
    </row>
    <row r="17">
      <c r="A17" s="90"/>
      <c r="B17" s="61" t="s">
        <v>3321</v>
      </c>
      <c r="C17" s="45" t="s">
        <v>182</v>
      </c>
      <c r="D17" s="62" t="s">
        <v>3322</v>
      </c>
      <c r="E17" s="120" t="str">
        <f>HYPERLINK("https://youtu.be/4fSqPimBfzA?t=6796","channel 1")</f>
        <v>channel 1</v>
      </c>
    </row>
    <row r="18">
      <c r="A18" s="90"/>
      <c r="B18" s="62" t="s">
        <v>3319</v>
      </c>
      <c r="C18" s="45" t="s">
        <v>43</v>
      </c>
      <c r="D18" s="62" t="s">
        <v>2675</v>
      </c>
      <c r="E18" s="120" t="str">
        <f>HYPERLINK("https://youtu.be/h1uqHiYcmoA?t=6832","channel 2")</f>
        <v>channel 2</v>
      </c>
    </row>
    <row r="19">
      <c r="A19" s="90"/>
      <c r="B19" s="62" t="s">
        <v>3320</v>
      </c>
      <c r="C19" s="45" t="s">
        <v>292</v>
      </c>
      <c r="D19" s="62" t="s">
        <v>3322</v>
      </c>
      <c r="E19" s="120" t="str">
        <f>HYPERLINK("https://youtu.be/4fSqPimBfzA?t=7763","channel 1")</f>
        <v>channel 1</v>
      </c>
    </row>
    <row r="20">
      <c r="A20" s="90"/>
      <c r="B20" s="62" t="s">
        <v>3319</v>
      </c>
      <c r="C20" s="45" t="s">
        <v>302</v>
      </c>
      <c r="D20" s="61" t="s">
        <v>3321</v>
      </c>
      <c r="E20" s="120" t="str">
        <f>HYPERLINK("https://youtu.be/h1uqHiYcmoA?t=7783","channel 2")</f>
        <v>channel 2</v>
      </c>
    </row>
    <row r="21">
      <c r="A21" s="90"/>
      <c r="B21" s="62" t="s">
        <v>2675</v>
      </c>
      <c r="C21" s="45" t="s">
        <v>158</v>
      </c>
      <c r="D21" s="62" t="s">
        <v>3322</v>
      </c>
      <c r="E21" s="120" t="str">
        <f>HYPERLINK("https://youtu.be/4fSqPimBfzA?t=8674","channel 1")</f>
        <v>channel 1</v>
      </c>
    </row>
    <row r="22">
      <c r="A22" s="90"/>
      <c r="B22" s="62" t="s">
        <v>3320</v>
      </c>
      <c r="C22" s="45" t="s">
        <v>36</v>
      </c>
      <c r="D22" s="61" t="s">
        <v>3321</v>
      </c>
      <c r="E22" s="120" t="str">
        <f>HYPERLINK("https://youtu.be/h1uqHiYcmoA?t=8650","channel 2")</f>
        <v>channel 2</v>
      </c>
    </row>
    <row r="23">
      <c r="A23" s="90"/>
      <c r="B23" s="96" t="s">
        <v>2203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3323</v>
      </c>
      <c r="C25" s="45" t="s">
        <v>313</v>
      </c>
      <c r="D25" s="62" t="s">
        <v>3324</v>
      </c>
      <c r="E25" s="11" t="str">
        <f>HYPERLINK("https://youtu.be/xmwPqnxZJ4w","channel 1")</f>
        <v>channel 1</v>
      </c>
    </row>
    <row r="26">
      <c r="A26" s="90"/>
      <c r="B26" s="62" t="s">
        <v>1961</v>
      </c>
      <c r="C26" s="45" t="s">
        <v>17</v>
      </c>
      <c r="D26" s="61" t="s">
        <v>3325</v>
      </c>
      <c r="E26" s="11" t="str">
        <f>HYPERLINK("https://youtu.be/AN-kZHO-ERQ","channel 2")</f>
        <v>channel 2</v>
      </c>
    </row>
    <row r="27">
      <c r="A27" s="90"/>
      <c r="B27" s="62" t="s">
        <v>3326</v>
      </c>
      <c r="C27" s="45" t="s">
        <v>324</v>
      </c>
      <c r="D27" s="62" t="s">
        <v>3323</v>
      </c>
      <c r="E27" s="11" t="str">
        <f>HYPERLINK("https://youtu.be/xmwPqnxZJ4w?t=1005","channel 1")</f>
        <v>channel 1</v>
      </c>
    </row>
    <row r="28">
      <c r="A28" s="90"/>
      <c r="B28" s="62" t="s">
        <v>1961</v>
      </c>
      <c r="C28" s="45" t="s">
        <v>41</v>
      </c>
      <c r="D28" s="62" t="s">
        <v>3324</v>
      </c>
      <c r="E28" s="11" t="str">
        <f>HYPERLINK("https://youtu.be/AN-kZHO-ERQ?t=1107","channel 2")</f>
        <v>channel 2</v>
      </c>
    </row>
    <row r="29">
      <c r="A29" s="90"/>
      <c r="B29" s="62" t="s">
        <v>3326</v>
      </c>
      <c r="C29" s="45" t="s">
        <v>220</v>
      </c>
      <c r="D29" s="61" t="s">
        <v>3325</v>
      </c>
      <c r="E29" s="11" t="str">
        <f>HYPERLINK("https://youtu.be/xmwPqnxZJ4w?t=1955","channel 1")</f>
        <v>channel 1</v>
      </c>
    </row>
    <row r="30">
      <c r="A30" s="90"/>
      <c r="B30" s="62" t="s">
        <v>1961</v>
      </c>
      <c r="C30" s="45" t="s">
        <v>173</v>
      </c>
      <c r="D30" s="62" t="s">
        <v>3323</v>
      </c>
      <c r="E30" s="11" t="str">
        <f>HYPERLINK("https://youtu.be/AN-kZHO-ERQ?t=2060","channel 2")</f>
        <v>channel 2</v>
      </c>
    </row>
    <row r="31">
      <c r="A31" s="90"/>
      <c r="B31" s="62" t="s">
        <v>3326</v>
      </c>
      <c r="C31" s="45" t="s">
        <v>1277</v>
      </c>
      <c r="D31" s="62" t="s">
        <v>3324</v>
      </c>
      <c r="E31" s="11" t="str">
        <f>HYPERLINK("https://youtu.be/xmwPqnxZJ4w?t=2904","channel 1")</f>
        <v>channel 1</v>
      </c>
    </row>
    <row r="32">
      <c r="A32" s="90"/>
      <c r="B32" s="61" t="s">
        <v>3325</v>
      </c>
      <c r="C32" s="45" t="s">
        <v>1188</v>
      </c>
      <c r="D32" s="62" t="s">
        <v>3323</v>
      </c>
      <c r="E32" s="11" t="str">
        <f>HYPERLINK("https://youtu.be/AN-kZHO-ERQ?t=3032","channel 2")</f>
        <v>channel 2</v>
      </c>
    </row>
    <row r="33">
      <c r="A33" s="90"/>
      <c r="B33" s="62" t="s">
        <v>3326</v>
      </c>
      <c r="C33" s="45" t="s">
        <v>281</v>
      </c>
      <c r="D33" s="62" t="s">
        <v>1961</v>
      </c>
      <c r="E33" s="11" t="str">
        <f>HYPERLINK("https://youtu.be/xmwPqnxZJ4w?t=3871","channel 1")</f>
        <v>channel 1</v>
      </c>
    </row>
    <row r="34">
      <c r="A34" s="90"/>
      <c r="B34" s="61" t="s">
        <v>3325</v>
      </c>
      <c r="C34" s="45" t="s">
        <v>237</v>
      </c>
      <c r="D34" s="62" t="s">
        <v>3324</v>
      </c>
      <c r="E34" s="11" t="str">
        <f>HYPERLINK("https://youtu.be/AN-kZHO-ERQ?t=3975","channel 2")</f>
        <v>channel 2</v>
      </c>
    </row>
    <row r="35">
      <c r="A35" s="90"/>
      <c r="B35" s="62" t="s">
        <v>3324</v>
      </c>
      <c r="C35" s="45" t="s">
        <v>163</v>
      </c>
      <c r="D35" s="62" t="s">
        <v>3323</v>
      </c>
      <c r="E35" s="11" t="str">
        <f>HYPERLINK("https://youtu.be/xmwPqnxZJ4w?t=4800","channel 1")</f>
        <v>channel 1</v>
      </c>
    </row>
    <row r="36">
      <c r="A36" s="90"/>
      <c r="B36" s="61" t="s">
        <v>3325</v>
      </c>
      <c r="C36" s="45" t="s">
        <v>155</v>
      </c>
      <c r="D36" s="62" t="s">
        <v>1961</v>
      </c>
      <c r="E36" s="11" t="str">
        <f>HYPERLINK("https://youtu.be/AN-kZHO-ERQ?t=4882","channel 2")</f>
        <v>channel 2</v>
      </c>
    </row>
    <row r="37">
      <c r="A37" s="90"/>
      <c r="B37" s="62" t="s">
        <v>3323</v>
      </c>
      <c r="C37" s="45" t="s">
        <v>3327</v>
      </c>
      <c r="D37" s="62" t="s">
        <v>3326</v>
      </c>
      <c r="E37" s="11" t="str">
        <f>HYPERLINK("https://youtu.be/xmwPqnxZJ4w?t=5731","channel 1")</f>
        <v>channel 1</v>
      </c>
    </row>
    <row r="38">
      <c r="A38" s="90"/>
      <c r="B38" s="62" t="s">
        <v>3324</v>
      </c>
      <c r="C38" s="45" t="s">
        <v>570</v>
      </c>
      <c r="D38" s="62" t="s">
        <v>1961</v>
      </c>
      <c r="E38" s="11" t="str">
        <f>HYPERLINK("https://youtu.be/AN-kZHO-ERQ?t=5827","channel 2")</f>
        <v>channel 2</v>
      </c>
    </row>
    <row r="39">
      <c r="A39" s="90"/>
      <c r="B39" s="61" t="s">
        <v>3325</v>
      </c>
      <c r="C39" s="45" t="s">
        <v>380</v>
      </c>
      <c r="D39" s="62" t="s">
        <v>3326</v>
      </c>
      <c r="E39" s="11" t="str">
        <f>HYPERLINK("https://youtu.be/xmwPqnxZJ4w?t=6735","channel 1")</f>
        <v>channel 1</v>
      </c>
    </row>
    <row r="40">
      <c r="A40" s="90"/>
      <c r="B40" s="62" t="s">
        <v>3323</v>
      </c>
      <c r="C40" s="45" t="s">
        <v>177</v>
      </c>
      <c r="D40" s="62" t="s">
        <v>1961</v>
      </c>
      <c r="E40" s="11" t="str">
        <f>HYPERLINK("https://youtu.be/AN-kZHO-ERQ?t=6785","channel 2")</f>
        <v>channel 2</v>
      </c>
    </row>
    <row r="41">
      <c r="A41" s="90"/>
      <c r="B41" s="62" t="s">
        <v>3324</v>
      </c>
      <c r="C41" s="45" t="s">
        <v>210</v>
      </c>
      <c r="D41" s="62" t="s">
        <v>3326</v>
      </c>
      <c r="E41" s="11" t="str">
        <f>HYPERLINK("https://youtu.be/xmwPqnxZJ4w?t=7672","channel 1")</f>
        <v>channel 1</v>
      </c>
    </row>
    <row r="42">
      <c r="A42" s="90"/>
      <c r="B42" s="62" t="s">
        <v>3323</v>
      </c>
      <c r="C42" s="45" t="s">
        <v>3328</v>
      </c>
      <c r="D42" s="61" t="s">
        <v>3325</v>
      </c>
      <c r="E42" s="11" t="str">
        <f>HYPERLINK("https://youtu.be/AN-kZHO-ERQ?t=7761","channel 2")</f>
        <v>channel 2</v>
      </c>
    </row>
    <row r="43">
      <c r="A43" s="90"/>
      <c r="B43" s="62" t="s">
        <v>1961</v>
      </c>
      <c r="C43" s="45" t="s">
        <v>257</v>
      </c>
      <c r="D43" s="62" t="s">
        <v>3326</v>
      </c>
      <c r="E43" s="11" t="str">
        <f>HYPERLINK("https://youtu.be/xmwPqnxZJ4w?t=8607","channel 1")</f>
        <v>channel 1</v>
      </c>
    </row>
    <row r="44">
      <c r="A44" s="91"/>
      <c r="B44" s="62" t="s">
        <v>3324</v>
      </c>
      <c r="C44" s="45" t="s">
        <v>908</v>
      </c>
      <c r="D44" s="61" t="s">
        <v>3325</v>
      </c>
      <c r="E44" s="11" t="str">
        <f>HYPERLINK("https://youtu.be/AN-kZHO-ERQ?t=8630","channel 2")</f>
        <v>channel 2</v>
      </c>
    </row>
    <row r="45">
      <c r="B45" s="96" t="s">
        <v>2636</v>
      </c>
      <c r="C45" s="2"/>
      <c r="D45" s="3"/>
      <c r="E45" s="107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62" t="s">
        <v>3110</v>
      </c>
      <c r="C47" s="45" t="s">
        <v>193</v>
      </c>
      <c r="D47" s="62" t="s">
        <v>1017</v>
      </c>
      <c r="E47" s="120" t="str">
        <f>HYPERLINK("https://youtu.be/5vr-Xc-zW7w","channel 1")</f>
        <v>channel 1</v>
      </c>
    </row>
    <row r="48">
      <c r="B48" s="62" t="s">
        <v>3329</v>
      </c>
      <c r="C48" s="45" t="s">
        <v>41</v>
      </c>
      <c r="D48" s="61" t="s">
        <v>3330</v>
      </c>
      <c r="E48" s="120" t="str">
        <f>HYPERLINK("https://youtu.be/u8vtY3zb8U8","channel 2")</f>
        <v>channel 2</v>
      </c>
    </row>
    <row r="49">
      <c r="B49" s="62" t="s">
        <v>2954</v>
      </c>
      <c r="C49" s="45" t="s">
        <v>17</v>
      </c>
      <c r="D49" s="62" t="s">
        <v>3110</v>
      </c>
      <c r="E49" s="120" t="str">
        <f>HYPERLINK("https://youtu.be/5vr-Xc-zW7w?t=1016","channel 1")</f>
        <v>channel 1</v>
      </c>
    </row>
    <row r="50">
      <c r="B50" s="62" t="s">
        <v>3329</v>
      </c>
      <c r="C50" s="45" t="s">
        <v>38</v>
      </c>
      <c r="D50" s="62" t="s">
        <v>1017</v>
      </c>
      <c r="E50" s="120" t="str">
        <f>HYPERLINK("https://youtu.be/u8vtY3zb8U8?t=1062","channel 2")</f>
        <v>channel 2</v>
      </c>
    </row>
    <row r="51">
      <c r="B51" s="62" t="s">
        <v>2954</v>
      </c>
      <c r="C51" s="45" t="s">
        <v>208</v>
      </c>
      <c r="D51" s="61" t="s">
        <v>3330</v>
      </c>
      <c r="E51" s="120" t="str">
        <f>HYPERLINK("https://youtu.be/5vr-Xc-zW7w?t=1984","channel 1")</f>
        <v>channel 1</v>
      </c>
    </row>
    <row r="52">
      <c r="B52" s="62" t="s">
        <v>3329</v>
      </c>
      <c r="C52" s="45" t="s">
        <v>161</v>
      </c>
      <c r="D52" s="62" t="s">
        <v>3110</v>
      </c>
      <c r="E52" s="120" t="str">
        <f>HYPERLINK("https://youtu.be/u8vtY3zb8U8?t=2007","channel 2")</f>
        <v>channel 2</v>
      </c>
    </row>
    <row r="53">
      <c r="B53" s="62" t="s">
        <v>2954</v>
      </c>
      <c r="C53" s="45" t="s">
        <v>404</v>
      </c>
      <c r="D53" s="62" t="s">
        <v>1017</v>
      </c>
      <c r="E53" s="120" t="str">
        <f>HYPERLINK("https://youtu.be/5vr-Xc-zW7w?t=2923","channel 1")</f>
        <v>channel 1</v>
      </c>
    </row>
    <row r="54">
      <c r="B54" s="61" t="s">
        <v>3330</v>
      </c>
      <c r="C54" s="45" t="s">
        <v>185</v>
      </c>
      <c r="D54" s="62" t="s">
        <v>3110</v>
      </c>
      <c r="E54" s="120" t="str">
        <f>HYPERLINK("https://youtu.be/u8vtY3zb8U8?t=2949","channel 2")</f>
        <v>channel 2</v>
      </c>
    </row>
    <row r="55">
      <c r="B55" s="62" t="s">
        <v>2954</v>
      </c>
      <c r="C55" s="45" t="s">
        <v>271</v>
      </c>
      <c r="D55" s="62" t="s">
        <v>3329</v>
      </c>
      <c r="E55" s="120" t="str">
        <f>HYPERLINK("https://youtu.be/5vr-Xc-zW7w?t=3902","channel 1")</f>
        <v>channel 1</v>
      </c>
    </row>
    <row r="56">
      <c r="B56" s="61" t="s">
        <v>3330</v>
      </c>
      <c r="C56" s="45" t="s">
        <v>245</v>
      </c>
      <c r="D56" s="62" t="s">
        <v>1017</v>
      </c>
      <c r="E56" s="120" t="str">
        <f>HYPERLINK("https://youtu.be/u8vtY3zb8U8?t=3929","channel 2")</f>
        <v>channel 2</v>
      </c>
    </row>
    <row r="57">
      <c r="B57" s="62" t="s">
        <v>1017</v>
      </c>
      <c r="C57" s="45" t="s">
        <v>271</v>
      </c>
      <c r="D57" s="62" t="s">
        <v>3110</v>
      </c>
      <c r="E57" s="120" t="str">
        <f>HYPERLINK("https://youtu.be/5vr-Xc-zW7w?t=4889","channel 1")</f>
        <v>channel 1</v>
      </c>
    </row>
    <row r="58">
      <c r="B58" s="61" t="s">
        <v>3330</v>
      </c>
      <c r="C58" s="45" t="s">
        <v>38</v>
      </c>
      <c r="D58" s="62" t="s">
        <v>3329</v>
      </c>
      <c r="E58" s="120" t="str">
        <f>HYPERLINK("https://youtu.be/u8vtY3zb8U8?t=4919","channel 2")</f>
        <v>channel 2</v>
      </c>
    </row>
    <row r="59">
      <c r="B59" s="62" t="s">
        <v>3110</v>
      </c>
      <c r="C59" s="45" t="s">
        <v>675</v>
      </c>
      <c r="D59" s="62" t="s">
        <v>2954</v>
      </c>
      <c r="E59" s="120" t="str">
        <f>HYPERLINK("https://youtu.be/5vr-Xc-zW7w?t=5771","channel 1")</f>
        <v>channel 1</v>
      </c>
    </row>
    <row r="60">
      <c r="B60" s="62" t="s">
        <v>1017</v>
      </c>
      <c r="C60" s="45" t="s">
        <v>998</v>
      </c>
      <c r="D60" s="62" t="s">
        <v>3329</v>
      </c>
      <c r="E60" s="120" t="str">
        <f>HYPERLINK("https://youtu.be/u8vtY3zb8U8?t=5810","channel 2")</f>
        <v>channel 2</v>
      </c>
    </row>
    <row r="61">
      <c r="B61" s="61" t="s">
        <v>3330</v>
      </c>
      <c r="C61" s="45" t="s">
        <v>7</v>
      </c>
      <c r="D61" s="62" t="s">
        <v>2954</v>
      </c>
      <c r="E61" s="120" t="str">
        <f>HYPERLINK("https://youtu.be/5vr-Xc-zW7w?t=6761","channel 1")</f>
        <v>channel 1</v>
      </c>
    </row>
    <row r="62">
      <c r="B62" s="62" t="s">
        <v>3110</v>
      </c>
      <c r="C62" s="45" t="s">
        <v>18</v>
      </c>
      <c r="D62" s="62" t="s">
        <v>3329</v>
      </c>
      <c r="E62" s="120" t="str">
        <f>HYPERLINK("https://youtu.be/u8vtY3zb8U8?t=6791","channel 2")</f>
        <v>channel 2</v>
      </c>
    </row>
    <row r="63">
      <c r="B63" s="62" t="s">
        <v>1017</v>
      </c>
      <c r="C63" s="45" t="s">
        <v>18</v>
      </c>
      <c r="D63" s="62" t="s">
        <v>2954</v>
      </c>
      <c r="E63" s="120" t="str">
        <f>HYPERLINK("https://youtu.be/5vr-Xc-zW7w?t=7733","channel 1")</f>
        <v>channel 1</v>
      </c>
    </row>
    <row r="64">
      <c r="B64" s="62" t="s">
        <v>3110</v>
      </c>
      <c r="C64" s="45" t="s">
        <v>185</v>
      </c>
      <c r="D64" s="61" t="s">
        <v>3330</v>
      </c>
      <c r="E64" s="120" t="str">
        <f>HYPERLINK("https://youtu.be/u8vtY3zb8U8?t=7763","channel 2")</f>
        <v>channel 2</v>
      </c>
    </row>
    <row r="65">
      <c r="B65" s="62" t="s">
        <v>3329</v>
      </c>
      <c r="C65" s="45" t="s">
        <v>158</v>
      </c>
      <c r="D65" s="62" t="s">
        <v>2954</v>
      </c>
      <c r="E65" s="120" t="str">
        <f>HYPERLINK("https://youtu.be/5vr-Xc-zW7w?t=8673","channel 1")</f>
        <v>channel 1</v>
      </c>
    </row>
    <row r="66">
      <c r="B66" s="62" t="s">
        <v>1017</v>
      </c>
      <c r="C66" s="45" t="s">
        <v>3046</v>
      </c>
      <c r="D66" s="61" t="s">
        <v>3330</v>
      </c>
      <c r="E66" s="120" t="str">
        <f>HYPERLINK("https://youtu.be/u8vtY3zb8U8?t=8705","channel 2")</f>
        <v>channel 2</v>
      </c>
    </row>
    <row r="67">
      <c r="B67" s="96" t="s">
        <v>2335</v>
      </c>
      <c r="C67" s="2"/>
      <c r="D67" s="3"/>
      <c r="E67" s="107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62" t="s">
        <v>3331</v>
      </c>
      <c r="C69" s="45" t="s">
        <v>16</v>
      </c>
      <c r="D69" s="62" t="s">
        <v>1870</v>
      </c>
      <c r="E69" s="11" t="str">
        <f>HYPERLINK("https://youtu.be/CqX31wIeJaY","channel 1")</f>
        <v>channel 1</v>
      </c>
    </row>
    <row r="70">
      <c r="B70" s="62" t="s">
        <v>3332</v>
      </c>
      <c r="C70" s="45" t="s">
        <v>16</v>
      </c>
      <c r="D70" s="61" t="s">
        <v>3333</v>
      </c>
      <c r="E70" s="11" t="str">
        <f>HYPERLINK("https://youtu.be/H_7VaEaKJsQ","channel 2")</f>
        <v>channel 2</v>
      </c>
    </row>
    <row r="71">
      <c r="B71" s="62" t="s">
        <v>3334</v>
      </c>
      <c r="C71" s="45" t="s">
        <v>181</v>
      </c>
      <c r="D71" s="62" t="s">
        <v>3331</v>
      </c>
      <c r="E71" s="11" t="str">
        <f>HYPERLINK("https://youtu.be/CqX31wIeJaY?t=1036","channel 1")</f>
        <v>channel 1</v>
      </c>
    </row>
    <row r="72">
      <c r="B72" s="62" t="s">
        <v>3332</v>
      </c>
      <c r="C72" s="45" t="s">
        <v>194</v>
      </c>
      <c r="D72" s="62" t="s">
        <v>1870</v>
      </c>
      <c r="E72" s="11" t="str">
        <f>HYPERLINK("https://youtu.be/H_7VaEaKJsQ?t=1094","channel 2")</f>
        <v>channel 2</v>
      </c>
    </row>
    <row r="73">
      <c r="B73" s="62" t="s">
        <v>3334</v>
      </c>
      <c r="C73" s="45" t="s">
        <v>380</v>
      </c>
      <c r="D73" s="61" t="s">
        <v>3333</v>
      </c>
      <c r="E73" s="11" t="str">
        <f>HYPERLINK("https://youtu.be/CqX31wIeJaY?t=2100","channel 1")</f>
        <v>channel 1</v>
      </c>
    </row>
    <row r="74">
      <c r="B74" s="62" t="s">
        <v>3332</v>
      </c>
      <c r="C74" s="45" t="s">
        <v>17</v>
      </c>
      <c r="D74" s="62" t="s">
        <v>3331</v>
      </c>
      <c r="E74" s="11" t="str">
        <f>HYPERLINK("https://youtu.be/H_7VaEaKJsQ?t=2149","channel 2")</f>
        <v>channel 2</v>
      </c>
    </row>
    <row r="75">
      <c r="B75" s="62" t="s">
        <v>3334</v>
      </c>
      <c r="C75" s="45" t="s">
        <v>176</v>
      </c>
      <c r="D75" s="62" t="s">
        <v>1870</v>
      </c>
      <c r="E75" s="11" t="str">
        <f>HYPERLINK("https://youtu.be/CqX31wIeJaY?t=3082","channel 1")</f>
        <v>channel 1</v>
      </c>
    </row>
    <row r="76">
      <c r="B76" s="61" t="s">
        <v>3333</v>
      </c>
      <c r="C76" s="45" t="s">
        <v>182</v>
      </c>
      <c r="D76" s="62" t="s">
        <v>3331</v>
      </c>
      <c r="E76" s="11" t="str">
        <f>HYPERLINK("https://youtu.be/H_7VaEaKJsQ?t=3100","channel 2")</f>
        <v>channel 2</v>
      </c>
    </row>
    <row r="77">
      <c r="B77" s="62" t="s">
        <v>3334</v>
      </c>
      <c r="C77" s="45" t="s">
        <v>17</v>
      </c>
      <c r="D77" s="62" t="s">
        <v>3332</v>
      </c>
      <c r="E77" s="11" t="str">
        <f>HYPERLINK("https://youtu.be/CqX31wIeJaY?t=4010","channel 1")</f>
        <v>channel 1</v>
      </c>
    </row>
    <row r="78">
      <c r="B78" s="61" t="s">
        <v>3333</v>
      </c>
      <c r="C78" s="45" t="s">
        <v>184</v>
      </c>
      <c r="D78" s="62" t="s">
        <v>1870</v>
      </c>
      <c r="E78" s="11" t="str">
        <f>HYPERLINK("https://youtu.be/H_7VaEaKJsQ?t=4046","channel 2")</f>
        <v>channel 2</v>
      </c>
    </row>
    <row r="79">
      <c r="B79" s="62" t="s">
        <v>1870</v>
      </c>
      <c r="C79" s="45" t="s">
        <v>185</v>
      </c>
      <c r="D79" s="62" t="s">
        <v>3331</v>
      </c>
      <c r="E79" s="11" t="str">
        <f>HYPERLINK("https://youtu.be/CqX31wIeJaY?t=4974","channel 1")</f>
        <v>channel 1</v>
      </c>
    </row>
    <row r="80">
      <c r="B80" s="61" t="s">
        <v>3333</v>
      </c>
      <c r="C80" s="45" t="s">
        <v>27</v>
      </c>
      <c r="D80" s="62" t="s">
        <v>3332</v>
      </c>
      <c r="E80" s="11" t="str">
        <f>HYPERLINK("https://youtu.be/H_7VaEaKJsQ?t=4974","channel 2")</f>
        <v>channel 2</v>
      </c>
    </row>
    <row r="81">
      <c r="B81" s="62" t="s">
        <v>3331</v>
      </c>
      <c r="C81" s="45" t="s">
        <v>18</v>
      </c>
      <c r="D81" s="62" t="s">
        <v>3334</v>
      </c>
      <c r="E81" s="11" t="str">
        <f>HYPERLINK("https://youtu.be/CqX31wIeJaY?t=5883","channel 1")</f>
        <v>channel 1</v>
      </c>
    </row>
    <row r="82">
      <c r="B82" s="62" t="s">
        <v>1870</v>
      </c>
      <c r="C82" s="45" t="s">
        <v>3335</v>
      </c>
      <c r="D82" s="62" t="s">
        <v>3332</v>
      </c>
      <c r="E82" s="11" t="str">
        <f>HYPERLINK("https://youtu.be/H_7VaEaKJsQ?t=5870","channel 2")</f>
        <v>channel 2</v>
      </c>
    </row>
    <row r="83">
      <c r="B83" s="61" t="s">
        <v>3333</v>
      </c>
      <c r="C83" s="45" t="s">
        <v>708</v>
      </c>
      <c r="D83" s="62" t="s">
        <v>3334</v>
      </c>
      <c r="E83" s="11" t="str">
        <f>HYPERLINK("https://youtu.be/CqX31wIeJaY?t=6828","channel 1")</f>
        <v>channel 1</v>
      </c>
    </row>
    <row r="84">
      <c r="B84" s="62" t="s">
        <v>3331</v>
      </c>
      <c r="C84" s="45" t="s">
        <v>189</v>
      </c>
      <c r="D84" s="62" t="s">
        <v>3332</v>
      </c>
      <c r="E84" s="11" t="str">
        <f>HYPERLINK("https://youtu.be/H_7VaEaKJsQ?t=6855","channel 2")</f>
        <v>channel 2</v>
      </c>
    </row>
    <row r="85">
      <c r="B85" s="62" t="s">
        <v>1870</v>
      </c>
      <c r="C85" s="45" t="s">
        <v>251</v>
      </c>
      <c r="D85" s="62" t="s">
        <v>3334</v>
      </c>
      <c r="E85" s="11" t="str">
        <f>HYPERLINK("https://youtu.be/CqX31wIeJaY?t=7844","channel 1")</f>
        <v>channel 1</v>
      </c>
    </row>
    <row r="86">
      <c r="B86" s="62" t="s">
        <v>3331</v>
      </c>
      <c r="C86" s="45" t="s">
        <v>231</v>
      </c>
      <c r="D86" s="61" t="s">
        <v>3333</v>
      </c>
      <c r="E86" s="11" t="str">
        <f>HYPERLINK("https://youtu.be/H_7VaEaKJsQ?t=7779","channel 2")</f>
        <v>channel 2</v>
      </c>
    </row>
    <row r="87">
      <c r="B87" s="62" t="s">
        <v>3332</v>
      </c>
      <c r="C87" s="45" t="s">
        <v>574</v>
      </c>
      <c r="D87" s="62" t="s">
        <v>3334</v>
      </c>
      <c r="E87" s="11" t="str">
        <f>HYPERLINK("https://youtu.be/CqX31wIeJaY?t=8834","channel 1")</f>
        <v>channel 1</v>
      </c>
    </row>
    <row r="88">
      <c r="B88" s="62" t="s">
        <v>1870</v>
      </c>
      <c r="C88" s="45" t="s">
        <v>185</v>
      </c>
      <c r="D88" s="61" t="s">
        <v>3333</v>
      </c>
      <c r="E88" s="11" t="str">
        <f>HYPERLINK("https://youtu.be/H_7VaEaKJsQ?t=8859","channel 2")</f>
        <v>channel 2</v>
      </c>
    </row>
    <row r="89">
      <c r="B89" s="96" t="s">
        <v>3293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3204</v>
      </c>
      <c r="C91" s="45" t="s">
        <v>181</v>
      </c>
      <c r="D91" s="62" t="s">
        <v>3336</v>
      </c>
      <c r="E91" s="11" t="str">
        <f>HYPERLINK("https://youtu.be/MrLnMq8T6Ag","channel 3")</f>
        <v>channel 3</v>
      </c>
    </row>
    <row r="92">
      <c r="B92" s="62" t="s">
        <v>3137</v>
      </c>
      <c r="C92" s="45" t="s">
        <v>24</v>
      </c>
      <c r="D92" s="61" t="s">
        <v>2969</v>
      </c>
      <c r="E92" s="11" t="str">
        <f>HYPERLINK("https://youtu.be/Wz8zJO8Sncw","channel 4")</f>
        <v>channel 4</v>
      </c>
    </row>
    <row r="93">
      <c r="B93" s="62" t="s">
        <v>617</v>
      </c>
      <c r="C93" s="45" t="s">
        <v>301</v>
      </c>
      <c r="D93" s="62" t="s">
        <v>3204</v>
      </c>
      <c r="E93" s="11" t="str">
        <f>HYPERLINK("https://youtu.be/MrLnMq8T6Ag?t=967","channel 3")</f>
        <v>channel 3</v>
      </c>
    </row>
    <row r="94">
      <c r="B94" s="62" t="s">
        <v>3137</v>
      </c>
      <c r="C94" s="45" t="s">
        <v>210</v>
      </c>
      <c r="D94" s="62" t="s">
        <v>3336</v>
      </c>
      <c r="E94" s="11" t="str">
        <f>HYPERLINK("https://youtu.be/Wz8zJO8Sncw?t=981","channel 4")</f>
        <v>channel 4</v>
      </c>
    </row>
    <row r="95">
      <c r="B95" s="62" t="s">
        <v>617</v>
      </c>
      <c r="C95" s="45" t="s">
        <v>197</v>
      </c>
      <c r="D95" s="61" t="s">
        <v>2969</v>
      </c>
      <c r="E95" s="11" t="str">
        <f>HYPERLINK("https://youtu.be/MrLnMq8T6Ag?t=1863","channel 3")</f>
        <v>channel 3</v>
      </c>
    </row>
    <row r="96">
      <c r="B96" s="62" t="s">
        <v>3137</v>
      </c>
      <c r="C96" s="45" t="s">
        <v>195</v>
      </c>
      <c r="D96" s="62" t="s">
        <v>3204</v>
      </c>
      <c r="E96" s="11" t="str">
        <f>HYPERLINK("https://youtu.be/Wz8zJO8Sncw?t=1903","channel 4")</f>
        <v>channel 4</v>
      </c>
    </row>
    <row r="97">
      <c r="B97" s="62" t="s">
        <v>617</v>
      </c>
      <c r="C97" s="45" t="s">
        <v>225</v>
      </c>
      <c r="D97" s="62" t="s">
        <v>3336</v>
      </c>
      <c r="E97" s="11" t="str">
        <f>HYPERLINK("https://youtu.be/MrLnMq8T6Ag?t=2773","channel 3")</f>
        <v>channel 3</v>
      </c>
    </row>
    <row r="98">
      <c r="B98" s="61" t="s">
        <v>2969</v>
      </c>
      <c r="C98" s="45" t="s">
        <v>11</v>
      </c>
      <c r="D98" s="62" t="s">
        <v>3204</v>
      </c>
      <c r="E98" s="11" t="str">
        <f>HYPERLINK("https://youtu.be/Wz8zJO8Sncw?t=2810","channel 4")</f>
        <v>channel 4</v>
      </c>
    </row>
    <row r="99">
      <c r="B99" s="62" t="s">
        <v>617</v>
      </c>
      <c r="C99" s="45" t="s">
        <v>209</v>
      </c>
      <c r="D99" s="62" t="s">
        <v>3137</v>
      </c>
      <c r="E99" s="11" t="str">
        <f>HYPERLINK("https://youtu.be/MrLnMq8T6Ag?t=3697","channel 3")</f>
        <v>channel 3</v>
      </c>
    </row>
    <row r="100">
      <c r="B100" s="61" t="s">
        <v>2969</v>
      </c>
      <c r="C100" s="45" t="s">
        <v>408</v>
      </c>
      <c r="D100" s="62" t="s">
        <v>3336</v>
      </c>
      <c r="E100" s="11" t="str">
        <f>HYPERLINK("https://youtu.be/Wz8zJO8Sncw?t=3762","channel 4")</f>
        <v>channel 4</v>
      </c>
    </row>
    <row r="101">
      <c r="B101" s="62" t="s">
        <v>3336</v>
      </c>
      <c r="C101" s="45" t="s">
        <v>185</v>
      </c>
      <c r="D101" s="62" t="s">
        <v>3204</v>
      </c>
      <c r="E101" s="11" t="str">
        <f>HYPERLINK("https://youtu.be/MrLnMq8T6Ag?t=4642","channel 3")</f>
        <v>channel 3</v>
      </c>
    </row>
    <row r="102">
      <c r="B102" s="61" t="s">
        <v>2969</v>
      </c>
      <c r="C102" s="45" t="s">
        <v>205</v>
      </c>
      <c r="D102" s="62" t="s">
        <v>3137</v>
      </c>
      <c r="E102" s="11" t="str">
        <f>HYPERLINK("https://youtu.be/Wz8zJO8Sncw?t=4749","channel 4")</f>
        <v>channel 4</v>
      </c>
    </row>
    <row r="103">
      <c r="B103" s="62" t="s">
        <v>3204</v>
      </c>
      <c r="C103" s="45" t="s">
        <v>184</v>
      </c>
      <c r="D103" s="62" t="s">
        <v>617</v>
      </c>
      <c r="E103" s="11" t="str">
        <f>HYPERLINK("https://youtu.be/MrLnMq8T6Ag?t=5616","channel 3")</f>
        <v>channel 3</v>
      </c>
    </row>
    <row r="104">
      <c r="B104" s="62" t="s">
        <v>3336</v>
      </c>
      <c r="C104" s="45" t="s">
        <v>570</v>
      </c>
      <c r="D104" s="62" t="s">
        <v>3137</v>
      </c>
      <c r="E104" s="11" t="str">
        <f>HYPERLINK("https://youtu.be/Wz8zJO8Sncw?t=5750","channel 4")</f>
        <v>channel 4</v>
      </c>
    </row>
    <row r="105">
      <c r="B105" s="61" t="s">
        <v>2969</v>
      </c>
      <c r="C105" s="45" t="s">
        <v>2370</v>
      </c>
      <c r="D105" s="62" t="s">
        <v>617</v>
      </c>
      <c r="E105" s="11" t="str">
        <f>HYPERLINK("https://youtu.be/MrLnMq8T6Ag?t=6674","channel 3")</f>
        <v>channel 3</v>
      </c>
    </row>
    <row r="106">
      <c r="B106" s="62" t="s">
        <v>3204</v>
      </c>
      <c r="C106" s="45" t="s">
        <v>336</v>
      </c>
      <c r="D106" s="62" t="s">
        <v>3137</v>
      </c>
      <c r="E106" s="11" t="str">
        <f>HYPERLINK("https://youtu.be/Wz8zJO8Sncw?t=6638","channel 4")</f>
        <v>channel 4</v>
      </c>
    </row>
    <row r="107">
      <c r="B107" s="62" t="s">
        <v>3336</v>
      </c>
      <c r="C107" s="45" t="s">
        <v>187</v>
      </c>
      <c r="D107" s="62" t="s">
        <v>617</v>
      </c>
      <c r="E107" s="11" t="str">
        <f>HYPERLINK("https://youtu.be/MrLnMq8T6Ag?t=7634","channel 3")</f>
        <v>channel 3</v>
      </c>
    </row>
    <row r="108">
      <c r="B108" s="62" t="s">
        <v>3204</v>
      </c>
      <c r="C108" s="45" t="s">
        <v>41</v>
      </c>
      <c r="D108" s="61" t="s">
        <v>2969</v>
      </c>
      <c r="E108" s="11" t="str">
        <f>HYPERLINK("https://youtu.be/Wz8zJO8Sncw?t=7609","channel 4")</f>
        <v>channel 4</v>
      </c>
    </row>
    <row r="109">
      <c r="B109" s="62" t="s">
        <v>3137</v>
      </c>
      <c r="C109" s="45" t="s">
        <v>574</v>
      </c>
      <c r="D109" s="62" t="s">
        <v>617</v>
      </c>
      <c r="E109" s="11" t="str">
        <f>HYPERLINK("https://youtu.be/MrLnMq8T6Ag?t=8528","channel 3")</f>
        <v>channel 3</v>
      </c>
    </row>
    <row r="110">
      <c r="B110" s="62" t="s">
        <v>3336</v>
      </c>
      <c r="C110" s="45" t="s">
        <v>531</v>
      </c>
      <c r="D110" s="61" t="s">
        <v>2969</v>
      </c>
      <c r="E110" s="11" t="str">
        <f>HYPERLINK("https://youtu.be/Wz8zJO8Sncw?t=8520","channel 4")</f>
        <v>channel 4</v>
      </c>
    </row>
    <row r="111">
      <c r="B111" s="96" t="s">
        <v>2741</v>
      </c>
      <c r="C111" s="2"/>
      <c r="D111" s="3"/>
      <c r="E111" s="5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3337</v>
      </c>
      <c r="C113" s="45" t="s">
        <v>23</v>
      </c>
      <c r="D113" s="62" t="s">
        <v>1099</v>
      </c>
      <c r="E113" s="11" t="str">
        <f>HYPERLINK("https://youtu.be/1lrqo30ZOJ4","channel 3")</f>
        <v>channel 3</v>
      </c>
    </row>
    <row r="114">
      <c r="B114" s="62" t="s">
        <v>1176</v>
      </c>
      <c r="C114" s="45" t="s">
        <v>233</v>
      </c>
      <c r="D114" s="61" t="s">
        <v>3338</v>
      </c>
      <c r="E114" s="11" t="str">
        <f>HYPERLINK("https://youtu.be/xjlKvsf0uVg","channel 4")</f>
        <v>channel 4</v>
      </c>
    </row>
    <row r="115">
      <c r="B115" s="62" t="s">
        <v>667</v>
      </c>
      <c r="C115" s="45" t="s">
        <v>375</v>
      </c>
      <c r="D115" s="62" t="s">
        <v>3337</v>
      </c>
      <c r="E115" s="11" t="str">
        <f>HYPERLINK("https://youtu.be/1lrqo30ZOJ4?t=1034","channel 3")</f>
        <v>channel 3</v>
      </c>
    </row>
    <row r="116">
      <c r="B116" s="62" t="s">
        <v>1176</v>
      </c>
      <c r="C116" s="45" t="s">
        <v>311</v>
      </c>
      <c r="D116" s="62" t="s">
        <v>1099</v>
      </c>
      <c r="E116" s="11" t="str">
        <f>HYPERLINK("https://youtu.be/xjlKvsf0uVg?t=974","channel 4")</f>
        <v>channel 4</v>
      </c>
    </row>
    <row r="117">
      <c r="B117" s="62" t="s">
        <v>667</v>
      </c>
      <c r="C117" s="45" t="s">
        <v>225</v>
      </c>
      <c r="D117" s="61" t="s">
        <v>3338</v>
      </c>
      <c r="E117" s="11" t="str">
        <f>HYPERLINK("https://youtu.be/1lrqo30ZOJ4?t=2011","channel 3")</f>
        <v>channel 3</v>
      </c>
    </row>
    <row r="118">
      <c r="B118" s="62" t="s">
        <v>1176</v>
      </c>
      <c r="C118" s="45" t="s">
        <v>1973</v>
      </c>
      <c r="D118" s="62" t="s">
        <v>3337</v>
      </c>
      <c r="E118" s="11" t="str">
        <f>HYPERLINK("https://youtu.be/xjlKvsf0uVg?t=1924","channel 4")</f>
        <v>channel 4</v>
      </c>
    </row>
    <row r="119">
      <c r="B119" s="62" t="s">
        <v>667</v>
      </c>
      <c r="C119" s="45" t="s">
        <v>1846</v>
      </c>
      <c r="D119" s="62" t="s">
        <v>1099</v>
      </c>
      <c r="E119" s="11" t="str">
        <f>HYPERLINK("https://youtu.be/1lrqo30ZOJ4?t=2864","channel 3")</f>
        <v>channel 3</v>
      </c>
    </row>
    <row r="120">
      <c r="B120" s="61" t="s">
        <v>3338</v>
      </c>
      <c r="C120" s="45" t="s">
        <v>524</v>
      </c>
      <c r="D120" s="62" t="s">
        <v>3337</v>
      </c>
      <c r="E120" s="11" t="str">
        <f>HYPERLINK("https://youtu.be/xjlKvsf0uVg?t=2883","channel 4")</f>
        <v>channel 4</v>
      </c>
    </row>
    <row r="121">
      <c r="B121" s="62" t="s">
        <v>667</v>
      </c>
      <c r="C121" s="45" t="s">
        <v>750</v>
      </c>
      <c r="D121" s="62" t="s">
        <v>1176</v>
      </c>
      <c r="E121" s="11" t="str">
        <f>HYPERLINK("https://youtu.be/1lrqo30ZOJ4?t=3809","channel 3")</f>
        <v>channel 3</v>
      </c>
    </row>
    <row r="122">
      <c r="B122" s="61" t="s">
        <v>3338</v>
      </c>
      <c r="C122" s="45" t="s">
        <v>155</v>
      </c>
      <c r="D122" s="62" t="s">
        <v>1099</v>
      </c>
      <c r="E122" s="11" t="str">
        <f>HYPERLINK("https://youtu.be/xjlKvsf0uVg?t=3808","channel 4")</f>
        <v>channel 4</v>
      </c>
    </row>
    <row r="123">
      <c r="B123" s="62" t="s">
        <v>1099</v>
      </c>
      <c r="C123" s="45" t="s">
        <v>281</v>
      </c>
      <c r="D123" s="62" t="s">
        <v>3337</v>
      </c>
      <c r="E123" s="11" t="str">
        <f>HYPERLINK("https://youtu.be/1lrqo30ZOJ4?t=4751","channel 3")</f>
        <v>channel 3</v>
      </c>
    </row>
    <row r="124">
      <c r="B124" s="61" t="s">
        <v>3338</v>
      </c>
      <c r="C124" s="45" t="s">
        <v>173</v>
      </c>
      <c r="D124" s="62" t="s">
        <v>1176</v>
      </c>
      <c r="E124" s="11" t="str">
        <f>HYPERLINK("https://youtu.be/xjlKvsf0uVg?t=4938","channel 4")</f>
        <v>channel 4</v>
      </c>
    </row>
    <row r="125">
      <c r="B125" s="62" t="s">
        <v>3337</v>
      </c>
      <c r="C125" s="45" t="s">
        <v>466</v>
      </c>
      <c r="D125" s="62" t="s">
        <v>667</v>
      </c>
      <c r="E125" s="11" t="str">
        <f>HYPERLINK("https://youtu.be/1lrqo30ZOJ4?t=5739","channel 3")</f>
        <v>channel 3</v>
      </c>
    </row>
    <row r="126">
      <c r="B126" s="62" t="s">
        <v>1099</v>
      </c>
      <c r="C126" s="45" t="s">
        <v>185</v>
      </c>
      <c r="D126" s="62" t="s">
        <v>1176</v>
      </c>
      <c r="E126" s="11" t="str">
        <f>HYPERLINK("https://youtu.be/xjlKvsf0uVg?t=5923","channel 4")</f>
        <v>channel 4</v>
      </c>
    </row>
    <row r="127">
      <c r="B127" s="61" t="s">
        <v>3338</v>
      </c>
      <c r="C127" s="115" t="s">
        <v>394</v>
      </c>
      <c r="D127" s="62" t="s">
        <v>667</v>
      </c>
      <c r="E127" s="11" t="str">
        <f>HYPERLINK("https://youtu.be/1lrqo30ZOJ4?t=6762","channel 3")</f>
        <v>channel 3</v>
      </c>
    </row>
    <row r="128">
      <c r="B128" s="62" t="s">
        <v>3337</v>
      </c>
      <c r="C128" s="45" t="s">
        <v>433</v>
      </c>
      <c r="D128" s="62" t="s">
        <v>1176</v>
      </c>
      <c r="E128" s="11" t="str">
        <f>HYPERLINK("https://youtu.be/xjlKvsf0uVg?t=6782","channel 4")</f>
        <v>channel 4</v>
      </c>
    </row>
    <row r="129">
      <c r="B129" s="62" t="s">
        <v>1099</v>
      </c>
      <c r="C129" s="45" t="s">
        <v>193</v>
      </c>
      <c r="D129" s="62" t="s">
        <v>667</v>
      </c>
      <c r="E129" s="11" t="str">
        <f>HYPERLINK("https://youtu.be/1lrqo30ZOJ4?t=7691","channel 3")</f>
        <v>channel 3</v>
      </c>
    </row>
    <row r="130">
      <c r="B130" s="62" t="s">
        <v>3337</v>
      </c>
      <c r="C130" s="45" t="s">
        <v>432</v>
      </c>
      <c r="D130" s="61" t="s">
        <v>3338</v>
      </c>
      <c r="E130" s="11" t="str">
        <f>HYPERLINK("https://youtu.be/xjlKvsf0uVg?t=7746","channel 4")</f>
        <v>channel 4</v>
      </c>
    </row>
    <row r="131">
      <c r="B131" s="62" t="s">
        <v>1176</v>
      </c>
      <c r="C131" s="45" t="s">
        <v>218</v>
      </c>
      <c r="D131" s="62" t="s">
        <v>667</v>
      </c>
      <c r="E131" s="11" t="str">
        <f>HYPERLINK("https://youtu.be/1lrqo30ZOJ4?t=8599","channel 3")</f>
        <v>channel 3</v>
      </c>
    </row>
    <row r="132">
      <c r="B132" s="62" t="s">
        <v>1099</v>
      </c>
      <c r="C132" s="45" t="s">
        <v>525</v>
      </c>
      <c r="D132" s="61" t="s">
        <v>3338</v>
      </c>
      <c r="E132" s="11" t="str">
        <f>HYPERLINK("https://youtu.be/xjlKvsf0uVg?t=8610","channel 4")</f>
        <v>channel 4</v>
      </c>
    </row>
    <row r="133">
      <c r="B133" s="96" t="s">
        <v>2152</v>
      </c>
      <c r="C133" s="2"/>
      <c r="D133" s="3"/>
      <c r="E133" s="107"/>
    </row>
    <row r="134">
      <c r="B134" s="108" t="s">
        <v>2</v>
      </c>
      <c r="C134" s="109" t="s">
        <v>3</v>
      </c>
      <c r="D134" s="109" t="s">
        <v>4</v>
      </c>
      <c r="E134" s="109" t="s">
        <v>5</v>
      </c>
    </row>
    <row r="135">
      <c r="B135" s="62" t="s">
        <v>3339</v>
      </c>
      <c r="C135" s="45" t="s">
        <v>20</v>
      </c>
      <c r="D135" s="62" t="s">
        <v>3340</v>
      </c>
      <c r="E135" s="120" t="str">
        <f>HYPERLINK("https://youtu.be/UQ3iYw2BvOo","channel 1")</f>
        <v>channel 1</v>
      </c>
    </row>
    <row r="136">
      <c r="B136" s="62" t="s">
        <v>3341</v>
      </c>
      <c r="C136" s="45" t="s">
        <v>43</v>
      </c>
      <c r="D136" s="61" t="s">
        <v>2959</v>
      </c>
      <c r="E136" s="120" t="str">
        <f>HYPERLINK("https://youtu.be/h3qbNOJL2Po","channel 2")</f>
        <v>channel 2</v>
      </c>
    </row>
    <row r="137">
      <c r="B137" s="62" t="s">
        <v>3342</v>
      </c>
      <c r="C137" s="45" t="s">
        <v>210</v>
      </c>
      <c r="D137" s="62" t="s">
        <v>3339</v>
      </c>
      <c r="E137" s="120" t="str">
        <f>HYPERLINK("https://youtu.be/UQ3iYw2BvOo?t=1069","channel 1")</f>
        <v>channel 1</v>
      </c>
    </row>
    <row r="138">
      <c r="B138" s="62" t="s">
        <v>3341</v>
      </c>
      <c r="C138" s="45" t="s">
        <v>515</v>
      </c>
      <c r="D138" s="62" t="s">
        <v>3340</v>
      </c>
      <c r="E138" s="120" t="str">
        <f>HYPERLINK("https://youtu.be/h3qbNOJL2Po?t=1084","channel 2")</f>
        <v>channel 2</v>
      </c>
    </row>
    <row r="139">
      <c r="B139" s="62" t="s">
        <v>3342</v>
      </c>
      <c r="C139" s="45" t="s">
        <v>324</v>
      </c>
      <c r="D139" s="61" t="s">
        <v>2959</v>
      </c>
      <c r="E139" s="120" t="str">
        <f>HYPERLINK("https://youtu.be/UQ3iYw2BvOo?t=1986","channel 1")</f>
        <v>channel 1</v>
      </c>
    </row>
    <row r="140">
      <c r="B140" s="62" t="s">
        <v>3341</v>
      </c>
      <c r="C140" s="45" t="s">
        <v>573</v>
      </c>
      <c r="D140" s="62" t="s">
        <v>3339</v>
      </c>
      <c r="E140" s="120" t="str">
        <f>HYPERLINK("https://youtu.be/h3qbNOJL2Po?t=2039","channel 2")</f>
        <v>channel 2</v>
      </c>
    </row>
    <row r="141">
      <c r="B141" s="62" t="s">
        <v>3342</v>
      </c>
      <c r="C141" s="45" t="s">
        <v>19</v>
      </c>
      <c r="D141" s="62" t="s">
        <v>3340</v>
      </c>
      <c r="E141" s="120" t="str">
        <f>HYPERLINK("https://youtu.be/UQ3iYw2BvOo?t=2967","channel 1")</f>
        <v>channel 1</v>
      </c>
    </row>
    <row r="142">
      <c r="B142" s="61" t="s">
        <v>2959</v>
      </c>
      <c r="C142" s="45" t="s">
        <v>289</v>
      </c>
      <c r="D142" s="62" t="s">
        <v>3339</v>
      </c>
      <c r="E142" s="120" t="str">
        <f>HYPERLINK("https://youtu.be/h3qbNOJL2Po?t=2964","channel 2")</f>
        <v>channel 2</v>
      </c>
    </row>
    <row r="143">
      <c r="B143" s="62" t="s">
        <v>3342</v>
      </c>
      <c r="C143" s="45" t="s">
        <v>158</v>
      </c>
      <c r="D143" s="62" t="s">
        <v>3341</v>
      </c>
      <c r="E143" s="120" t="str">
        <f>HYPERLINK("https://youtu.be/UQ3iYw2BvOo?t=4033","channel 1")</f>
        <v>channel 1</v>
      </c>
    </row>
    <row r="144">
      <c r="B144" s="61" t="s">
        <v>2959</v>
      </c>
      <c r="C144" s="45" t="s">
        <v>14</v>
      </c>
      <c r="D144" s="62" t="s">
        <v>3340</v>
      </c>
      <c r="E144" s="120" t="str">
        <f>HYPERLINK("https://youtu.be/h3qbNOJL2Po?t=4022","channel 2")</f>
        <v>channel 2</v>
      </c>
    </row>
    <row r="145">
      <c r="B145" s="62" t="s">
        <v>3340</v>
      </c>
      <c r="C145" s="45" t="s">
        <v>16</v>
      </c>
      <c r="D145" s="62" t="s">
        <v>3339</v>
      </c>
      <c r="E145" s="120" t="str">
        <f>HYPERLINK("https://youtu.be/UQ3iYw2BvOo?t=4995","channel 1")</f>
        <v>channel 1</v>
      </c>
    </row>
    <row r="146">
      <c r="B146" s="61" t="s">
        <v>2959</v>
      </c>
      <c r="C146" s="45" t="s">
        <v>17</v>
      </c>
      <c r="D146" s="62" t="s">
        <v>3341</v>
      </c>
      <c r="E146" s="120" t="str">
        <f>HYPERLINK("https://youtu.be/h3qbNOJL2Po?t=4948","channel 2")</f>
        <v>channel 2</v>
      </c>
      <c r="H146" s="45"/>
    </row>
    <row r="147">
      <c r="B147" s="62" t="s">
        <v>3339</v>
      </c>
      <c r="C147" s="45" t="s">
        <v>7</v>
      </c>
      <c r="D147" s="62" t="s">
        <v>3342</v>
      </c>
      <c r="E147" s="120" t="str">
        <f>HYPERLINK("https://youtu.be/UQ3iYw2BvOo?t=5870","channel 1")</f>
        <v>channel 1</v>
      </c>
    </row>
    <row r="148">
      <c r="B148" s="62" t="s">
        <v>3340</v>
      </c>
      <c r="C148" s="45" t="s">
        <v>327</v>
      </c>
      <c r="D148" s="62" t="s">
        <v>3341</v>
      </c>
      <c r="E148" s="120" t="str">
        <f>HYPERLINK("https://youtu.be/h3qbNOJL2Po?t=5883","channel 2")</f>
        <v>channel 2</v>
      </c>
    </row>
    <row r="149">
      <c r="B149" s="61" t="s">
        <v>2959</v>
      </c>
      <c r="C149" s="45" t="s">
        <v>302</v>
      </c>
      <c r="D149" s="62" t="s">
        <v>3342</v>
      </c>
      <c r="E149" s="120" t="str">
        <f>HYPERLINK("https://youtu.be/UQ3iYw2BvOo?t=6866","channel 1")</f>
        <v>channel 1</v>
      </c>
    </row>
    <row r="150">
      <c r="B150" s="62" t="s">
        <v>3339</v>
      </c>
      <c r="C150" s="45" t="s">
        <v>20</v>
      </c>
      <c r="D150" s="62" t="s">
        <v>3341</v>
      </c>
      <c r="E150" s="120" t="str">
        <f>HYPERLINK("https://youtu.be/h3qbNOJL2Po?t=6857","channel 2")</f>
        <v>channel 2</v>
      </c>
    </row>
    <row r="151">
      <c r="B151" s="62" t="s">
        <v>3340</v>
      </c>
      <c r="C151" s="45" t="s">
        <v>158</v>
      </c>
      <c r="D151" s="62" t="s">
        <v>3342</v>
      </c>
      <c r="E151" s="120" t="str">
        <f>HYPERLINK("https://youtu.be/UQ3iYw2BvOo?t=7801","channel 1")</f>
        <v>channel 1</v>
      </c>
    </row>
    <row r="152">
      <c r="B152" s="62" t="s">
        <v>3339</v>
      </c>
      <c r="C152" s="45" t="s">
        <v>16</v>
      </c>
      <c r="D152" s="61" t="s">
        <v>2959</v>
      </c>
      <c r="E152" s="120" t="str">
        <f>HYPERLINK("https://youtu.be/h3qbNOJL2Po?t=7763","channel 2")</f>
        <v>channel 2</v>
      </c>
    </row>
    <row r="153">
      <c r="B153" s="62" t="s">
        <v>3341</v>
      </c>
      <c r="C153" s="45" t="s">
        <v>19</v>
      </c>
      <c r="D153" s="62" t="s">
        <v>3342</v>
      </c>
      <c r="E153" s="120" t="str">
        <f>HYPERLINK("https://youtu.be/UQ3iYw2BvOo?t=8730","channel 1")</f>
        <v>channel 1</v>
      </c>
    </row>
    <row r="154">
      <c r="B154" s="62" t="s">
        <v>3340</v>
      </c>
      <c r="C154" s="45" t="s">
        <v>225</v>
      </c>
      <c r="D154" s="61" t="s">
        <v>2959</v>
      </c>
      <c r="E154" s="120" t="str">
        <f>HYPERLINK("https://youtu.be/h3qbNOJL2Po?t=8738","channel 2")</f>
        <v>channel 2</v>
      </c>
    </row>
    <row r="155">
      <c r="B155" s="96" t="s">
        <v>3011</v>
      </c>
      <c r="C155" s="2"/>
      <c r="D155" s="3"/>
      <c r="E155" s="107"/>
    </row>
    <row r="156">
      <c r="B156" s="108" t="s">
        <v>2</v>
      </c>
      <c r="C156" s="109" t="s">
        <v>3</v>
      </c>
      <c r="D156" s="109" t="s">
        <v>4</v>
      </c>
      <c r="E156" s="109" t="s">
        <v>5</v>
      </c>
    </row>
    <row r="157">
      <c r="B157" s="62" t="s">
        <v>3343</v>
      </c>
      <c r="C157" s="45" t="s">
        <v>289</v>
      </c>
      <c r="D157" s="62" t="s">
        <v>3344</v>
      </c>
      <c r="E157" s="120" t="str">
        <f>HYPERLINK("https://youtu.be/U9946CJTuOE","channel 1")</f>
        <v>channel 1</v>
      </c>
    </row>
    <row r="158">
      <c r="B158" s="62" t="s">
        <v>3181</v>
      </c>
      <c r="C158" s="45" t="s">
        <v>162</v>
      </c>
      <c r="D158" s="61" t="s">
        <v>2947</v>
      </c>
      <c r="E158" s="120" t="str">
        <f>HYPERLINK("https://youtu.be/fUvWOWUVq7Y","channel 2")</f>
        <v>channel 2</v>
      </c>
    </row>
    <row r="159">
      <c r="B159" s="62" t="s">
        <v>3099</v>
      </c>
      <c r="C159" s="45" t="s">
        <v>38</v>
      </c>
      <c r="D159" s="62" t="s">
        <v>3343</v>
      </c>
      <c r="E159" s="120" t="str">
        <f>HYPERLINK("https://youtu.be/U9946CJTuOE?t=979","channel 1")</f>
        <v>channel 1</v>
      </c>
    </row>
    <row r="160">
      <c r="B160" s="62" t="s">
        <v>3181</v>
      </c>
      <c r="C160" s="45" t="s">
        <v>208</v>
      </c>
      <c r="D160" s="62" t="s">
        <v>3344</v>
      </c>
      <c r="E160" s="120" t="str">
        <f>HYPERLINK("https://youtu.be/fUvWOWUVq7Y?t=1055","channel 2")</f>
        <v>channel 2</v>
      </c>
    </row>
    <row r="161">
      <c r="B161" s="62" t="s">
        <v>3099</v>
      </c>
      <c r="C161" s="45" t="s">
        <v>218</v>
      </c>
      <c r="D161" s="61" t="s">
        <v>2947</v>
      </c>
      <c r="E161" s="120" t="str">
        <f>HYPERLINK("https://youtu.be/U9946CJTuOE?t=1954","channel 1")</f>
        <v>channel 1</v>
      </c>
    </row>
    <row r="162">
      <c r="B162" s="62" t="s">
        <v>3181</v>
      </c>
      <c r="C162" s="45" t="s">
        <v>185</v>
      </c>
      <c r="D162" s="62" t="s">
        <v>3343</v>
      </c>
      <c r="E162" s="120" t="str">
        <f>HYPERLINK("https://youtu.be/fUvWOWUVq7Y?t=1950","channel 2")</f>
        <v>channel 2</v>
      </c>
    </row>
    <row r="163">
      <c r="B163" s="62" t="s">
        <v>3099</v>
      </c>
      <c r="C163" s="45" t="s">
        <v>219</v>
      </c>
      <c r="D163" s="62" t="s">
        <v>3344</v>
      </c>
      <c r="E163" s="120" t="str">
        <f>HYPERLINK("https://youtu.be/U9946CJTuOE?t=2871","channel 1")</f>
        <v>channel 1</v>
      </c>
    </row>
    <row r="164">
      <c r="B164" s="61" t="s">
        <v>2947</v>
      </c>
      <c r="C164" s="45" t="s">
        <v>176</v>
      </c>
      <c r="D164" s="62" t="s">
        <v>3343</v>
      </c>
      <c r="E164" s="120" t="str">
        <f>HYPERLINK("https://youtu.be/fUvWOWUVq7Y?t=2864","channel 2")</f>
        <v>channel 2</v>
      </c>
    </row>
    <row r="165">
      <c r="B165" s="62" t="s">
        <v>3099</v>
      </c>
      <c r="C165" s="45" t="s">
        <v>158</v>
      </c>
      <c r="D165" s="62" t="s">
        <v>3181</v>
      </c>
      <c r="E165" s="120" t="str">
        <f>HYPERLINK("https://youtu.be/U9946CJTuOE?t=3821","channel 1")</f>
        <v>channel 1</v>
      </c>
    </row>
    <row r="166">
      <c r="B166" s="61" t="s">
        <v>2947</v>
      </c>
      <c r="C166" s="45" t="s">
        <v>165</v>
      </c>
      <c r="D166" s="62" t="s">
        <v>3344</v>
      </c>
      <c r="E166" s="120" t="str">
        <f>HYPERLINK("https://youtu.be/fUvWOWUVq7Y?t=3786","channel 2")</f>
        <v>channel 2</v>
      </c>
    </row>
    <row r="167">
      <c r="B167" s="62" t="s">
        <v>3344</v>
      </c>
      <c r="C167" s="45" t="s">
        <v>208</v>
      </c>
      <c r="D167" s="62" t="s">
        <v>3343</v>
      </c>
      <c r="E167" s="120" t="str">
        <f>HYPERLINK("https://youtu.be/U9946CJTuOE?t=4730","channel 1")</f>
        <v>channel 1</v>
      </c>
    </row>
    <row r="168">
      <c r="B168" s="61" t="s">
        <v>2947</v>
      </c>
      <c r="C168" s="45" t="s">
        <v>380</v>
      </c>
      <c r="D168" s="62" t="s">
        <v>3181</v>
      </c>
      <c r="E168" s="120" t="str">
        <f>HYPERLINK("https://youtu.be/fUvWOWUVq7Y?t=4712","channel 2")</f>
        <v>channel 2</v>
      </c>
    </row>
    <row r="169">
      <c r="B169" s="62" t="s">
        <v>3343</v>
      </c>
      <c r="C169" s="45" t="s">
        <v>357</v>
      </c>
      <c r="D169" s="62" t="s">
        <v>3099</v>
      </c>
      <c r="E169" s="120" t="str">
        <f>HYPERLINK("https://youtu.be/U9946CJTuOE?t=5784","channel 1")</f>
        <v>channel 1</v>
      </c>
    </row>
    <row r="170">
      <c r="B170" s="62" t="s">
        <v>3344</v>
      </c>
      <c r="C170" s="45" t="s">
        <v>251</v>
      </c>
      <c r="D170" s="62" t="s">
        <v>3181</v>
      </c>
      <c r="E170" s="120" t="str">
        <f>HYPERLINK("https://youtu.be/fUvWOWUVq7Y?t=5818","channel 2")</f>
        <v>channel 2</v>
      </c>
    </row>
    <row r="171">
      <c r="B171" s="61" t="s">
        <v>2947</v>
      </c>
      <c r="C171" s="45" t="s">
        <v>1162</v>
      </c>
      <c r="D171" s="62" t="s">
        <v>3099</v>
      </c>
      <c r="E171" s="120" t="str">
        <f>HYPERLINK("https://youtu.be/U9946CJTuOE?t=6686","channel 1")</f>
        <v>channel 1</v>
      </c>
    </row>
    <row r="172">
      <c r="B172" s="62" t="s">
        <v>3343</v>
      </c>
      <c r="C172" s="45" t="s">
        <v>18</v>
      </c>
      <c r="D172" s="62" t="s">
        <v>3181</v>
      </c>
      <c r="E172" s="120" t="str">
        <f>HYPERLINK("https://youtu.be/fUvWOWUVq7Y?t=6740","channel 2")</f>
        <v>channel 2</v>
      </c>
    </row>
    <row r="173">
      <c r="B173" s="62" t="s">
        <v>3344</v>
      </c>
      <c r="C173" s="45" t="s">
        <v>212</v>
      </c>
      <c r="D173" s="62" t="s">
        <v>3099</v>
      </c>
      <c r="E173" s="120" t="str">
        <f>HYPERLINK("https://youtu.be/U9946CJTuOE?t=7806","channel 1")</f>
        <v>channel 1</v>
      </c>
    </row>
    <row r="174">
      <c r="B174" s="62" t="s">
        <v>3343</v>
      </c>
      <c r="C174" s="45" t="s">
        <v>290</v>
      </c>
      <c r="D174" s="61" t="s">
        <v>2947</v>
      </c>
      <c r="E174" s="120" t="str">
        <f>HYPERLINK("https://youtu.be/fUvWOWUVq7Y?t=7804","channel 2")</f>
        <v>channel 2</v>
      </c>
    </row>
    <row r="175">
      <c r="B175" s="62" t="s">
        <v>3181</v>
      </c>
      <c r="C175" s="45" t="s">
        <v>39</v>
      </c>
      <c r="D175" s="62" t="s">
        <v>3099</v>
      </c>
      <c r="E175" s="120" t="str">
        <f>HYPERLINK("https://youtu.be/U9946CJTuOE?t=8841","channel 1")</f>
        <v>channel 1</v>
      </c>
    </row>
    <row r="176">
      <c r="B176" s="62" t="s">
        <v>3344</v>
      </c>
      <c r="C176" s="45" t="s">
        <v>196</v>
      </c>
      <c r="D176" s="61" t="s">
        <v>2947</v>
      </c>
      <c r="E176" s="120" t="str">
        <f>HYPERLINK("https://youtu.be/fUvWOWUVq7Y?t=8757","channel 2")</f>
        <v>channel 2</v>
      </c>
    </row>
    <row r="177">
      <c r="B177" s="96" t="s">
        <v>3345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3346</v>
      </c>
      <c r="C179" s="45" t="s">
        <v>163</v>
      </c>
      <c r="D179" s="62" t="s">
        <v>1880</v>
      </c>
      <c r="E179" s="11" t="str">
        <f>HYPERLINK("https://youtu.be/uJ_hsU4dw2w","channel 3")</f>
        <v>channel 3</v>
      </c>
    </row>
    <row r="180">
      <c r="B180" s="62" t="s">
        <v>2952</v>
      </c>
      <c r="C180" s="45" t="s">
        <v>554</v>
      </c>
      <c r="D180" s="61" t="s">
        <v>3347</v>
      </c>
      <c r="E180" s="11" t="str">
        <f>HYPERLINK("https://youtu.be/q9-EvHatALU","channel 4")</f>
        <v>channel 4</v>
      </c>
    </row>
    <row r="181">
      <c r="B181" s="62" t="s">
        <v>2902</v>
      </c>
      <c r="C181" s="45" t="s">
        <v>1189</v>
      </c>
      <c r="D181" s="62" t="s">
        <v>3346</v>
      </c>
      <c r="E181" s="11" t="str">
        <f>HYPERLINK("https://youtu.be/uJ_hsU4dw2w?t=664","channel 3")</f>
        <v>channel 3</v>
      </c>
    </row>
    <row r="182">
      <c r="B182" s="62" t="s">
        <v>2952</v>
      </c>
      <c r="C182" s="45" t="s">
        <v>786</v>
      </c>
      <c r="D182" s="62" t="s">
        <v>1880</v>
      </c>
      <c r="E182" s="11" t="str">
        <f>HYPERLINK("https://youtu.be/q9-EvHatALU?t=936","channel 4")</f>
        <v>channel 4</v>
      </c>
    </row>
    <row r="183">
      <c r="B183" s="62" t="s">
        <v>2902</v>
      </c>
      <c r="C183" s="45" t="s">
        <v>1186</v>
      </c>
      <c r="D183" s="61" t="s">
        <v>3347</v>
      </c>
      <c r="E183" s="11" t="str">
        <f>HYPERLINK("https://youtu.be/uJ_hsU4dw2w?t=1566","channel 3")</f>
        <v>channel 3</v>
      </c>
    </row>
    <row r="184">
      <c r="B184" s="62" t="s">
        <v>2952</v>
      </c>
      <c r="C184" s="45" t="s">
        <v>250</v>
      </c>
      <c r="D184" s="62" t="s">
        <v>3346</v>
      </c>
      <c r="E184" s="11" t="str">
        <f>HYPERLINK("https://youtu.be/q9-EvHatALU?t=2121","channel 4")</f>
        <v>channel 4</v>
      </c>
    </row>
    <row r="185">
      <c r="B185" s="62" t="s">
        <v>2902</v>
      </c>
      <c r="C185" s="45" t="s">
        <v>161</v>
      </c>
      <c r="D185" s="62" t="s">
        <v>1880</v>
      </c>
      <c r="E185" s="11" t="str">
        <f>HYPERLINK("https://youtu.be/uJ_hsU4dw2w?t=2418","channel 3")</f>
        <v>channel 3</v>
      </c>
    </row>
    <row r="186">
      <c r="B186" s="61" t="s">
        <v>3347</v>
      </c>
      <c r="C186" s="45" t="s">
        <v>394</v>
      </c>
      <c r="D186" s="62" t="s">
        <v>3346</v>
      </c>
      <c r="E186" s="11" t="str">
        <f>HYPERLINK("https://youtu.be/q9-EvHatALU?t=3045","channel 4")</f>
        <v>channel 4</v>
      </c>
    </row>
    <row r="187">
      <c r="B187" s="62" t="s">
        <v>2902</v>
      </c>
      <c r="C187" s="45" t="s">
        <v>225</v>
      </c>
      <c r="D187" s="62" t="s">
        <v>2952</v>
      </c>
      <c r="E187" s="11" t="str">
        <f>HYPERLINK("https://youtu.be/uJ_hsU4dw2w?t=3316","channel 3")</f>
        <v>channel 3</v>
      </c>
    </row>
    <row r="188">
      <c r="B188" s="61" t="s">
        <v>3347</v>
      </c>
      <c r="C188" s="45" t="s">
        <v>171</v>
      </c>
      <c r="D188" s="62" t="s">
        <v>1880</v>
      </c>
      <c r="E188" s="11" t="str">
        <f>HYPERLINK("https://youtu.be/q9-EvHatALU?t=4115","channel 4")</f>
        <v>channel 4</v>
      </c>
    </row>
    <row r="189">
      <c r="B189" s="62" t="s">
        <v>1880</v>
      </c>
      <c r="C189" s="45" t="s">
        <v>19</v>
      </c>
      <c r="D189" s="62" t="s">
        <v>3346</v>
      </c>
      <c r="E189" s="11" t="str">
        <f>HYPERLINK("https://youtu.be/uJ_hsU4dw2w?t=4383","channel 3")</f>
        <v>channel 3</v>
      </c>
    </row>
    <row r="190">
      <c r="B190" s="61" t="s">
        <v>3347</v>
      </c>
      <c r="C190" s="45" t="s">
        <v>208</v>
      </c>
      <c r="D190" s="62" t="s">
        <v>2952</v>
      </c>
      <c r="E190" s="11" t="str">
        <f>HYPERLINK("https://youtu.be/q9-EvHatALU?t=5077","channel 4")</f>
        <v>channel 4</v>
      </c>
    </row>
    <row r="191">
      <c r="B191" s="62" t="s">
        <v>3346</v>
      </c>
      <c r="C191" s="45" t="s">
        <v>3348</v>
      </c>
      <c r="D191" s="62" t="s">
        <v>2902</v>
      </c>
      <c r="E191" s="11" t="str">
        <f>HYPERLINK("https://youtu.be/uJ_hsU4dw2w?t=5329","channel 3")</f>
        <v>channel 3</v>
      </c>
    </row>
    <row r="192">
      <c r="B192" s="62" t="s">
        <v>1880</v>
      </c>
      <c r="C192" s="45" t="s">
        <v>3349</v>
      </c>
      <c r="D192" s="62" t="s">
        <v>2952</v>
      </c>
      <c r="E192" s="11" t="str">
        <f>HYPERLINK("https://youtu.be/q9-EvHatALU?t=5938","channel 4")</f>
        <v>channel 4</v>
      </c>
    </row>
    <row r="193">
      <c r="B193" s="61" t="s">
        <v>3347</v>
      </c>
      <c r="C193" s="45" t="s">
        <v>189</v>
      </c>
      <c r="D193" s="62" t="s">
        <v>2902</v>
      </c>
      <c r="E193" s="11" t="str">
        <f>HYPERLINK("https://youtu.be/uJ_hsU4dw2w?t=5329","channel 3")</f>
        <v>channel 3</v>
      </c>
    </row>
    <row r="194">
      <c r="B194" s="62" t="s">
        <v>3346</v>
      </c>
      <c r="C194" s="45" t="s">
        <v>23</v>
      </c>
      <c r="D194" s="62" t="s">
        <v>2952</v>
      </c>
      <c r="E194" s="11" t="str">
        <f>HYPERLINK("https://youtu.be/q9-EvHatALU?t=6926","channel 4")</f>
        <v>channel 4</v>
      </c>
    </row>
    <row r="195">
      <c r="B195" s="62" t="s">
        <v>1880</v>
      </c>
      <c r="C195" s="45" t="s">
        <v>196</v>
      </c>
      <c r="D195" s="62" t="s">
        <v>2902</v>
      </c>
      <c r="E195" s="11" t="str">
        <f>HYPERLINK("https://youtu.be/uJ_hsU4dw2w?t=7137","channel 3")</f>
        <v>channel 3</v>
      </c>
    </row>
    <row r="196">
      <c r="B196" s="62" t="s">
        <v>3346</v>
      </c>
      <c r="C196" s="45" t="s">
        <v>163</v>
      </c>
      <c r="D196" s="61" t="s">
        <v>3347</v>
      </c>
      <c r="E196" s="11" t="str">
        <f>HYPERLINK("https://youtu.be/q9-EvHatALU?t=7859","channel 4")</f>
        <v>channel 4</v>
      </c>
    </row>
    <row r="197">
      <c r="B197" s="62" t="s">
        <v>2952</v>
      </c>
      <c r="C197" s="45" t="s">
        <v>281</v>
      </c>
      <c r="D197" s="62" t="s">
        <v>2902</v>
      </c>
      <c r="E197" s="11" t="str">
        <f>HYPERLINK("https://youtu.be/uJ_hsU4dw2w?t=8060","channel 3")</f>
        <v>channel 3</v>
      </c>
    </row>
    <row r="198">
      <c r="B198" s="62" t="s">
        <v>1880</v>
      </c>
      <c r="C198" s="45" t="s">
        <v>531</v>
      </c>
      <c r="D198" s="61" t="s">
        <v>3347</v>
      </c>
      <c r="E198" s="11" t="str">
        <f>HYPERLINK("https://youtu.be/q9-EvHatALU?t=8774","channel 4")</f>
        <v>channel 4</v>
      </c>
    </row>
    <row r="199">
      <c r="B199" s="96" t="s">
        <v>3085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3350</v>
      </c>
      <c r="C201" s="45" t="s">
        <v>21</v>
      </c>
      <c r="D201" s="62" t="s">
        <v>1622</v>
      </c>
      <c r="E201" s="11" t="str">
        <f>HYPERLINK("https://youtu.be/RNxEnhMZCGA","channel 3")</f>
        <v>channel 3</v>
      </c>
    </row>
    <row r="202">
      <c r="B202" s="62" t="s">
        <v>2612</v>
      </c>
      <c r="C202" s="45" t="s">
        <v>1510</v>
      </c>
      <c r="D202" s="61" t="s">
        <v>3185</v>
      </c>
      <c r="E202" s="11" t="str">
        <f>HYPERLINK("https://youtu.be/-Zx2Wi6Vu0M","channel 4")</f>
        <v>channel 4</v>
      </c>
    </row>
    <row r="203">
      <c r="B203" s="62" t="s">
        <v>2974</v>
      </c>
      <c r="C203" s="45" t="s">
        <v>209</v>
      </c>
      <c r="D203" s="62" t="s">
        <v>3350</v>
      </c>
      <c r="E203" s="11" t="str">
        <f>HYPERLINK("https://youtu.be/RNxEnhMZCGA?t=1016","channel 3")</f>
        <v>channel 3</v>
      </c>
    </row>
    <row r="204">
      <c r="B204" s="62" t="s">
        <v>2612</v>
      </c>
      <c r="C204" s="45" t="s">
        <v>210</v>
      </c>
      <c r="D204" s="62" t="s">
        <v>1622</v>
      </c>
      <c r="E204" s="11" t="str">
        <f>HYPERLINK("https://youtu.be/-Zx2Wi6Vu0M?t=1007","channel 4")</f>
        <v>channel 4</v>
      </c>
    </row>
    <row r="205">
      <c r="B205" s="62" t="s">
        <v>2974</v>
      </c>
      <c r="C205" s="45" t="s">
        <v>1107</v>
      </c>
      <c r="D205" s="61" t="s">
        <v>3185</v>
      </c>
      <c r="E205" s="11" t="str">
        <f>HYPERLINK("https://youtu.be/RNxEnhMZCGA?t=1962","channel 3")</f>
        <v>channel 3</v>
      </c>
    </row>
    <row r="206">
      <c r="B206" s="62" t="s">
        <v>2612</v>
      </c>
      <c r="C206" s="45" t="s">
        <v>298</v>
      </c>
      <c r="D206" s="62" t="s">
        <v>3350</v>
      </c>
      <c r="E206" s="11" t="str">
        <f>HYPERLINK("https://youtu.be/-Zx2Wi6Vu0M?t=1980","channel 4")</f>
        <v>channel 4</v>
      </c>
    </row>
    <row r="207">
      <c r="B207" s="62" t="s">
        <v>2974</v>
      </c>
      <c r="C207" s="45" t="s">
        <v>257</v>
      </c>
      <c r="D207" s="62" t="s">
        <v>1622</v>
      </c>
      <c r="E207" s="11" t="str">
        <f>HYPERLINK("https://youtu.be/RNxEnhMZCGA?t=2913","channel 3")</f>
        <v>channel 3</v>
      </c>
    </row>
    <row r="208">
      <c r="B208" s="61" t="s">
        <v>3185</v>
      </c>
      <c r="C208" s="45" t="s">
        <v>20</v>
      </c>
      <c r="D208" s="62" t="s">
        <v>3350</v>
      </c>
      <c r="E208" s="11" t="str">
        <f>HYPERLINK("https://youtu.be/-Zx2Wi6Vu0M?t=2937","channel 4")</f>
        <v>channel 4</v>
      </c>
    </row>
    <row r="209">
      <c r="B209" s="62" t="s">
        <v>2974</v>
      </c>
      <c r="C209" s="45" t="s">
        <v>19</v>
      </c>
      <c r="D209" s="62" t="s">
        <v>2612</v>
      </c>
      <c r="E209" s="11" t="str">
        <f>HYPERLINK("https://youtu.be/RNxEnhMZCGA?t=3855","channel 3")</f>
        <v>channel 3</v>
      </c>
    </row>
    <row r="210">
      <c r="B210" s="61" t="s">
        <v>3185</v>
      </c>
      <c r="C210" s="45" t="s">
        <v>334</v>
      </c>
      <c r="D210" s="62" t="s">
        <v>1622</v>
      </c>
      <c r="E210" s="11" t="str">
        <f>HYPERLINK("https://youtu.be/-Zx2Wi6Vu0M?t=3865","channel 4")</f>
        <v>channel 4</v>
      </c>
    </row>
    <row r="211">
      <c r="B211" s="62" t="s">
        <v>1622</v>
      </c>
      <c r="C211" s="45" t="s">
        <v>196</v>
      </c>
      <c r="D211" s="62" t="s">
        <v>3350</v>
      </c>
      <c r="E211" s="11" t="str">
        <f>HYPERLINK("https://youtu.be/RNxEnhMZCGA?t=4846","channel 3")</f>
        <v>channel 3</v>
      </c>
    </row>
    <row r="212">
      <c r="B212" s="61" t="s">
        <v>3185</v>
      </c>
      <c r="C212" s="45" t="s">
        <v>1226</v>
      </c>
      <c r="D212" s="62" t="s">
        <v>2612</v>
      </c>
      <c r="E212" s="11" t="str">
        <f>HYPERLINK("https://youtu.be/-Zx2Wi6Vu0M?t=4827","channel 4")</f>
        <v>channel 4</v>
      </c>
    </row>
    <row r="213">
      <c r="B213" s="62" t="s">
        <v>3350</v>
      </c>
      <c r="C213" s="45" t="s">
        <v>911</v>
      </c>
      <c r="D213" s="62" t="s">
        <v>2974</v>
      </c>
      <c r="E213" s="11" t="str">
        <f>HYPERLINK("https://youtu.be/RNxEnhMZCGA?t=5768","channel 3")</f>
        <v>channel 3</v>
      </c>
    </row>
    <row r="214">
      <c r="B214" s="62" t="s">
        <v>1622</v>
      </c>
      <c r="C214" s="45" t="s">
        <v>18</v>
      </c>
      <c r="D214" s="62" t="s">
        <v>2612</v>
      </c>
      <c r="E214" s="11" t="str">
        <f>HYPERLINK("https://youtu.be/-Zx2Wi6Vu0M?t=5785","channel 4")</f>
        <v>channel 4</v>
      </c>
    </row>
    <row r="215">
      <c r="B215" s="61" t="s">
        <v>3185</v>
      </c>
      <c r="C215" s="45" t="s">
        <v>187</v>
      </c>
      <c r="D215" s="62" t="s">
        <v>2974</v>
      </c>
      <c r="E215" s="11" t="str">
        <f>HYPERLINK("https://youtu.be/RNxEnhMZCGA?t=6744","channel 3")</f>
        <v>channel 3</v>
      </c>
    </row>
    <row r="216">
      <c r="B216" s="62" t="s">
        <v>3350</v>
      </c>
      <c r="C216" s="45" t="s">
        <v>23</v>
      </c>
      <c r="D216" s="62" t="s">
        <v>2612</v>
      </c>
      <c r="E216" s="11" t="str">
        <f>HYPERLINK("https://youtu.be/-Zx2Wi6Vu0M?t=6777","channel 4")</f>
        <v>channel 4</v>
      </c>
    </row>
    <row r="217">
      <c r="B217" s="62" t="s">
        <v>1622</v>
      </c>
      <c r="C217" s="45" t="s">
        <v>303</v>
      </c>
      <c r="D217" s="62" t="s">
        <v>2974</v>
      </c>
      <c r="E217" s="11" t="str">
        <f>HYPERLINK("https://youtu.be/RNxEnhMZCGA?t=7666","channel 3")</f>
        <v>channel 3</v>
      </c>
    </row>
    <row r="218">
      <c r="B218" s="62" t="s">
        <v>3350</v>
      </c>
      <c r="C218" s="45" t="s">
        <v>302</v>
      </c>
      <c r="D218" s="61" t="s">
        <v>3185</v>
      </c>
      <c r="E218" s="11" t="str">
        <f>HYPERLINK("https://youtu.be/-Zx2Wi6Vu0M?t=7715","channel 4")</f>
        <v>channel 4</v>
      </c>
    </row>
    <row r="219">
      <c r="B219" s="62" t="s">
        <v>2612</v>
      </c>
      <c r="C219" s="45" t="s">
        <v>19</v>
      </c>
      <c r="D219" s="62" t="s">
        <v>2974</v>
      </c>
      <c r="E219" s="11" t="str">
        <f>HYPERLINK("https://youtu.be/RNxEnhMZCGA?t=8597","channel 3")</f>
        <v>channel 3</v>
      </c>
    </row>
    <row r="220">
      <c r="B220" s="62" t="s">
        <v>1622</v>
      </c>
      <c r="C220" s="45" t="s">
        <v>291</v>
      </c>
      <c r="D220" s="61" t="s">
        <v>3185</v>
      </c>
      <c r="E220" s="11" t="str">
        <f>HYPERLINK("https://youtu.be/-Zx2Wi6Vu0M?t=8612","channel 4")</f>
        <v>channel 4</v>
      </c>
    </row>
    <row r="221">
      <c r="B221" s="96" t="s">
        <v>1566</v>
      </c>
      <c r="C221" s="2"/>
      <c r="D221" s="3"/>
      <c r="E221" s="107"/>
    </row>
    <row r="222">
      <c r="B222" s="108" t="s">
        <v>2</v>
      </c>
      <c r="C222" s="109" t="s">
        <v>3</v>
      </c>
      <c r="D222" s="109" t="s">
        <v>4</v>
      </c>
      <c r="E222" s="109" t="s">
        <v>5</v>
      </c>
    </row>
    <row r="223">
      <c r="B223" s="62" t="s">
        <v>1431</v>
      </c>
      <c r="C223" s="45" t="s">
        <v>165</v>
      </c>
      <c r="D223" s="62" t="s">
        <v>3096</v>
      </c>
      <c r="E223" s="120" t="str">
        <f>HYPERLINK("https://youtu.be/bmpMLtrhQSg","channel 1")</f>
        <v>channel 1</v>
      </c>
    </row>
    <row r="224">
      <c r="B224" s="62" t="s">
        <v>3351</v>
      </c>
      <c r="C224" s="45" t="s">
        <v>14</v>
      </c>
      <c r="D224" s="61" t="s">
        <v>2097</v>
      </c>
      <c r="E224" s="120" t="str">
        <f>HYPERLINK("https://youtu.be/SnIgyVwjvXQ","channel 2")</f>
        <v>channel 2</v>
      </c>
    </row>
    <row r="225">
      <c r="B225" s="56" t="s">
        <v>3352</v>
      </c>
      <c r="C225" s="45" t="s">
        <v>184</v>
      </c>
      <c r="D225" s="62" t="s">
        <v>1431</v>
      </c>
      <c r="E225" s="120" t="str">
        <f>HYPERLINK("https://youtu.be/bmpMLtrhQSg?t=949","channel 1")</f>
        <v>channel 1</v>
      </c>
    </row>
    <row r="226">
      <c r="B226" s="62" t="s">
        <v>3351</v>
      </c>
      <c r="C226" s="45" t="s">
        <v>549</v>
      </c>
      <c r="D226" s="62" t="s">
        <v>3096</v>
      </c>
      <c r="E226" s="120" t="str">
        <f>HYPERLINK("https://youtu.be/SnIgyVwjvXQ?t=1052","channel 2")</f>
        <v>channel 2</v>
      </c>
    </row>
    <row r="227">
      <c r="B227" s="56" t="s">
        <v>3352</v>
      </c>
      <c r="C227" s="45" t="s">
        <v>41</v>
      </c>
      <c r="D227" s="61" t="s">
        <v>2097</v>
      </c>
      <c r="E227" s="120" t="str">
        <f>HYPERLINK("https://youtu.be/bmpMLtrhQSg?t=1834","channel 1")</f>
        <v>channel 1</v>
      </c>
    </row>
    <row r="228">
      <c r="B228" s="62" t="s">
        <v>3351</v>
      </c>
      <c r="C228" s="45" t="s">
        <v>43</v>
      </c>
      <c r="D228" s="62" t="s">
        <v>1431</v>
      </c>
      <c r="E228" s="120" t="str">
        <f>HYPERLINK("https://youtu.be/SnIgyVwjvXQ?t=1916","channel 2")</f>
        <v>channel 2</v>
      </c>
    </row>
    <row r="229">
      <c r="B229" s="56" t="s">
        <v>3352</v>
      </c>
      <c r="C229" s="45" t="s">
        <v>258</v>
      </c>
      <c r="D229" s="62" t="s">
        <v>3096</v>
      </c>
      <c r="E229" s="120" t="str">
        <f>HYPERLINK("https://youtu.be/bmpMLtrhQSg?t=2700","channel 1")</f>
        <v>channel 1</v>
      </c>
    </row>
    <row r="230">
      <c r="B230" s="61" t="s">
        <v>2097</v>
      </c>
      <c r="C230" s="45" t="s">
        <v>3193</v>
      </c>
      <c r="D230" s="62" t="s">
        <v>1431</v>
      </c>
      <c r="E230" s="120" t="str">
        <f>HYPERLINK("https://youtu.be/SnIgyVwjvXQ?t=2800","channel 2")</f>
        <v>channel 2</v>
      </c>
    </row>
    <row r="231">
      <c r="B231" s="56" t="s">
        <v>3352</v>
      </c>
      <c r="C231" s="45" t="s">
        <v>342</v>
      </c>
      <c r="D231" s="62" t="s">
        <v>3351</v>
      </c>
      <c r="E231" s="120" t="str">
        <f>HYPERLINK("https://youtu.be/bmpMLtrhQSg?t=3593","channel 1")</f>
        <v>channel 1</v>
      </c>
    </row>
    <row r="232">
      <c r="B232" s="61" t="s">
        <v>2097</v>
      </c>
      <c r="C232" s="45" t="s">
        <v>193</v>
      </c>
      <c r="D232" s="62" t="s">
        <v>3096</v>
      </c>
      <c r="E232" s="120" t="str">
        <f>HYPERLINK("https://youtu.be/SnIgyVwjvXQ?t=3693","channel 2")</f>
        <v>channel 2</v>
      </c>
    </row>
    <row r="233">
      <c r="B233" s="62" t="s">
        <v>3096</v>
      </c>
      <c r="C233" s="45" t="s">
        <v>208</v>
      </c>
      <c r="D233" s="62" t="s">
        <v>1431</v>
      </c>
      <c r="E233" s="120" t="str">
        <f>HYPERLINK("https://youtu.be/bmpMLtrhQSg?t=4417","channel 1")</f>
        <v>channel 1</v>
      </c>
    </row>
    <row r="234">
      <c r="B234" s="61" t="s">
        <v>2097</v>
      </c>
      <c r="C234" s="45" t="s">
        <v>313</v>
      </c>
      <c r="D234" s="62" t="s">
        <v>3351</v>
      </c>
      <c r="E234" s="120" t="str">
        <f>HYPERLINK("https://youtu.be/SnIgyVwjvXQ?t=4501","channel 2")</f>
        <v>channel 2</v>
      </c>
    </row>
    <row r="235">
      <c r="B235" s="62" t="s">
        <v>1431</v>
      </c>
      <c r="C235" s="45" t="s">
        <v>2194</v>
      </c>
      <c r="D235" s="56" t="s">
        <v>3352</v>
      </c>
      <c r="E235" s="120" t="str">
        <f>HYPERLINK("https://youtu.be/bmpMLtrhQSg?t=5267","channel 1")</f>
        <v>channel 1</v>
      </c>
    </row>
    <row r="236">
      <c r="B236" s="62" t="s">
        <v>3096</v>
      </c>
      <c r="C236" s="45" t="s">
        <v>248</v>
      </c>
      <c r="D236" s="62" t="s">
        <v>3351</v>
      </c>
      <c r="E236" s="120" t="str">
        <f>HYPERLINK("https://youtu.be/SnIgyVwjvXQ?t=5359","channel 2")</f>
        <v>channel 2</v>
      </c>
    </row>
    <row r="237">
      <c r="B237" s="61" t="s">
        <v>2097</v>
      </c>
      <c r="C237" s="45" t="s">
        <v>162</v>
      </c>
      <c r="D237" s="56" t="s">
        <v>3352</v>
      </c>
      <c r="E237" s="120" t="str">
        <f>HYPERLINK("https://youtu.be/bmpMLtrhQSg?t=6178","channel 1")</f>
        <v>channel 1</v>
      </c>
    </row>
    <row r="238">
      <c r="B238" s="62" t="s">
        <v>1431</v>
      </c>
      <c r="C238" s="45" t="s">
        <v>155</v>
      </c>
      <c r="D238" s="62" t="s">
        <v>3351</v>
      </c>
      <c r="E238" s="120" t="str">
        <f>HYPERLINK("https://youtu.be/SnIgyVwjvXQ?t=6250","channel 2")</f>
        <v>channel 2</v>
      </c>
    </row>
    <row r="239">
      <c r="B239" s="62" t="s">
        <v>3096</v>
      </c>
      <c r="C239" s="45" t="s">
        <v>233</v>
      </c>
      <c r="D239" s="56" t="s">
        <v>3352</v>
      </c>
      <c r="E239" s="120" t="str">
        <f>HYPERLINK("https://youtu.be/bmpMLtrhQSg?t=7023","channel 1")</f>
        <v>channel 1</v>
      </c>
    </row>
    <row r="240">
      <c r="B240" s="62" t="s">
        <v>1431</v>
      </c>
      <c r="C240" s="45" t="s">
        <v>23</v>
      </c>
      <c r="D240" s="61" t="s">
        <v>2097</v>
      </c>
      <c r="E240" s="120" t="str">
        <f>HYPERLINK("https://youtu.be/SnIgyVwjvXQ?t=7148","channel 2")</f>
        <v>channel 2</v>
      </c>
    </row>
    <row r="241">
      <c r="B241" s="62" t="s">
        <v>3351</v>
      </c>
      <c r="C241" s="45" t="s">
        <v>208</v>
      </c>
      <c r="D241" s="56" t="s">
        <v>3352</v>
      </c>
      <c r="E241" s="120" t="str">
        <f>HYPERLINK("https://youtu.be/bmpMLtrhQSg?t=7965","channel 1")</f>
        <v>channel 1</v>
      </c>
    </row>
    <row r="242">
      <c r="B242" s="62" t="s">
        <v>3096</v>
      </c>
      <c r="C242" s="45" t="s">
        <v>38</v>
      </c>
      <c r="D242" s="61" t="s">
        <v>2097</v>
      </c>
      <c r="E242" s="120" t="str">
        <f>HYPERLINK("https://youtu.be/SnIgyVwjvXQ?t=8059","channel 2")</f>
        <v>channel 2</v>
      </c>
    </row>
    <row r="243">
      <c r="B243" s="96" t="s">
        <v>2179</v>
      </c>
      <c r="C243" s="2"/>
      <c r="D243" s="3"/>
      <c r="E243" s="107"/>
    </row>
    <row r="244">
      <c r="B244" s="108" t="s">
        <v>2</v>
      </c>
      <c r="C244" s="109" t="s">
        <v>3</v>
      </c>
      <c r="D244" s="109" t="s">
        <v>4</v>
      </c>
      <c r="E244" s="109" t="s">
        <v>5</v>
      </c>
    </row>
    <row r="245">
      <c r="B245" s="62" t="s">
        <v>3353</v>
      </c>
      <c r="C245" s="45" t="s">
        <v>180</v>
      </c>
      <c r="D245" s="62" t="s">
        <v>3055</v>
      </c>
      <c r="E245" s="120" t="str">
        <f>HYPERLINK("https://youtu.be/qpfin4gS-5A","channel 1")</f>
        <v>channel 1</v>
      </c>
    </row>
    <row r="246">
      <c r="B246" s="62" t="s">
        <v>3354</v>
      </c>
      <c r="C246" s="45" t="s">
        <v>248</v>
      </c>
      <c r="D246" s="61" t="s">
        <v>3355</v>
      </c>
      <c r="E246" s="120" t="str">
        <f>HYPERLINK("https://youtu.be/UfBOAwJYHoI","channel 2")</f>
        <v>channel 2</v>
      </c>
    </row>
    <row r="247">
      <c r="B247" s="56" t="s">
        <v>648</v>
      </c>
      <c r="C247" s="45" t="s">
        <v>547</v>
      </c>
      <c r="D247" s="62" t="s">
        <v>3353</v>
      </c>
      <c r="E247" s="120" t="str">
        <f>HYPERLINK("https://youtu.be/qpfin4gS-5A?t=1036","channel 1")</f>
        <v>channel 1</v>
      </c>
    </row>
    <row r="248">
      <c r="B248" s="62" t="s">
        <v>3354</v>
      </c>
      <c r="C248" s="45" t="s">
        <v>301</v>
      </c>
      <c r="D248" s="62" t="s">
        <v>3055</v>
      </c>
      <c r="E248" s="120" t="str">
        <f>HYPERLINK("https://youtu.be/UfBOAwJYHoI?t=1142","channel 2")</f>
        <v>channel 2</v>
      </c>
    </row>
    <row r="249">
      <c r="B249" s="56" t="s">
        <v>648</v>
      </c>
      <c r="C249" s="45" t="s">
        <v>250</v>
      </c>
      <c r="D249" s="61" t="s">
        <v>3355</v>
      </c>
      <c r="E249" s="120" t="str">
        <f>HYPERLINK("https://youtu.be/qpfin4gS-5A?t=1981","channel 1")</f>
        <v>channel 1</v>
      </c>
    </row>
    <row r="250">
      <c r="B250" s="62" t="s">
        <v>3354</v>
      </c>
      <c r="C250" s="45" t="s">
        <v>281</v>
      </c>
      <c r="D250" s="62" t="s">
        <v>3353</v>
      </c>
      <c r="E250" s="120" t="str">
        <f>HYPERLINK("https://youtu.be/UfBOAwJYHoI?t=2046","channel 2")</f>
        <v>channel 2</v>
      </c>
    </row>
    <row r="251">
      <c r="B251" s="56" t="s">
        <v>648</v>
      </c>
      <c r="C251" s="45" t="s">
        <v>336</v>
      </c>
      <c r="D251" s="62" t="s">
        <v>3055</v>
      </c>
      <c r="E251" s="120" t="str">
        <f>HYPERLINK("https://youtu.be/qpfin4gS-5A?t=2877","channel 1")</f>
        <v>channel 1</v>
      </c>
    </row>
    <row r="252">
      <c r="B252" s="61" t="s">
        <v>3355</v>
      </c>
      <c r="C252" s="45" t="s">
        <v>465</v>
      </c>
      <c r="D252" s="62" t="s">
        <v>3353</v>
      </c>
      <c r="E252" s="120" t="str">
        <f>HYPERLINK("https://youtu.be/UfBOAwJYHoI?t=2989","channel 2")</f>
        <v>channel 2</v>
      </c>
    </row>
    <row r="253">
      <c r="B253" s="56" t="s">
        <v>648</v>
      </c>
      <c r="C253" s="45" t="s">
        <v>16</v>
      </c>
      <c r="D253" s="62" t="s">
        <v>3354</v>
      </c>
      <c r="E253" s="120" t="str">
        <f>HYPERLINK("https://youtu.be/qpfin4gS-5A?t=3804","channel 1")</f>
        <v>channel 1</v>
      </c>
    </row>
    <row r="254">
      <c r="B254" s="61" t="s">
        <v>3355</v>
      </c>
      <c r="C254" s="45" t="s">
        <v>209</v>
      </c>
      <c r="D254" s="62" t="s">
        <v>3055</v>
      </c>
      <c r="E254" s="120" t="str">
        <f>HYPERLINK("https://youtu.be/UfBOAwJYHoI?t=3909","channel 2")</f>
        <v>channel 2</v>
      </c>
    </row>
    <row r="255">
      <c r="B255" s="62" t="s">
        <v>3055</v>
      </c>
      <c r="C255" s="45" t="s">
        <v>177</v>
      </c>
      <c r="D255" s="62" t="s">
        <v>3353</v>
      </c>
      <c r="E255" s="120" t="str">
        <f>HYPERLINK("https://youtu.be/qpfin4gS-5A?t=4756","channel 1")</f>
        <v>channel 1</v>
      </c>
    </row>
    <row r="256">
      <c r="B256" s="61" t="s">
        <v>3355</v>
      </c>
      <c r="C256" s="45" t="s">
        <v>251</v>
      </c>
      <c r="D256" s="62" t="s">
        <v>3354</v>
      </c>
      <c r="E256" s="120" t="str">
        <f>HYPERLINK("https://youtu.be/UfBOAwJYHoI?t=4816","channel 2")</f>
        <v>channel 2</v>
      </c>
    </row>
    <row r="257">
      <c r="B257" s="62" t="s">
        <v>3353</v>
      </c>
      <c r="C257" s="45" t="s">
        <v>161</v>
      </c>
      <c r="D257" s="56" t="s">
        <v>648</v>
      </c>
      <c r="E257" s="120" t="str">
        <f>HYPERLINK("https://youtu.be/qpfin4gS-5A?t=5644","channel 1")</f>
        <v>channel 1</v>
      </c>
    </row>
    <row r="258">
      <c r="B258" s="62" t="s">
        <v>3055</v>
      </c>
      <c r="C258" s="45" t="s">
        <v>289</v>
      </c>
      <c r="D258" s="62" t="s">
        <v>3354</v>
      </c>
      <c r="E258" s="120" t="str">
        <f>HYPERLINK("https://youtu.be/UfBOAwJYHoI?t=5764","channel 2")</f>
        <v>channel 2</v>
      </c>
    </row>
    <row r="259">
      <c r="B259" s="61" t="s">
        <v>3355</v>
      </c>
      <c r="C259" s="45" t="s">
        <v>19</v>
      </c>
      <c r="D259" s="56" t="s">
        <v>648</v>
      </c>
      <c r="E259" s="120" t="str">
        <f>HYPERLINK("https://youtu.be/qpfin4gS-5A?t=6566","channel 1")</f>
        <v>channel 1</v>
      </c>
    </row>
    <row r="260">
      <c r="B260" s="62" t="s">
        <v>3353</v>
      </c>
      <c r="C260" s="45" t="s">
        <v>323</v>
      </c>
      <c r="D260" s="62" t="s">
        <v>3354</v>
      </c>
      <c r="E260" s="120" t="str">
        <f>HYPERLINK("https://youtu.be/UfBOAwJYHoI?t=6707","channel 2")</f>
        <v>channel 2</v>
      </c>
    </row>
    <row r="261">
      <c r="B261" s="62" t="s">
        <v>3055</v>
      </c>
      <c r="C261" s="45" t="s">
        <v>173</v>
      </c>
      <c r="D261" s="56" t="s">
        <v>648</v>
      </c>
      <c r="E261" s="120" t="str">
        <f>HYPERLINK("https://youtu.be/qpfin4gS-5A?t=7486","channel 1")</f>
        <v>channel 1</v>
      </c>
    </row>
    <row r="262">
      <c r="B262" s="62" t="s">
        <v>3353</v>
      </c>
      <c r="C262" s="45" t="s">
        <v>180</v>
      </c>
      <c r="D262" s="61" t="s">
        <v>3355</v>
      </c>
      <c r="E262" s="120" t="str">
        <f>HYPERLINK("https://youtu.be/UfBOAwJYHoI?t=7634","channel 2")</f>
        <v>channel 2</v>
      </c>
    </row>
    <row r="263">
      <c r="B263" s="62" t="s">
        <v>3354</v>
      </c>
      <c r="C263" s="45" t="s">
        <v>18</v>
      </c>
      <c r="D263" s="56" t="s">
        <v>648</v>
      </c>
      <c r="E263" s="120" t="str">
        <f>HYPERLINK("https://youtu.be/qpfin4gS-5A?t=8439","channel 1")</f>
        <v>channel 1</v>
      </c>
    </row>
    <row r="264">
      <c r="B264" s="62" t="s">
        <v>3055</v>
      </c>
      <c r="C264" s="45" t="s">
        <v>23</v>
      </c>
      <c r="D264" s="61" t="s">
        <v>3355</v>
      </c>
      <c r="E264" s="120" t="str">
        <f>HYPERLINK("https://youtu.be/UfBOAwJYHoI?t=8574","channel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3356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3223</v>
      </c>
      <c r="C3" s="45" t="s">
        <v>640</v>
      </c>
      <c r="D3" s="62" t="s">
        <v>2679</v>
      </c>
      <c r="E3" s="120" t="str">
        <f>HYPERLINK("https://youtu.be/S1VtPRGhphI","channel 1")</f>
        <v>channel 1</v>
      </c>
    </row>
    <row r="4">
      <c r="A4" s="90"/>
      <c r="B4" s="62" t="s">
        <v>3357</v>
      </c>
      <c r="C4" s="45" t="s">
        <v>327</v>
      </c>
      <c r="D4" s="61" t="s">
        <v>3222</v>
      </c>
      <c r="E4" s="120" t="str">
        <f>HYPERLINK("https://youtu.be/NFzUtpXgP8o","channel 2")</f>
        <v>channel 2</v>
      </c>
    </row>
    <row r="5">
      <c r="A5" s="90"/>
      <c r="B5" s="62" t="s">
        <v>3358</v>
      </c>
      <c r="C5" s="45" t="s">
        <v>158</v>
      </c>
      <c r="D5" s="62" t="s">
        <v>3223</v>
      </c>
      <c r="E5" s="120" t="str">
        <f>HYPERLINK("https://youtu.be/S1VtPRGhphI?t=786","channel 1")</f>
        <v>channel 1</v>
      </c>
    </row>
    <row r="6">
      <c r="A6" s="90"/>
      <c r="B6" s="62" t="s">
        <v>3357</v>
      </c>
      <c r="C6" s="45" t="s">
        <v>756</v>
      </c>
      <c r="D6" s="62" t="s">
        <v>2679</v>
      </c>
      <c r="E6" s="120" t="str">
        <f>HYPERLINK("https://youtu.be/NFzUtpXgP8o?t=999","channel 2")</f>
        <v>channel 2</v>
      </c>
    </row>
    <row r="7">
      <c r="A7" s="90"/>
      <c r="B7" s="62" t="s">
        <v>3358</v>
      </c>
      <c r="C7" s="45" t="s">
        <v>164</v>
      </c>
      <c r="D7" s="61" t="s">
        <v>3222</v>
      </c>
      <c r="E7" s="120" t="str">
        <f>HYPERLINK("https://youtu.be/S1VtPRGhphI?t=1597","channel 1")</f>
        <v>channel 1</v>
      </c>
    </row>
    <row r="8">
      <c r="A8" s="90"/>
      <c r="B8" s="62" t="s">
        <v>3357</v>
      </c>
      <c r="C8" s="45" t="s">
        <v>173</v>
      </c>
      <c r="D8" s="62" t="s">
        <v>3223</v>
      </c>
      <c r="E8" s="120" t="str">
        <f>HYPERLINK("https://youtu.be/NFzUtpXgP8o?t=1831","channel 2")</f>
        <v>channel 2</v>
      </c>
    </row>
    <row r="9">
      <c r="A9" s="90"/>
      <c r="B9" s="62" t="s">
        <v>3358</v>
      </c>
      <c r="C9" s="45" t="s">
        <v>610</v>
      </c>
      <c r="D9" s="62" t="s">
        <v>2679</v>
      </c>
      <c r="E9" s="120" t="str">
        <f>HYPERLINK("https://youtu.be/S1VtPRGhphI?t=2414","channel 1")</f>
        <v>channel 1</v>
      </c>
    </row>
    <row r="10">
      <c r="A10" s="90"/>
      <c r="B10" s="61" t="s">
        <v>3222</v>
      </c>
      <c r="C10" s="45" t="s">
        <v>351</v>
      </c>
      <c r="D10" s="62" t="s">
        <v>3223</v>
      </c>
      <c r="E10" s="120" t="str">
        <f>HYPERLINK("https://youtu.be/NFzUtpXgP8o?t=2656","channel 2")</f>
        <v>channel 2</v>
      </c>
    </row>
    <row r="11">
      <c r="A11" s="90"/>
      <c r="B11" s="62" t="s">
        <v>3358</v>
      </c>
      <c r="C11" s="45" t="s">
        <v>198</v>
      </c>
      <c r="D11" s="62" t="s">
        <v>3357</v>
      </c>
      <c r="E11" s="120" t="str">
        <f>HYPERLINK("https://youtu.be/S1VtPRGhphI?t=3213","channel 1")</f>
        <v>channel 1</v>
      </c>
    </row>
    <row r="12">
      <c r="A12" s="90"/>
      <c r="B12" s="61" t="s">
        <v>3222</v>
      </c>
      <c r="C12" s="45" t="s">
        <v>19</v>
      </c>
      <c r="D12" s="62" t="s">
        <v>2679</v>
      </c>
      <c r="E12" s="120" t="str">
        <f>HYPERLINK("https://youtu.be/NFzUtpXgP8o?t=3469","channel 2")</f>
        <v>channel 2</v>
      </c>
    </row>
    <row r="13">
      <c r="A13" s="90"/>
      <c r="B13" s="62" t="s">
        <v>2679</v>
      </c>
      <c r="C13" s="45" t="s">
        <v>161</v>
      </c>
      <c r="D13" s="62" t="s">
        <v>3223</v>
      </c>
      <c r="E13" s="120" t="str">
        <f>HYPERLINK("https://youtu.be/S1VtPRGhphI?t=4086","channel 1")</f>
        <v>channel 1</v>
      </c>
    </row>
    <row r="14">
      <c r="A14" s="90"/>
      <c r="B14" s="61" t="s">
        <v>3222</v>
      </c>
      <c r="C14" s="45" t="s">
        <v>245</v>
      </c>
      <c r="D14" s="62" t="s">
        <v>3357</v>
      </c>
      <c r="E14" s="120" t="str">
        <f>HYPERLINK("https://youtu.be/NFzUtpXgP8o?t=4266","channel 2")</f>
        <v>channel 2</v>
      </c>
    </row>
    <row r="15">
      <c r="A15" s="90"/>
      <c r="B15" s="62" t="s">
        <v>3223</v>
      </c>
      <c r="C15" s="45" t="s">
        <v>162</v>
      </c>
      <c r="D15" s="62" t="s">
        <v>3358</v>
      </c>
      <c r="E15" s="120" t="str">
        <f>HYPERLINK("https://youtu.be/S1VtPRGhphI?t=4832","channel 1")</f>
        <v>channel 1</v>
      </c>
    </row>
    <row r="16">
      <c r="A16" s="90"/>
      <c r="B16" s="62" t="s">
        <v>2679</v>
      </c>
      <c r="C16" s="45" t="s">
        <v>218</v>
      </c>
      <c r="D16" s="62" t="s">
        <v>3357</v>
      </c>
      <c r="E16" s="120" t="str">
        <f>HYPERLINK("https://youtu.be/NFzUtpXgP8o?t=5107","channel 2")</f>
        <v>channel 2</v>
      </c>
    </row>
    <row r="17">
      <c r="A17" s="90"/>
      <c r="B17" s="61" t="s">
        <v>3222</v>
      </c>
      <c r="C17" s="45" t="s">
        <v>3359</v>
      </c>
      <c r="D17" s="62" t="s">
        <v>3358</v>
      </c>
      <c r="E17" s="120" t="str">
        <f>HYPERLINK("https://youtu.be/S1VtPRGhphI?t=5701","channel 1")</f>
        <v>channel 1</v>
      </c>
    </row>
    <row r="18">
      <c r="A18" s="90"/>
      <c r="B18" s="62" t="s">
        <v>3223</v>
      </c>
      <c r="C18" s="45" t="s">
        <v>163</v>
      </c>
      <c r="D18" s="62" t="s">
        <v>3357</v>
      </c>
      <c r="E18" s="120" t="str">
        <f>HYPERLINK("https://youtu.be/NFzUtpXgP8o?t=5982","channel 2")</f>
        <v>channel 2</v>
      </c>
    </row>
    <row r="19">
      <c r="A19" s="90"/>
      <c r="B19" s="62" t="s">
        <v>2679</v>
      </c>
      <c r="C19" s="45" t="s">
        <v>161</v>
      </c>
      <c r="D19" s="62" t="s">
        <v>3358</v>
      </c>
      <c r="E19" s="120" t="str">
        <f>HYPERLINK("https://youtu.be/S1VtPRGhphI?t=6668","channel 1")</f>
        <v>channel 1</v>
      </c>
    </row>
    <row r="20">
      <c r="A20" s="90"/>
      <c r="B20" s="62" t="s">
        <v>3223</v>
      </c>
      <c r="C20" s="45" t="s">
        <v>20</v>
      </c>
      <c r="D20" s="61" t="s">
        <v>3222</v>
      </c>
      <c r="E20" s="120" t="str">
        <f>HYPERLINK("https://youtu.be/NFzUtpXgP8o?t=6930","channel 2")</f>
        <v>channel 2</v>
      </c>
    </row>
    <row r="21">
      <c r="A21" s="90"/>
      <c r="B21" s="62" t="s">
        <v>3357</v>
      </c>
      <c r="C21" s="45" t="s">
        <v>418</v>
      </c>
      <c r="D21" s="62" t="s">
        <v>3358</v>
      </c>
      <c r="E21" s="120" t="str">
        <f>HYPERLINK("https://youtu.be/S1VtPRGhphI?t=7583","channel 1")</f>
        <v>channel 1</v>
      </c>
    </row>
    <row r="22">
      <c r="A22" s="90"/>
      <c r="B22" s="62" t="s">
        <v>2679</v>
      </c>
      <c r="C22" s="45" t="s">
        <v>549</v>
      </c>
      <c r="D22" s="61" t="s">
        <v>3222</v>
      </c>
      <c r="E22" s="120" t="str">
        <f>HYPERLINK("https://youtu.be/NFzUtpXgP8o?t=7824","channel 2")</f>
        <v>channel 2</v>
      </c>
    </row>
    <row r="23">
      <c r="A23" s="90"/>
      <c r="B23" s="96" t="s">
        <v>1461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3360</v>
      </c>
      <c r="C25" s="45" t="s">
        <v>193</v>
      </c>
      <c r="D25" s="62" t="s">
        <v>1662</v>
      </c>
      <c r="E25" s="11" t="str">
        <f>HYPERLINK("https://youtu.be/QP9DqfdcCZk","channel 1")</f>
        <v>channel 1</v>
      </c>
    </row>
    <row r="26">
      <c r="A26" s="90"/>
      <c r="B26" s="62" t="s">
        <v>1718</v>
      </c>
      <c r="C26" s="45" t="s">
        <v>362</v>
      </c>
      <c r="D26" s="61" t="s">
        <v>2707</v>
      </c>
      <c r="E26" s="11" t="str">
        <f>HYPERLINK("https://youtu.be/gtg-6jlhiCc","channel 2")</f>
        <v>channel 2</v>
      </c>
    </row>
    <row r="27">
      <c r="A27" s="90"/>
      <c r="B27" s="62" t="s">
        <v>3361</v>
      </c>
      <c r="C27" s="45" t="s">
        <v>17</v>
      </c>
      <c r="D27" s="62" t="s">
        <v>3360</v>
      </c>
      <c r="E27" s="11" t="str">
        <f>HYPERLINK("https://youtu.be/QP9DqfdcCZk?t=1017","channel 1")</f>
        <v>channel 1</v>
      </c>
    </row>
    <row r="28">
      <c r="A28" s="90"/>
      <c r="B28" s="62" t="s">
        <v>1718</v>
      </c>
      <c r="C28" s="45" t="s">
        <v>193</v>
      </c>
      <c r="D28" s="62" t="s">
        <v>1662</v>
      </c>
      <c r="E28" s="11" t="str">
        <f>HYPERLINK("https://youtu.be/gtg-6jlhiCc?t=1137","channel 2")</f>
        <v>channel 2</v>
      </c>
    </row>
    <row r="29">
      <c r="A29" s="90"/>
      <c r="B29" s="62" t="s">
        <v>3361</v>
      </c>
      <c r="C29" s="45" t="s">
        <v>164</v>
      </c>
      <c r="D29" s="61" t="s">
        <v>2707</v>
      </c>
      <c r="E29" s="11" t="str">
        <f>HYPERLINK("https://youtu.be/QP9DqfdcCZk?t=1926","channel 1")</f>
        <v>channel 1</v>
      </c>
    </row>
    <row r="30">
      <c r="A30" s="90"/>
      <c r="B30" s="62" t="s">
        <v>1718</v>
      </c>
      <c r="C30" s="45" t="s">
        <v>327</v>
      </c>
      <c r="D30" s="62" t="s">
        <v>3360</v>
      </c>
      <c r="E30" s="11" t="str">
        <f>HYPERLINK("https://youtu.be/gtg-6jlhiCc?t=2021","channel 2")</f>
        <v>channel 2</v>
      </c>
    </row>
    <row r="31">
      <c r="A31" s="90"/>
      <c r="B31" s="62" t="s">
        <v>3361</v>
      </c>
      <c r="C31" s="45" t="s">
        <v>301</v>
      </c>
      <c r="D31" s="62" t="s">
        <v>1662</v>
      </c>
      <c r="E31" s="11" t="str">
        <f>HYPERLINK("https://youtu.be/QP9DqfdcCZk?t=2832","channel 1")</f>
        <v>channel 1</v>
      </c>
    </row>
    <row r="32">
      <c r="A32" s="90"/>
      <c r="B32" s="61" t="s">
        <v>2707</v>
      </c>
      <c r="C32" s="45" t="s">
        <v>557</v>
      </c>
      <c r="D32" s="62" t="s">
        <v>3360</v>
      </c>
      <c r="E32" s="11" t="str">
        <f>HYPERLINK("https://youtu.be/gtg-6jlhiCc?t=2951","channel 2")</f>
        <v>channel 2</v>
      </c>
    </row>
    <row r="33">
      <c r="A33" s="90"/>
      <c r="B33" s="62" t="s">
        <v>3361</v>
      </c>
      <c r="C33" s="45" t="s">
        <v>41</v>
      </c>
      <c r="D33" s="62" t="s">
        <v>1718</v>
      </c>
      <c r="E33" s="11" t="str">
        <f>HYPERLINK("https://youtu.be/QP9DqfdcCZk?t=3757","channel 1")</f>
        <v>channel 1</v>
      </c>
    </row>
    <row r="34">
      <c r="A34" s="90"/>
      <c r="B34" s="61" t="s">
        <v>2707</v>
      </c>
      <c r="C34" s="45" t="s">
        <v>233</v>
      </c>
      <c r="D34" s="62" t="s">
        <v>1662</v>
      </c>
      <c r="E34" s="11" t="str">
        <f>HYPERLINK("https://youtu.be/gtg-6jlhiCc?t=3884","channel 2")</f>
        <v>channel 2</v>
      </c>
    </row>
    <row r="35">
      <c r="A35" s="90"/>
      <c r="B35" s="62" t="s">
        <v>1662</v>
      </c>
      <c r="C35" s="45" t="s">
        <v>23</v>
      </c>
      <c r="D35" s="62" t="s">
        <v>3360</v>
      </c>
      <c r="E35" s="11" t="str">
        <f>HYPERLINK("https://youtu.be/QP9DqfdcCZk?t=4660","channel 1")</f>
        <v>channel 1</v>
      </c>
    </row>
    <row r="36">
      <c r="A36" s="90"/>
      <c r="B36" s="61" t="s">
        <v>2707</v>
      </c>
      <c r="C36" s="45" t="s">
        <v>225</v>
      </c>
      <c r="D36" s="62" t="s">
        <v>1718</v>
      </c>
      <c r="E36" s="11" t="str">
        <f>HYPERLINK("https://youtu.be/gtg-6jlhiCc?t=4816","channel 2")</f>
        <v>channel 2</v>
      </c>
    </row>
    <row r="37">
      <c r="A37" s="90"/>
      <c r="B37" s="62" t="s">
        <v>3360</v>
      </c>
      <c r="C37" s="45" t="s">
        <v>334</v>
      </c>
      <c r="D37" s="62" t="s">
        <v>3361</v>
      </c>
      <c r="E37" s="11" t="str">
        <f>HYPERLINK("https://youtu.be/QP9DqfdcCZk?t=5616","channel 1")</f>
        <v>channel 1</v>
      </c>
    </row>
    <row r="38">
      <c r="A38" s="90"/>
      <c r="B38" s="62" t="s">
        <v>1662</v>
      </c>
      <c r="C38" s="45" t="s">
        <v>279</v>
      </c>
      <c r="D38" s="62" t="s">
        <v>1718</v>
      </c>
      <c r="E38" s="11" t="str">
        <f>HYPERLINK("https://youtu.be/gtg-6jlhiCc?t=5799","channel 2")</f>
        <v>channel 2</v>
      </c>
    </row>
    <row r="39">
      <c r="A39" s="90"/>
      <c r="B39" s="61" t="s">
        <v>2707</v>
      </c>
      <c r="C39" s="45" t="s">
        <v>324</v>
      </c>
      <c r="D39" s="62" t="s">
        <v>3361</v>
      </c>
      <c r="E39" s="11" t="str">
        <f>HYPERLINK("https://youtu.be/QP9DqfdcCZk?t=6619","channel 1")</f>
        <v>channel 1</v>
      </c>
    </row>
    <row r="40">
      <c r="A40" s="90"/>
      <c r="B40" s="62" t="s">
        <v>3360</v>
      </c>
      <c r="C40" s="45" t="s">
        <v>158</v>
      </c>
      <c r="D40" s="62" t="s">
        <v>1718</v>
      </c>
      <c r="E40" s="11" t="str">
        <f>HYPERLINK("https://youtu.be/gtg-6jlhiCc?t=6756","channel 2")</f>
        <v>channel 2</v>
      </c>
    </row>
    <row r="41">
      <c r="A41" s="90"/>
      <c r="B41" s="62" t="s">
        <v>1662</v>
      </c>
      <c r="C41" s="45" t="s">
        <v>18</v>
      </c>
      <c r="D41" s="62" t="s">
        <v>3361</v>
      </c>
      <c r="E41" s="11" t="str">
        <f>HYPERLINK("https://youtu.be/QP9DqfdcCZk?t=7589","channel 1")</f>
        <v>channel 1</v>
      </c>
    </row>
    <row r="42">
      <c r="A42" s="90"/>
      <c r="B42" s="62" t="s">
        <v>3360</v>
      </c>
      <c r="C42" s="45" t="s">
        <v>830</v>
      </c>
      <c r="D42" s="61" t="s">
        <v>2707</v>
      </c>
      <c r="E42" s="11" t="str">
        <f>HYPERLINK("https://youtu.be/gtg-6jlhiCc?t=7729","channel 2")</f>
        <v>channel 2</v>
      </c>
    </row>
    <row r="43">
      <c r="A43" s="90"/>
      <c r="B43" s="62" t="s">
        <v>1718</v>
      </c>
      <c r="C43" s="45" t="s">
        <v>208</v>
      </c>
      <c r="D43" s="62" t="s">
        <v>3361</v>
      </c>
      <c r="E43" s="11" t="str">
        <f>HYPERLINK("https://youtu.be/QP9DqfdcCZk?t=8472","channel 1")</f>
        <v>channel 1</v>
      </c>
    </row>
    <row r="44">
      <c r="A44" s="91"/>
      <c r="B44" s="62" t="s">
        <v>1662</v>
      </c>
      <c r="C44" s="45" t="s">
        <v>531</v>
      </c>
      <c r="D44" s="61" t="s">
        <v>2707</v>
      </c>
      <c r="E44" s="11" t="str">
        <f>HYPERLINK("https://youtu.be/gtg-6jlhiCc?t=8715","channel 2")</f>
        <v>channel 2</v>
      </c>
    </row>
    <row r="45">
      <c r="B45" s="96" t="s">
        <v>3097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1513</v>
      </c>
      <c r="C47" s="45" t="s">
        <v>20</v>
      </c>
      <c r="D47" s="62" t="s">
        <v>999</v>
      </c>
      <c r="E47" s="11" t="str">
        <f>HYPERLINK("https://youtu.be/N67wFsb3Rqk","channel 1")</f>
        <v>channel 1</v>
      </c>
    </row>
    <row r="48">
      <c r="B48" s="62" t="s">
        <v>3362</v>
      </c>
      <c r="C48" s="45" t="s">
        <v>281</v>
      </c>
      <c r="D48" s="61" t="s">
        <v>3363</v>
      </c>
      <c r="E48" s="11" t="str">
        <f>HYPERLINK("https://youtu.be/JzlDcmej1Jk","channel 2")</f>
        <v>channel 2</v>
      </c>
    </row>
    <row r="49">
      <c r="B49" s="62" t="s">
        <v>3257</v>
      </c>
      <c r="C49" s="45" t="s">
        <v>231</v>
      </c>
      <c r="D49" s="62" t="s">
        <v>1513</v>
      </c>
      <c r="E49" s="11" t="str">
        <f>HYPERLINK("https://youtu.be/N67wFsb3Rqk?t=996","channel 1")</f>
        <v>channel 1</v>
      </c>
    </row>
    <row r="50">
      <c r="B50" s="62" t="s">
        <v>3362</v>
      </c>
      <c r="C50" s="45" t="s">
        <v>313</v>
      </c>
      <c r="D50" s="62" t="s">
        <v>999</v>
      </c>
      <c r="E50" s="11" t="str">
        <f>HYPERLINK("https://youtu.be/JzlDcmej1Jk?t=1065","channel 2")</f>
        <v>channel 2</v>
      </c>
    </row>
    <row r="51">
      <c r="B51" s="62" t="s">
        <v>3257</v>
      </c>
      <c r="C51" s="45" t="s">
        <v>344</v>
      </c>
      <c r="D51" s="61" t="s">
        <v>3363</v>
      </c>
      <c r="E51" s="11" t="str">
        <f>HYPERLINK("https://youtu.be/N67wFsb3Rqk?t=1969","channel 1")</f>
        <v>channel 1</v>
      </c>
    </row>
    <row r="52">
      <c r="B52" s="62" t="s">
        <v>3362</v>
      </c>
      <c r="C52" s="45" t="s">
        <v>383</v>
      </c>
      <c r="D52" s="62" t="s">
        <v>1513</v>
      </c>
      <c r="E52" s="11" t="str">
        <f>HYPERLINK("https://youtu.be/JzlDcmej1Jk?t=2051","channel 2")</f>
        <v>channel 2</v>
      </c>
    </row>
    <row r="53">
      <c r="B53" s="62" t="s">
        <v>3257</v>
      </c>
      <c r="C53" s="45" t="s">
        <v>205</v>
      </c>
      <c r="D53" s="62" t="s">
        <v>999</v>
      </c>
      <c r="E53" s="11" t="str">
        <f>HYPERLINK("https://youtu.be/N67wFsb3Rqk?t=2909","channel 1")</f>
        <v>channel 1</v>
      </c>
    </row>
    <row r="54">
      <c r="B54" s="61" t="s">
        <v>3363</v>
      </c>
      <c r="C54" s="45" t="s">
        <v>620</v>
      </c>
      <c r="D54" s="62" t="s">
        <v>1513</v>
      </c>
      <c r="E54" s="11" t="str">
        <f>HYPERLINK("https://youtu.be/JzlDcmej1Jk?t=2982","channel 2")</f>
        <v>channel 2</v>
      </c>
    </row>
    <row r="55">
      <c r="B55" s="62" t="s">
        <v>3257</v>
      </c>
      <c r="C55" s="45" t="s">
        <v>163</v>
      </c>
      <c r="D55" s="62" t="s">
        <v>3362</v>
      </c>
      <c r="E55" s="11" t="str">
        <f>HYPERLINK("https://youtu.be/N67wFsb3Rqk?t=3940","channel 1")</f>
        <v>channel 1</v>
      </c>
    </row>
    <row r="56">
      <c r="B56" s="61" t="s">
        <v>3363</v>
      </c>
      <c r="C56" s="45" t="s">
        <v>290</v>
      </c>
      <c r="D56" s="62" t="s">
        <v>999</v>
      </c>
      <c r="E56" s="11" t="str">
        <f>HYPERLINK("https://youtu.be/JzlDcmej1Jk?t=4019","channel 2")</f>
        <v>channel 2</v>
      </c>
    </row>
    <row r="57">
      <c r="B57" s="62" t="s">
        <v>999</v>
      </c>
      <c r="C57" s="45" t="s">
        <v>162</v>
      </c>
      <c r="D57" s="62" t="s">
        <v>1513</v>
      </c>
      <c r="E57" s="11" t="str">
        <f>HYPERLINK("https://youtu.be/N67wFsb3Rqk?t=4879","channel 1")</f>
        <v>channel 1</v>
      </c>
    </row>
    <row r="58">
      <c r="B58" s="61" t="s">
        <v>3363</v>
      </c>
      <c r="C58" s="45" t="s">
        <v>301</v>
      </c>
      <c r="D58" s="62" t="s">
        <v>3362</v>
      </c>
      <c r="E58" s="11" t="str">
        <f>HYPERLINK("https://youtu.be/JzlDcmej1Jk?t=5030","channel 2")</f>
        <v>channel 2</v>
      </c>
    </row>
    <row r="59">
      <c r="B59" s="62" t="s">
        <v>1513</v>
      </c>
      <c r="C59" s="45" t="s">
        <v>1255</v>
      </c>
      <c r="D59" s="62" t="s">
        <v>3257</v>
      </c>
      <c r="E59" s="11" t="str">
        <f>HYPERLINK("https://youtu.be/N67wFsb3Rqk?t=5918","channel 1")</f>
        <v>channel 1</v>
      </c>
    </row>
    <row r="60">
      <c r="B60" s="62" t="s">
        <v>999</v>
      </c>
      <c r="C60" s="45" t="s">
        <v>271</v>
      </c>
      <c r="D60" s="62" t="s">
        <v>3362</v>
      </c>
      <c r="E60" s="11" t="str">
        <f>HYPERLINK("https://youtu.be/JzlDcmej1Jk?t=5957","channel 2")</f>
        <v>channel 2</v>
      </c>
    </row>
    <row r="61">
      <c r="B61" s="61" t="s">
        <v>3363</v>
      </c>
      <c r="C61" s="45" t="s">
        <v>675</v>
      </c>
      <c r="D61" s="62" t="s">
        <v>3257</v>
      </c>
      <c r="E61" s="11" t="str">
        <f>HYPERLINK("https://youtu.be/N67wFsb3Rqk?t=6946","channel 1")</f>
        <v>channel 1</v>
      </c>
    </row>
    <row r="62">
      <c r="B62" s="62" t="s">
        <v>1513</v>
      </c>
      <c r="C62" s="45" t="s">
        <v>7</v>
      </c>
      <c r="D62" s="62" t="s">
        <v>3362</v>
      </c>
      <c r="E62" s="11" t="str">
        <f>HYPERLINK("https://youtu.be/JzlDcmej1Jk?t=6935","channel 2")</f>
        <v>channel 2</v>
      </c>
    </row>
    <row r="63">
      <c r="B63" s="62" t="s">
        <v>999</v>
      </c>
      <c r="C63" s="45" t="s">
        <v>233</v>
      </c>
      <c r="D63" s="62" t="s">
        <v>3257</v>
      </c>
      <c r="E63" s="11" t="str">
        <f>HYPERLINK("https://youtu.be/N67wFsb3Rqk?t=7901","channel 1")</f>
        <v>channel 1</v>
      </c>
    </row>
    <row r="64">
      <c r="B64" s="62" t="s">
        <v>1513</v>
      </c>
      <c r="C64" s="45" t="s">
        <v>194</v>
      </c>
      <c r="D64" s="61" t="s">
        <v>3363</v>
      </c>
      <c r="E64" s="11" t="str">
        <f>HYPERLINK("https://youtu.be/JzlDcmej1Jk?t=7993","channel 2")</f>
        <v>channel 2</v>
      </c>
    </row>
    <row r="65">
      <c r="B65" s="62" t="s">
        <v>3362</v>
      </c>
      <c r="C65" s="45" t="s">
        <v>225</v>
      </c>
      <c r="D65" s="62" t="s">
        <v>3257</v>
      </c>
      <c r="E65" s="11" t="str">
        <f>HYPERLINK("https://youtu.be/N67wFsb3Rqk?t=8868","channel 1")</f>
        <v>channel 1</v>
      </c>
    </row>
    <row r="66">
      <c r="B66" s="62" t="s">
        <v>999</v>
      </c>
      <c r="C66" s="45" t="s">
        <v>357</v>
      </c>
      <c r="D66" s="61" t="s">
        <v>3363</v>
      </c>
      <c r="E66" s="11" t="str">
        <f>HYPERLINK("https://youtu.be/JzlDcmej1Jk?t=8948","channel 2")</f>
        <v>channel 2</v>
      </c>
    </row>
    <row r="67">
      <c r="B67" s="96" t="s">
        <v>2207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1521</v>
      </c>
      <c r="C69" s="45" t="s">
        <v>194</v>
      </c>
      <c r="D69" s="62" t="s">
        <v>1861</v>
      </c>
      <c r="E69" s="11" t="str">
        <f>HYPERLINK("https://youtu.be/uYWCiKwH2TU","channel 1")</f>
        <v>channel 1</v>
      </c>
    </row>
    <row r="70">
      <c r="B70" s="62" t="s">
        <v>3364</v>
      </c>
      <c r="C70" s="45" t="s">
        <v>211</v>
      </c>
      <c r="D70" s="61" t="s">
        <v>3365</v>
      </c>
      <c r="E70" s="11" t="str">
        <f>HYPERLINK("https://youtu.be/B1atTVu_t6A?t=237","channel 2")</f>
        <v>channel 2</v>
      </c>
    </row>
    <row r="71">
      <c r="B71" s="62" t="s">
        <v>3366</v>
      </c>
      <c r="C71" s="45" t="s">
        <v>245</v>
      </c>
      <c r="D71" s="62" t="s">
        <v>1521</v>
      </c>
      <c r="E71" s="11" t="str">
        <f>HYPERLINK("https://youtu.be/uYWCiKwH2TU?t=1017","channel 1")</f>
        <v>channel 1</v>
      </c>
    </row>
    <row r="72">
      <c r="B72" s="62" t="s">
        <v>3364</v>
      </c>
      <c r="C72" s="45" t="s">
        <v>181</v>
      </c>
      <c r="D72" s="62" t="s">
        <v>1861</v>
      </c>
      <c r="E72" s="11" t="str">
        <f>HYPERLINK("https://youtu.be/B1atTVu_t6A?t=1129","channel 2")</f>
        <v>channel 2</v>
      </c>
    </row>
    <row r="73">
      <c r="B73" s="62" t="s">
        <v>3366</v>
      </c>
      <c r="C73" s="45" t="s">
        <v>39</v>
      </c>
      <c r="D73" s="61" t="s">
        <v>3365</v>
      </c>
      <c r="E73" s="11" t="str">
        <f>HYPERLINK("https://youtu.be/uYWCiKwH2TU?t=2078","channel 1")</f>
        <v>channel 1</v>
      </c>
    </row>
    <row r="74">
      <c r="B74" s="62" t="s">
        <v>3364</v>
      </c>
      <c r="C74" s="45" t="s">
        <v>324</v>
      </c>
      <c r="D74" s="62" t="s">
        <v>1521</v>
      </c>
      <c r="E74" s="11" t="str">
        <f>HYPERLINK("https://youtu.be/B1atTVu_t6A?t=2092","channel 2")</f>
        <v>channel 2</v>
      </c>
    </row>
    <row r="75">
      <c r="B75" s="62" t="s">
        <v>3366</v>
      </c>
      <c r="C75" s="45" t="s">
        <v>718</v>
      </c>
      <c r="D75" s="62" t="s">
        <v>1861</v>
      </c>
      <c r="E75" s="11" t="str">
        <f>HYPERLINK("https://youtu.be/uYWCiKwH2TU?t=3086","channel 1")</f>
        <v>channel 1</v>
      </c>
    </row>
    <row r="76">
      <c r="B76" s="61" t="s">
        <v>3365</v>
      </c>
      <c r="C76" s="45" t="s">
        <v>19</v>
      </c>
      <c r="D76" s="62" t="s">
        <v>1521</v>
      </c>
      <c r="E76" s="11" t="str">
        <f>HYPERLINK("https://youtu.be/B1atTVu_t6A?t=3120","channel 2")</f>
        <v>channel 2</v>
      </c>
    </row>
    <row r="77">
      <c r="B77" s="62" t="s">
        <v>3366</v>
      </c>
      <c r="C77" s="45" t="s">
        <v>2222</v>
      </c>
      <c r="D77" s="62" t="s">
        <v>3364</v>
      </c>
      <c r="E77" s="11" t="str">
        <f>HYPERLINK("https://youtu.be/uYWCiKwH2TU?t=4040","channel 1")</f>
        <v>channel 1</v>
      </c>
    </row>
    <row r="78">
      <c r="B78" s="61" t="s">
        <v>3365</v>
      </c>
      <c r="C78" s="45" t="s">
        <v>286</v>
      </c>
      <c r="D78" s="62" t="s">
        <v>1861</v>
      </c>
      <c r="E78" s="11" t="str">
        <f>HYPERLINK("https://youtu.be/B1atTVu_t6A?t=4110","channel 2")</f>
        <v>channel 2</v>
      </c>
    </row>
    <row r="79">
      <c r="B79" s="62" t="s">
        <v>1861</v>
      </c>
      <c r="C79" s="45" t="s">
        <v>18</v>
      </c>
      <c r="D79" s="62" t="s">
        <v>1521</v>
      </c>
      <c r="E79" s="11" t="str">
        <f>HYPERLINK("https://youtu.be/uYWCiKwH2TU?t=5025","channel 1")</f>
        <v>channel 1</v>
      </c>
    </row>
    <row r="80">
      <c r="B80" s="61" t="s">
        <v>3365</v>
      </c>
      <c r="C80" s="45" t="s">
        <v>165</v>
      </c>
      <c r="D80" s="62" t="s">
        <v>3364</v>
      </c>
      <c r="E80" s="11" t="str">
        <f>HYPERLINK("https://youtu.be/B1atTVu_t6A?t=5060","channel 2")</f>
        <v>channel 2</v>
      </c>
    </row>
    <row r="81">
      <c r="B81" s="62" t="s">
        <v>1521</v>
      </c>
      <c r="C81" s="45" t="s">
        <v>231</v>
      </c>
      <c r="D81" s="62" t="s">
        <v>3366</v>
      </c>
      <c r="E81" s="11" t="str">
        <f>HYPERLINK("https://youtu.be/uYWCiKwH2TU?t=6057","channel 1")</f>
        <v>channel 1</v>
      </c>
    </row>
    <row r="82">
      <c r="B82" s="62" t="s">
        <v>1861</v>
      </c>
      <c r="C82" s="45" t="s">
        <v>17</v>
      </c>
      <c r="D82" s="62" t="s">
        <v>3364</v>
      </c>
      <c r="E82" s="11" t="str">
        <f>HYPERLINK("https://youtu.be/B1atTVu_t6A?t=6109","channel 2")</f>
        <v>channel 2</v>
      </c>
    </row>
    <row r="83">
      <c r="B83" s="61" t="s">
        <v>3365</v>
      </c>
      <c r="C83" s="45" t="s">
        <v>314</v>
      </c>
      <c r="D83" s="62" t="s">
        <v>3366</v>
      </c>
      <c r="E83" s="11" t="str">
        <f>HYPERLINK("https://youtu.be/uYWCiKwH2TU?t=7026","channel 1")</f>
        <v>channel 1</v>
      </c>
    </row>
    <row r="84">
      <c r="B84" s="62" t="s">
        <v>1521</v>
      </c>
      <c r="C84" s="45" t="s">
        <v>155</v>
      </c>
      <c r="D84" s="62" t="s">
        <v>3364</v>
      </c>
      <c r="E84" s="11" t="str">
        <f>HYPERLINK("https://youtu.be/B1atTVu_t6A?t=7113","channel 2")</f>
        <v>channel 2</v>
      </c>
    </row>
    <row r="85">
      <c r="B85" s="62" t="s">
        <v>1861</v>
      </c>
      <c r="C85" s="45" t="s">
        <v>3367</v>
      </c>
      <c r="D85" s="62" t="s">
        <v>3366</v>
      </c>
      <c r="E85" s="11" t="str">
        <f>HYPERLINK("https://youtu.be/uYWCiKwH2TU?t=7971","channel 1")</f>
        <v>channel 1</v>
      </c>
    </row>
    <row r="86">
      <c r="B86" s="62" t="s">
        <v>1521</v>
      </c>
      <c r="C86" s="45" t="s">
        <v>36</v>
      </c>
      <c r="D86" s="61" t="s">
        <v>3365</v>
      </c>
      <c r="E86" s="11" t="str">
        <f>HYPERLINK("https://youtu.be/B1atTVu_t6A?t=8058","channel 2")</f>
        <v>channel 2</v>
      </c>
    </row>
    <row r="87">
      <c r="B87" s="62" t="s">
        <v>3364</v>
      </c>
      <c r="C87" s="45" t="s">
        <v>376</v>
      </c>
      <c r="D87" s="62" t="s">
        <v>3366</v>
      </c>
      <c r="E87" s="11" t="str">
        <f>HYPERLINK("https://youtu.be/uYWCiKwH2TU?t=8895","channel 1")</f>
        <v>channel 1</v>
      </c>
    </row>
    <row r="88">
      <c r="B88" s="62" t="s">
        <v>1861</v>
      </c>
      <c r="C88" s="45" t="s">
        <v>166</v>
      </c>
      <c r="D88" s="61" t="s">
        <v>3365</v>
      </c>
      <c r="E88" s="11" t="str">
        <f>HYPERLINK("https://youtu.be/B1atTVu_t6A?t=8966","channel 2")</f>
        <v>channel 2</v>
      </c>
    </row>
    <row r="89">
      <c r="B89" s="96" t="s">
        <v>2919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3297</v>
      </c>
      <c r="C91" s="45" t="s">
        <v>610</v>
      </c>
      <c r="D91" s="62" t="s">
        <v>3368</v>
      </c>
      <c r="E91" s="11" t="str">
        <f>HYPERLINK("https://youtu.be/mGkjnam6410","channel 3")</f>
        <v>channel 3</v>
      </c>
    </row>
    <row r="92">
      <c r="B92" s="62" t="s">
        <v>3369</v>
      </c>
      <c r="C92" s="45" t="s">
        <v>181</v>
      </c>
      <c r="D92" s="61" t="s">
        <v>1048</v>
      </c>
      <c r="E92" s="11" t="str">
        <f>HYPERLINK("https://youtu.be/j3cszTgci58","channel 4")</f>
        <v>channel 4</v>
      </c>
    </row>
    <row r="93">
      <c r="B93" s="62" t="s">
        <v>568</v>
      </c>
      <c r="C93" s="45" t="s">
        <v>162</v>
      </c>
      <c r="D93" s="62" t="s">
        <v>3297</v>
      </c>
      <c r="E93" s="11" t="str">
        <f>HYPERLINK("https://youtu.be/mGkjnam6410?t=943","channel 3")</f>
        <v>channel 3</v>
      </c>
    </row>
    <row r="94">
      <c r="B94" s="62" t="s">
        <v>3369</v>
      </c>
      <c r="C94" s="45" t="s">
        <v>963</v>
      </c>
      <c r="D94" s="62" t="s">
        <v>3368</v>
      </c>
      <c r="E94" s="11" t="str">
        <f>HYPERLINK("https://youtu.be/j3cszTgci58?t=909","channel 4")</f>
        <v>channel 4</v>
      </c>
    </row>
    <row r="95">
      <c r="B95" s="62" t="s">
        <v>568</v>
      </c>
      <c r="C95" s="45" t="s">
        <v>750</v>
      </c>
      <c r="D95" s="61" t="s">
        <v>1048</v>
      </c>
      <c r="E95" s="11" t="str">
        <f>HYPERLINK("https://youtu.be/mGkjnam6410?t=1833","channel 3")</f>
        <v>channel 3</v>
      </c>
    </row>
    <row r="96">
      <c r="B96" s="62" t="s">
        <v>3369</v>
      </c>
      <c r="C96" s="45" t="s">
        <v>158</v>
      </c>
      <c r="D96" s="62" t="s">
        <v>3297</v>
      </c>
      <c r="E96" s="11" t="str">
        <f>HYPERLINK("https://youtu.be/j3cszTgci58?t=1855","channel 4")</f>
        <v>channel 4</v>
      </c>
    </row>
    <row r="97">
      <c r="B97" s="62" t="s">
        <v>568</v>
      </c>
      <c r="C97" s="45" t="s">
        <v>181</v>
      </c>
      <c r="D97" s="62" t="s">
        <v>3368</v>
      </c>
      <c r="E97" s="11" t="str">
        <f>HYPERLINK("https://youtu.be/mGkjnam6410?t=2825","channel 3")</f>
        <v>channel 3</v>
      </c>
    </row>
    <row r="98">
      <c r="B98" s="61" t="s">
        <v>1048</v>
      </c>
      <c r="C98" s="45" t="s">
        <v>164</v>
      </c>
      <c r="D98" s="62" t="s">
        <v>3297</v>
      </c>
      <c r="E98" s="11" t="str">
        <f>HYPERLINK("https://youtu.be/j3cszTgci58?t=2769","channel 4")</f>
        <v>channel 4</v>
      </c>
    </row>
    <row r="99">
      <c r="B99" s="62" t="s">
        <v>568</v>
      </c>
      <c r="C99" s="45" t="s">
        <v>7</v>
      </c>
      <c r="D99" s="62" t="s">
        <v>3369</v>
      </c>
      <c r="E99" s="11" t="str">
        <f>HYPERLINK("https://youtu.be/mGkjnam6410?t=3678","channel 3")</f>
        <v>channel 3</v>
      </c>
    </row>
    <row r="100">
      <c r="B100" s="61" t="s">
        <v>1048</v>
      </c>
      <c r="C100" s="45" t="s">
        <v>718</v>
      </c>
      <c r="D100" s="62" t="s">
        <v>3368</v>
      </c>
      <c r="E100" s="11" t="str">
        <f>HYPERLINK("https://youtu.be/j3cszTgci58?t=3730","channel 4")</f>
        <v>channel 4</v>
      </c>
    </row>
    <row r="101">
      <c r="B101" s="62" t="s">
        <v>3368</v>
      </c>
      <c r="C101" s="45" t="s">
        <v>185</v>
      </c>
      <c r="D101" s="62" t="s">
        <v>3297</v>
      </c>
      <c r="E101" s="11" t="str">
        <f>HYPERLINK("https://youtu.be/mGkjnam6410?t=4582","channel 3")</f>
        <v>channel 3</v>
      </c>
    </row>
    <row r="102">
      <c r="B102" s="61" t="s">
        <v>1048</v>
      </c>
      <c r="C102" s="45" t="s">
        <v>219</v>
      </c>
      <c r="D102" s="62" t="s">
        <v>3369</v>
      </c>
      <c r="E102" s="11" t="str">
        <f>HYPERLINK("https://youtu.be/j3cszTgci58?t=4604","channel 4")</f>
        <v>channel 4</v>
      </c>
    </row>
    <row r="103">
      <c r="B103" s="62" t="s">
        <v>3297</v>
      </c>
      <c r="C103" s="45" t="s">
        <v>185</v>
      </c>
      <c r="D103" s="62" t="s">
        <v>568</v>
      </c>
      <c r="E103" s="11" t="str">
        <f>HYPERLINK("https://youtu.be/mGkjnam6410?t=5494","channel 3")</f>
        <v>channel 3</v>
      </c>
    </row>
    <row r="104">
      <c r="B104" s="62" t="s">
        <v>3368</v>
      </c>
      <c r="C104" s="45" t="s">
        <v>323</v>
      </c>
      <c r="D104" s="62" t="s">
        <v>3369</v>
      </c>
      <c r="E104" s="11" t="str">
        <f>HYPERLINK("https://youtu.be/j3cszTgci58?t=5501","channel 4")</f>
        <v>channel 4</v>
      </c>
    </row>
    <row r="105">
      <c r="B105" s="61" t="s">
        <v>1048</v>
      </c>
      <c r="C105" s="45" t="s">
        <v>354</v>
      </c>
      <c r="D105" s="62" t="s">
        <v>568</v>
      </c>
      <c r="E105" s="11" t="str">
        <f>HYPERLINK("https://youtu.be/mGkjnam6410?t=6362","channel 3")</f>
        <v>channel 3</v>
      </c>
    </row>
    <row r="106">
      <c r="B106" s="62" t="s">
        <v>3297</v>
      </c>
      <c r="C106" s="45" t="s">
        <v>163</v>
      </c>
      <c r="D106" s="62" t="s">
        <v>3369</v>
      </c>
      <c r="E106" s="11" t="str">
        <f>HYPERLINK("https://youtu.be/j3cszTgci58?t=6341","channel 4")</f>
        <v>channel 4</v>
      </c>
    </row>
    <row r="107">
      <c r="B107" s="62" t="s">
        <v>3368</v>
      </c>
      <c r="C107" s="45" t="s">
        <v>2228</v>
      </c>
      <c r="D107" s="62" t="s">
        <v>568</v>
      </c>
      <c r="E107" s="11" t="str">
        <f>HYPERLINK("https://youtu.be/mGkjnam6410?t=7432","channel 3")</f>
        <v>channel 3</v>
      </c>
    </row>
    <row r="108">
      <c r="B108" s="62" t="s">
        <v>3297</v>
      </c>
      <c r="C108" s="45" t="s">
        <v>23</v>
      </c>
      <c r="D108" s="61" t="s">
        <v>1048</v>
      </c>
      <c r="E108" s="11" t="str">
        <f>HYPERLINK("https://youtu.be/j3cszTgci58?t=7460","channel 4")</f>
        <v>channel 4</v>
      </c>
    </row>
    <row r="109">
      <c r="B109" s="62" t="s">
        <v>3369</v>
      </c>
      <c r="C109" s="45" t="s">
        <v>180</v>
      </c>
      <c r="D109" s="62" t="s">
        <v>568</v>
      </c>
      <c r="E109" s="11" t="str">
        <f>HYPERLINK("https://youtu.be/mGkjnam6410?t=8266","channel 3")</f>
        <v>channel 3</v>
      </c>
    </row>
    <row r="110">
      <c r="B110" s="62" t="s">
        <v>3368</v>
      </c>
      <c r="C110" s="45" t="s">
        <v>193</v>
      </c>
      <c r="D110" s="61" t="s">
        <v>1048</v>
      </c>
      <c r="E110" s="11" t="str">
        <f>HYPERLINK("https://youtu.be/j3cszTgci58?t=8318","channel 4")</f>
        <v>channel 4</v>
      </c>
    </row>
    <row r="111">
      <c r="B111" s="96" t="s">
        <v>2741</v>
      </c>
      <c r="C111" s="2"/>
      <c r="D111" s="3"/>
      <c r="E111" s="5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3370</v>
      </c>
      <c r="C113" s="57" t="s">
        <v>20</v>
      </c>
      <c r="D113" s="62" t="s">
        <v>295</v>
      </c>
      <c r="E113" s="11" t="str">
        <f>HYPERLINK("https://youtu.be/e4phMBN4zB0","channel 3")</f>
        <v>channel 3</v>
      </c>
    </row>
    <row r="114">
      <c r="B114" s="62" t="s">
        <v>1877</v>
      </c>
      <c r="C114" s="57" t="s">
        <v>3371</v>
      </c>
      <c r="D114" s="61" t="s">
        <v>1499</v>
      </c>
      <c r="E114" s="11" t="str">
        <f>HYPERLINK("https://youtu.be/sGxVJqAy4Vo","channel 4")</f>
        <v>channel 4</v>
      </c>
    </row>
    <row r="115">
      <c r="B115" s="62" t="s">
        <v>438</v>
      </c>
      <c r="C115" s="81" t="s">
        <v>668</v>
      </c>
      <c r="D115" s="62" t="s">
        <v>3370</v>
      </c>
      <c r="E115" s="125" t="s">
        <v>29</v>
      </c>
    </row>
    <row r="116">
      <c r="B116" s="62" t="s">
        <v>1877</v>
      </c>
      <c r="C116" s="81" t="s">
        <v>668</v>
      </c>
      <c r="D116" s="62" t="s">
        <v>295</v>
      </c>
      <c r="E116" s="125" t="s">
        <v>33</v>
      </c>
    </row>
    <row r="117">
      <c r="B117" s="62" t="s">
        <v>438</v>
      </c>
      <c r="C117" s="57" t="s">
        <v>2379</v>
      </c>
      <c r="D117" s="61" t="s">
        <v>1499</v>
      </c>
      <c r="E117" s="11" t="str">
        <f>HYPERLINK("https://youtu.be/e4phMBN4zB0?t=1622","channel 3")</f>
        <v>channel 3</v>
      </c>
    </row>
    <row r="118">
      <c r="B118" s="62" t="s">
        <v>1877</v>
      </c>
      <c r="C118" s="57" t="s">
        <v>231</v>
      </c>
      <c r="D118" s="62" t="s">
        <v>3370</v>
      </c>
      <c r="E118" s="11" t="str">
        <f>HYPERLINK("https://youtu.be/sGxVJqAy4Vo?t=1690","channel 4")</f>
        <v>channel 4</v>
      </c>
    </row>
    <row r="119">
      <c r="B119" s="62" t="s">
        <v>438</v>
      </c>
      <c r="C119" s="57" t="s">
        <v>2814</v>
      </c>
      <c r="D119" s="62" t="s">
        <v>295</v>
      </c>
      <c r="E119" s="11" t="str">
        <f>HYPERLINK("https://youtu.be/e4phMBN4zB0?t=2559","channel 3")</f>
        <v>channel 3</v>
      </c>
    </row>
    <row r="120">
      <c r="B120" s="61" t="s">
        <v>1499</v>
      </c>
      <c r="C120" s="57" t="s">
        <v>41</v>
      </c>
      <c r="D120" s="62" t="s">
        <v>3370</v>
      </c>
      <c r="E120" s="11" t="str">
        <f>HYPERLINK("https://youtu.be/sGxVJqAy4Vo?t=2564","channel 4")</f>
        <v>channel 4</v>
      </c>
    </row>
    <row r="121">
      <c r="B121" s="62" t="s">
        <v>438</v>
      </c>
      <c r="C121" s="57" t="s">
        <v>290</v>
      </c>
      <c r="D121" s="62" t="s">
        <v>1877</v>
      </c>
      <c r="E121" s="11" t="str">
        <f>HYPERLINK("https://youtu.be/e4phMBN4zB0?t=3502","channel 3")</f>
        <v>channel 3</v>
      </c>
    </row>
    <row r="122">
      <c r="B122" s="61" t="s">
        <v>1499</v>
      </c>
      <c r="C122" s="57" t="s">
        <v>3372</v>
      </c>
      <c r="D122" s="62" t="s">
        <v>295</v>
      </c>
      <c r="E122" s="11" t="str">
        <f>HYPERLINK("https://youtu.be/sGxVJqAy4Vo?t=3453","channel 4")</f>
        <v>channel 4</v>
      </c>
    </row>
    <row r="123">
      <c r="B123" s="62" t="s">
        <v>295</v>
      </c>
      <c r="C123" s="57" t="s">
        <v>257</v>
      </c>
      <c r="D123" s="62" t="s">
        <v>3370</v>
      </c>
      <c r="E123" s="11" t="str">
        <f>HYPERLINK("https://youtu.be/e4phMBN4zB0?t=4400","channel 3")</f>
        <v>channel 3</v>
      </c>
    </row>
    <row r="124">
      <c r="B124" s="61" t="s">
        <v>1499</v>
      </c>
      <c r="C124" s="45" t="s">
        <v>271</v>
      </c>
      <c r="D124" s="62" t="s">
        <v>1877</v>
      </c>
      <c r="E124" s="11" t="str">
        <f>HYPERLINK("https://youtu.be/sGxVJqAy4Vo?t=4437","channel 4")</f>
        <v>channel 4</v>
      </c>
    </row>
    <row r="125">
      <c r="B125" s="62" t="s">
        <v>3370</v>
      </c>
      <c r="C125" s="45" t="s">
        <v>3373</v>
      </c>
      <c r="D125" s="62" t="s">
        <v>438</v>
      </c>
      <c r="E125" s="11" t="str">
        <f>HYPERLINK("https://youtu.be/e4phMBN4zB0?t=5376","channel 3")</f>
        <v>channel 3</v>
      </c>
    </row>
    <row r="126">
      <c r="B126" s="62" t="s">
        <v>295</v>
      </c>
      <c r="C126" s="45" t="s">
        <v>181</v>
      </c>
      <c r="D126" s="62" t="s">
        <v>1877</v>
      </c>
      <c r="E126" s="11" t="str">
        <f>HYPERLINK("https://youtu.be/sGxVJqAy4Vo?t=5429","channel 4")</f>
        <v>channel 4</v>
      </c>
    </row>
    <row r="127">
      <c r="B127" s="61" t="s">
        <v>1499</v>
      </c>
      <c r="C127" s="45" t="s">
        <v>3374</v>
      </c>
      <c r="D127" s="62" t="s">
        <v>438</v>
      </c>
      <c r="E127" s="11" t="str">
        <f>HYPERLINK("https://youtu.be/e4phMBN4zB0?t=6401","channel 3")</f>
        <v>channel 3</v>
      </c>
    </row>
    <row r="128">
      <c r="B128" s="62" t="s">
        <v>3370</v>
      </c>
      <c r="C128" s="45" t="s">
        <v>193</v>
      </c>
      <c r="D128" s="62" t="s">
        <v>1877</v>
      </c>
      <c r="E128" s="11" t="str">
        <f>HYPERLINK("https://youtu.be/sGxVJqAy4Vo?t=6370","channel 4")</f>
        <v>channel 4</v>
      </c>
    </row>
    <row r="129">
      <c r="B129" s="62" t="s">
        <v>295</v>
      </c>
      <c r="C129" s="45" t="s">
        <v>3375</v>
      </c>
      <c r="D129" s="62" t="s">
        <v>438</v>
      </c>
      <c r="E129" s="11" t="str">
        <f>HYPERLINK("https://youtu.be/e4phMBN4zB0?t=7288","channel 3")</f>
        <v>channel 3</v>
      </c>
    </row>
    <row r="130">
      <c r="B130" s="62" t="s">
        <v>3370</v>
      </c>
      <c r="C130" s="45" t="s">
        <v>573</v>
      </c>
      <c r="D130" s="61" t="s">
        <v>1499</v>
      </c>
      <c r="E130" s="11" t="str">
        <f>HYPERLINK("https://youtu.be/sGxVJqAy4Vo?t=7298","channel 4")</f>
        <v>channel 4</v>
      </c>
    </row>
    <row r="131">
      <c r="B131" s="62" t="s">
        <v>1877</v>
      </c>
      <c r="C131" s="45" t="s">
        <v>650</v>
      </c>
      <c r="D131" s="62" t="s">
        <v>438</v>
      </c>
      <c r="E131" s="11" t="str">
        <f>HYPERLINK("https://youtu.be/e4phMBN4zB0?t=8178","channel 3")</f>
        <v>channel 3</v>
      </c>
    </row>
    <row r="132">
      <c r="B132" s="62" t="s">
        <v>295</v>
      </c>
      <c r="C132" s="81" t="s">
        <v>668</v>
      </c>
      <c r="D132" s="61" t="s">
        <v>1499</v>
      </c>
      <c r="E132" s="125" t="s">
        <v>33</v>
      </c>
    </row>
    <row r="133">
      <c r="B133" s="96" t="s">
        <v>2653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3376</v>
      </c>
      <c r="C135" s="45" t="s">
        <v>162</v>
      </c>
      <c r="D135" s="62" t="s">
        <v>3377</v>
      </c>
      <c r="E135" s="11" t="str">
        <f>HYPERLINK("https://youtu.be/Ivp1LIlmrhM","channel 1")</f>
        <v>channel 1</v>
      </c>
    </row>
    <row r="136">
      <c r="B136" s="62" t="s">
        <v>1844</v>
      </c>
      <c r="C136" s="45" t="s">
        <v>171</v>
      </c>
      <c r="D136" s="61" t="s">
        <v>3378</v>
      </c>
      <c r="E136" s="11" t="str">
        <f>HYPERLINK("https://youtu.be/dR0Pbb037iQ?t=234","channel 2")</f>
        <v>channel 2</v>
      </c>
    </row>
    <row r="137">
      <c r="B137" s="62" t="s">
        <v>3301</v>
      </c>
      <c r="C137" s="45" t="s">
        <v>185</v>
      </c>
      <c r="D137" s="62" t="s">
        <v>3376</v>
      </c>
      <c r="E137" s="11" t="str">
        <f>HYPERLINK("https://youtu.be/Ivp1LIlmrhM?t=1001","channel 1")</f>
        <v>channel 1</v>
      </c>
    </row>
    <row r="138">
      <c r="B138" s="62" t="s">
        <v>1844</v>
      </c>
      <c r="C138" s="45" t="s">
        <v>158</v>
      </c>
      <c r="D138" s="62" t="s">
        <v>3377</v>
      </c>
      <c r="E138" s="11" t="str">
        <f>HYPERLINK("https://youtu.be/dR0Pbb037iQ?t=1280","channel 2")</f>
        <v>channel 2</v>
      </c>
    </row>
    <row r="139">
      <c r="B139" s="62" t="s">
        <v>3301</v>
      </c>
      <c r="C139" s="45" t="s">
        <v>7</v>
      </c>
      <c r="D139" s="61" t="s">
        <v>3378</v>
      </c>
      <c r="E139" s="11" t="str">
        <f>HYPERLINK("https://youtu.be/Ivp1LIlmrhM?t=1954","channel 1")</f>
        <v>channel 1</v>
      </c>
    </row>
    <row r="140">
      <c r="B140" s="62" t="s">
        <v>1844</v>
      </c>
      <c r="C140" s="45" t="s">
        <v>344</v>
      </c>
      <c r="D140" s="62" t="s">
        <v>3376</v>
      </c>
      <c r="E140" s="11" t="str">
        <f>HYPERLINK("https://youtu.be/dR0Pbb037iQ?t=2145","channel 2")</f>
        <v>channel 2</v>
      </c>
    </row>
    <row r="141">
      <c r="B141" s="62" t="s">
        <v>3301</v>
      </c>
      <c r="C141" s="45" t="s">
        <v>158</v>
      </c>
      <c r="D141" s="62" t="s">
        <v>3377</v>
      </c>
      <c r="E141" s="11" t="str">
        <f>HYPERLINK("https://youtu.be/Ivp1LIlmrhM?t=2940","channel 1")</f>
        <v>channel 1</v>
      </c>
    </row>
    <row r="142">
      <c r="B142" s="61" t="s">
        <v>3378</v>
      </c>
      <c r="C142" s="45" t="s">
        <v>34</v>
      </c>
      <c r="D142" s="62" t="s">
        <v>3376</v>
      </c>
      <c r="E142" s="11" t="str">
        <f>HYPERLINK("https://youtu.be/dR0Pbb037iQ?t=3060","channel 2")</f>
        <v>channel 2</v>
      </c>
    </row>
    <row r="143">
      <c r="B143" s="62" t="s">
        <v>3301</v>
      </c>
      <c r="C143" s="45" t="s">
        <v>176</v>
      </c>
      <c r="D143" s="62" t="s">
        <v>1844</v>
      </c>
      <c r="E143" s="11" t="str">
        <f>HYPERLINK("https://youtu.be/Ivp1LIlmrhM?t=4600","channel 1")</f>
        <v>channel 1</v>
      </c>
    </row>
    <row r="144">
      <c r="B144" s="61" t="s">
        <v>3378</v>
      </c>
      <c r="C144" s="45" t="s">
        <v>18</v>
      </c>
      <c r="D144" s="62" t="s">
        <v>3377</v>
      </c>
      <c r="E144" s="11" t="str">
        <f>HYPERLINK("https://youtu.be/dR0Pbb037iQ?t=4524","channel 2")</f>
        <v>channel 2</v>
      </c>
    </row>
    <row r="145">
      <c r="B145" s="62" t="s">
        <v>3377</v>
      </c>
      <c r="C145" s="45" t="s">
        <v>193</v>
      </c>
      <c r="D145" s="62" t="s">
        <v>3376</v>
      </c>
      <c r="E145" s="11" t="str">
        <f>HYPERLINK("https://youtu.be/Ivp1LIlmrhM?t=5462","channel 1")</f>
        <v>channel 1</v>
      </c>
    </row>
    <row r="146">
      <c r="B146" s="61" t="s">
        <v>3378</v>
      </c>
      <c r="C146" s="45" t="s">
        <v>315</v>
      </c>
      <c r="D146" s="62" t="s">
        <v>1844</v>
      </c>
      <c r="E146" s="11" t="str">
        <f>HYPERLINK("https://youtu.be/dR0Pbb037iQ?t=5407","channel 2")</f>
        <v>channel 2</v>
      </c>
    </row>
    <row r="147">
      <c r="B147" s="62" t="s">
        <v>3376</v>
      </c>
      <c r="C147" s="45" t="s">
        <v>7</v>
      </c>
      <c r="D147" s="62" t="s">
        <v>3301</v>
      </c>
      <c r="E147" s="11" t="str">
        <f>HYPERLINK("https://youtu.be/Ivp1LIlmrhM?t=6363","channel 1")</f>
        <v>channel 1</v>
      </c>
    </row>
    <row r="148">
      <c r="B148" s="62" t="s">
        <v>3377</v>
      </c>
      <c r="C148" s="45" t="s">
        <v>3379</v>
      </c>
      <c r="D148" s="62" t="s">
        <v>1844</v>
      </c>
      <c r="E148" s="11" t="str">
        <f>HYPERLINK("https://youtu.be/dR0Pbb037iQ?t=6381","channel 2")</f>
        <v>channel 2</v>
      </c>
    </row>
    <row r="149">
      <c r="B149" s="61" t="s">
        <v>3378</v>
      </c>
      <c r="C149" s="45" t="s">
        <v>362</v>
      </c>
      <c r="D149" s="62" t="s">
        <v>3301</v>
      </c>
      <c r="E149" s="11" t="str">
        <f>HYPERLINK("https://youtu.be/Ivp1LIlmrhM?t=7277","channel 1")</f>
        <v>channel 1</v>
      </c>
    </row>
    <row r="150">
      <c r="B150" s="62" t="s">
        <v>3376</v>
      </c>
      <c r="C150" s="45" t="s">
        <v>195</v>
      </c>
      <c r="D150" s="62" t="s">
        <v>1844</v>
      </c>
      <c r="E150" s="11" t="str">
        <f>HYPERLINK("https://youtu.be/dR0Pbb037iQ?t=7285","channel 2")</f>
        <v>channel 2</v>
      </c>
    </row>
    <row r="151">
      <c r="B151" s="62" t="s">
        <v>3377</v>
      </c>
      <c r="C151" s="45" t="s">
        <v>248</v>
      </c>
      <c r="D151" s="62" t="s">
        <v>3301</v>
      </c>
      <c r="E151" s="11" t="str">
        <f>HYPERLINK("https://youtu.be/Ivp1LIlmrhM?t=8195","channel 1")</f>
        <v>channel 1</v>
      </c>
    </row>
    <row r="152">
      <c r="B152" s="62" t="s">
        <v>3376</v>
      </c>
      <c r="C152" s="45" t="s">
        <v>219</v>
      </c>
      <c r="D152" s="61" t="s">
        <v>3378</v>
      </c>
      <c r="E152" s="11" t="str">
        <f>HYPERLINK("https://youtu.be/dR0Pbb037iQ?t=8201","channel 2")</f>
        <v>channel 2</v>
      </c>
    </row>
    <row r="153">
      <c r="B153" s="62" t="s">
        <v>1844</v>
      </c>
      <c r="C153" s="45" t="s">
        <v>23</v>
      </c>
      <c r="D153" s="62" t="s">
        <v>3301</v>
      </c>
      <c r="E153" s="11" t="str">
        <f>HYPERLINK("https://youtu.be/Ivp1LIlmrhM?t=9168","channel 1")</f>
        <v>channel 1</v>
      </c>
    </row>
    <row r="154">
      <c r="B154" s="62" t="s">
        <v>3377</v>
      </c>
      <c r="C154" s="45" t="s">
        <v>1389</v>
      </c>
      <c r="D154" s="61" t="s">
        <v>3378</v>
      </c>
      <c r="E154" s="11" t="str">
        <f>HYPERLINK("https://youtu.be/dR0Pbb037iQ?t=9101","channel 2")</f>
        <v>channel 2</v>
      </c>
    </row>
    <row r="155">
      <c r="B155" s="96" t="s">
        <v>1560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905</v>
      </c>
      <c r="C157" s="45" t="s">
        <v>19</v>
      </c>
      <c r="D157" s="62" t="s">
        <v>927</v>
      </c>
      <c r="E157" s="11" t="str">
        <f>HYPERLINK("https://youtu.be/v07y05TxXlg","channel 1")</f>
        <v>channel 1</v>
      </c>
    </row>
    <row r="158">
      <c r="B158" s="62" t="s">
        <v>1029</v>
      </c>
      <c r="C158" s="45" t="s">
        <v>185</v>
      </c>
      <c r="D158" s="61" t="s">
        <v>3380</v>
      </c>
      <c r="E158" s="11" t="str">
        <f>HYPERLINK("https://youtu.be/5NyXBhOEGkU","channel 2")</f>
        <v>channel 2</v>
      </c>
    </row>
    <row r="159">
      <c r="B159" s="62" t="s">
        <v>3381</v>
      </c>
      <c r="C159" s="45" t="s">
        <v>181</v>
      </c>
      <c r="D159" s="62" t="s">
        <v>905</v>
      </c>
      <c r="E159" s="11" t="str">
        <f>HYPERLINK("https://youtu.be/v07y05TxXlg?t=979","channel 1")</f>
        <v>channel 1</v>
      </c>
    </row>
    <row r="160">
      <c r="B160" s="62" t="s">
        <v>1029</v>
      </c>
      <c r="C160" s="45" t="s">
        <v>291</v>
      </c>
      <c r="D160" s="62" t="s">
        <v>927</v>
      </c>
      <c r="E160" s="11" t="str">
        <f>HYPERLINK("https://youtu.be/5NyXBhOEGkU?t=932","channel 2")</f>
        <v>channel 2</v>
      </c>
    </row>
    <row r="161">
      <c r="B161" s="62" t="s">
        <v>3381</v>
      </c>
      <c r="C161" s="45" t="s">
        <v>531</v>
      </c>
      <c r="D161" s="61" t="s">
        <v>3380</v>
      </c>
      <c r="E161" s="11" t="str">
        <f>HYPERLINK("https://youtu.be/v07y05TxXlg?t=1934","channel 1")</f>
        <v>channel 1</v>
      </c>
    </row>
    <row r="162">
      <c r="B162" s="62" t="s">
        <v>1029</v>
      </c>
      <c r="C162" s="45" t="s">
        <v>744</v>
      </c>
      <c r="D162" s="62" t="s">
        <v>905</v>
      </c>
      <c r="E162" s="11" t="str">
        <f>HYPERLINK("https://youtu.be/5NyXBhOEGkU?t=1829","channel 2")</f>
        <v>channel 2</v>
      </c>
    </row>
    <row r="163">
      <c r="B163" s="62" t="s">
        <v>3381</v>
      </c>
      <c r="C163" s="45" t="s">
        <v>336</v>
      </c>
      <c r="D163" s="62" t="s">
        <v>927</v>
      </c>
      <c r="E163" s="11" t="str">
        <f>HYPERLINK("https://youtu.be/v07y05TxXlg?t=2906","channel 1")</f>
        <v>channel 1</v>
      </c>
    </row>
    <row r="164">
      <c r="B164" s="61" t="s">
        <v>3380</v>
      </c>
      <c r="C164" s="45" t="s">
        <v>271</v>
      </c>
      <c r="D164" s="62" t="s">
        <v>905</v>
      </c>
      <c r="E164" s="11" t="str">
        <f>HYPERLINK("https://youtu.be/5NyXBhOEGkU?t=2734","channel 2")</f>
        <v>channel 2</v>
      </c>
    </row>
    <row r="165">
      <c r="B165" s="62" t="s">
        <v>3381</v>
      </c>
      <c r="C165" s="45" t="s">
        <v>324</v>
      </c>
      <c r="D165" s="62" t="s">
        <v>1029</v>
      </c>
      <c r="E165" s="11" t="str">
        <f>HYPERLINK("https://youtu.be/v07y05TxXlg?t=3770","channel 1")</f>
        <v>channel 1</v>
      </c>
    </row>
    <row r="166">
      <c r="B166" s="61" t="s">
        <v>3380</v>
      </c>
      <c r="C166" s="45" t="s">
        <v>640</v>
      </c>
      <c r="D166" s="62" t="s">
        <v>927</v>
      </c>
      <c r="E166" s="11" t="str">
        <f>HYPERLINK("https://youtu.be/5NyXBhOEGkU?t=3680","channel 2")</f>
        <v>channel 2</v>
      </c>
    </row>
    <row r="167">
      <c r="B167" s="62" t="s">
        <v>927</v>
      </c>
      <c r="C167" s="45" t="s">
        <v>18</v>
      </c>
      <c r="D167" s="62" t="s">
        <v>905</v>
      </c>
      <c r="E167" s="11" t="str">
        <f>HYPERLINK("https://youtu.be/v07y05TxXlg?t=4648","channel 1")</f>
        <v>channel 1</v>
      </c>
    </row>
    <row r="168">
      <c r="B168" s="61" t="s">
        <v>3380</v>
      </c>
      <c r="C168" s="45" t="s">
        <v>163</v>
      </c>
      <c r="D168" s="62" t="s">
        <v>1029</v>
      </c>
      <c r="E168" s="11" t="str">
        <f>HYPERLINK("https://youtu.be/5NyXBhOEGkU?t=4583","channel 2")</f>
        <v>channel 2</v>
      </c>
    </row>
    <row r="169">
      <c r="B169" s="62" t="s">
        <v>905</v>
      </c>
      <c r="C169" s="45" t="s">
        <v>210</v>
      </c>
      <c r="D169" s="62" t="s">
        <v>3381</v>
      </c>
      <c r="E169" s="11" t="str">
        <f>HYPERLINK("https://youtu.be/v07y05TxXlg?t=5546","channel 1")</f>
        <v>channel 1</v>
      </c>
    </row>
    <row r="170">
      <c r="B170" s="62" t="s">
        <v>927</v>
      </c>
      <c r="C170" s="45" t="s">
        <v>366</v>
      </c>
      <c r="D170" s="62" t="s">
        <v>1029</v>
      </c>
      <c r="E170" s="11" t="str">
        <f>HYPERLINK("https://youtu.be/5NyXBhOEGkU?t=5482","channel 2")</f>
        <v>channel 2</v>
      </c>
    </row>
    <row r="171">
      <c r="B171" s="61" t="s">
        <v>3380</v>
      </c>
      <c r="C171" s="45" t="s">
        <v>251</v>
      </c>
      <c r="D171" s="62" t="s">
        <v>3381</v>
      </c>
      <c r="E171" s="11" t="str">
        <f>HYPERLINK("https://youtu.be/v07y05TxXlg?t=6505","channel 1")</f>
        <v>channel 1</v>
      </c>
    </row>
    <row r="172">
      <c r="B172" s="62" t="s">
        <v>905</v>
      </c>
      <c r="C172" s="45" t="s">
        <v>163</v>
      </c>
      <c r="D172" s="62" t="s">
        <v>1029</v>
      </c>
      <c r="E172" s="11" t="str">
        <f>HYPERLINK("https://youtu.be/5NyXBhOEGkU?t=6436","channel 2")</f>
        <v>channel 2</v>
      </c>
    </row>
    <row r="173">
      <c r="B173" s="62" t="s">
        <v>927</v>
      </c>
      <c r="C173" s="45" t="s">
        <v>351</v>
      </c>
      <c r="D173" s="62" t="s">
        <v>3381</v>
      </c>
      <c r="E173" s="11" t="str">
        <f>HYPERLINK("https://youtu.be/v07y05TxXlg?t=7428","channel 1")</f>
        <v>channel 1</v>
      </c>
    </row>
    <row r="174">
      <c r="B174" s="62" t="s">
        <v>905</v>
      </c>
      <c r="C174" s="45" t="s">
        <v>219</v>
      </c>
      <c r="D174" s="61" t="s">
        <v>3380</v>
      </c>
      <c r="E174" s="11" t="str">
        <f>HYPERLINK("https://youtu.be/5NyXBhOEGkU?t=7345","channel 2")</f>
        <v>channel 2</v>
      </c>
    </row>
    <row r="175">
      <c r="B175" s="62" t="s">
        <v>1029</v>
      </c>
      <c r="C175" s="45" t="s">
        <v>426</v>
      </c>
      <c r="D175" s="62" t="s">
        <v>3381</v>
      </c>
      <c r="E175" s="11" t="str">
        <f>HYPERLINK("https://youtu.be/v07y05TxXlg?t=8307","channel 1")</f>
        <v>channel 1</v>
      </c>
    </row>
    <row r="176">
      <c r="B176" s="62" t="s">
        <v>927</v>
      </c>
      <c r="C176" s="45" t="s">
        <v>303</v>
      </c>
      <c r="D176" s="61" t="s">
        <v>3380</v>
      </c>
      <c r="E176" s="11" t="str">
        <f>HYPERLINK("https://youtu.be/5NyXBhOEGkU?t=8207","channel 2")</f>
        <v>channel 2</v>
      </c>
    </row>
    <row r="177">
      <c r="B177" s="96" t="s">
        <v>2709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3382</v>
      </c>
      <c r="C179" s="45" t="s">
        <v>43</v>
      </c>
      <c r="D179" s="62" t="s">
        <v>2929</v>
      </c>
      <c r="E179" s="11" t="str">
        <f>HYPERLINK("https://youtu.be/PzQFO9YRNPg","channel 3")</f>
        <v>channel 3</v>
      </c>
    </row>
    <row r="180">
      <c r="B180" s="62" t="s">
        <v>495</v>
      </c>
      <c r="C180" s="81" t="s">
        <v>668</v>
      </c>
      <c r="D180" s="61" t="s">
        <v>1165</v>
      </c>
      <c r="E180" s="68" t="s">
        <v>33</v>
      </c>
    </row>
    <row r="181">
      <c r="B181" s="62" t="s">
        <v>2487</v>
      </c>
      <c r="C181" s="45" t="s">
        <v>23</v>
      </c>
      <c r="D181" s="62" t="s">
        <v>3382</v>
      </c>
      <c r="E181" s="11" t="str">
        <f>HYPERLINK("https://youtu.be/PzQFO9YRNPg?t=437","channel 3")</f>
        <v>channel 3</v>
      </c>
    </row>
    <row r="182">
      <c r="B182" s="62" t="s">
        <v>495</v>
      </c>
      <c r="C182" s="45" t="s">
        <v>1169</v>
      </c>
      <c r="D182" s="62" t="s">
        <v>2929</v>
      </c>
      <c r="E182" s="11" t="str">
        <f>HYPERLINK("https://youtu.be/nR21yCwHSTc?t=65","channel 4")</f>
        <v>channel 4</v>
      </c>
    </row>
    <row r="183">
      <c r="B183" s="62" t="s">
        <v>2487</v>
      </c>
      <c r="C183" s="81" t="s">
        <v>668</v>
      </c>
      <c r="D183" s="61" t="s">
        <v>1165</v>
      </c>
      <c r="E183" s="125" t="s">
        <v>29</v>
      </c>
    </row>
    <row r="184">
      <c r="B184" s="62" t="s">
        <v>495</v>
      </c>
      <c r="C184" s="45" t="s">
        <v>250</v>
      </c>
      <c r="D184" s="62" t="s">
        <v>3382</v>
      </c>
      <c r="E184" s="11" t="str">
        <f>HYPERLINK("https://youtu.be/nR21yCwHSTc?t=1004","channel 4")</f>
        <v>channel 4</v>
      </c>
    </row>
    <row r="185">
      <c r="B185" s="62" t="s">
        <v>2487</v>
      </c>
      <c r="C185" s="45" t="s">
        <v>177</v>
      </c>
      <c r="D185" s="62" t="s">
        <v>2929</v>
      </c>
      <c r="E185" s="11" t="str">
        <f>HYPERLINK("https://youtu.be/PzQFO9YRNPg?t=2405","channel 3")</f>
        <v>channel 3</v>
      </c>
    </row>
    <row r="186">
      <c r="B186" s="61" t="s">
        <v>1165</v>
      </c>
      <c r="C186" s="81" t="s">
        <v>668</v>
      </c>
      <c r="D186" s="62" t="s">
        <v>3382</v>
      </c>
      <c r="E186" s="125" t="s">
        <v>33</v>
      </c>
    </row>
    <row r="187">
      <c r="B187" s="62" t="s">
        <v>2487</v>
      </c>
      <c r="C187" s="45" t="s">
        <v>39</v>
      </c>
      <c r="D187" s="62" t="s">
        <v>495</v>
      </c>
      <c r="E187" s="11" t="str">
        <f>HYPERLINK("https://youtu.be/PzQFO9YRNPg?t=3348","channel 3")</f>
        <v>channel 3</v>
      </c>
    </row>
    <row r="188">
      <c r="B188" s="61" t="s">
        <v>1165</v>
      </c>
      <c r="C188" s="81" t="s">
        <v>668</v>
      </c>
      <c r="D188" s="62" t="s">
        <v>2929</v>
      </c>
      <c r="E188" s="125" t="s">
        <v>33</v>
      </c>
    </row>
    <row r="189">
      <c r="B189" s="62" t="s">
        <v>2929</v>
      </c>
      <c r="C189" s="45" t="s">
        <v>534</v>
      </c>
      <c r="D189" s="62" t="s">
        <v>3382</v>
      </c>
      <c r="E189" s="11" t="str">
        <f>HYPERLINK("https://youtu.be/PzQFO9YRNPg?t=4299","channel 3")</f>
        <v>channel 3</v>
      </c>
    </row>
    <row r="190">
      <c r="B190" s="61" t="s">
        <v>1165</v>
      </c>
      <c r="C190" s="81" t="s">
        <v>668</v>
      </c>
      <c r="D190" s="62" t="s">
        <v>495</v>
      </c>
      <c r="E190" s="125" t="s">
        <v>33</v>
      </c>
    </row>
    <row r="191">
      <c r="B191" s="62" t="s">
        <v>3382</v>
      </c>
      <c r="C191" s="45" t="s">
        <v>3383</v>
      </c>
      <c r="D191" s="62" t="s">
        <v>2487</v>
      </c>
      <c r="E191" s="11" t="str">
        <f>HYPERLINK("https://youtu.be/PzQFO9YRNPg?t=5263","channel 3")</f>
        <v>channel 3</v>
      </c>
    </row>
    <row r="192">
      <c r="B192" s="62" t="s">
        <v>2929</v>
      </c>
      <c r="C192" s="45" t="s">
        <v>42</v>
      </c>
      <c r="D192" s="62" t="s">
        <v>495</v>
      </c>
      <c r="E192" s="11" t="str">
        <f>HYPERLINK("https://youtu.be/nR21yCwHSTc?t=4921","channel 4")</f>
        <v>channel 4</v>
      </c>
    </row>
    <row r="193">
      <c r="B193" s="61" t="s">
        <v>1165</v>
      </c>
      <c r="C193" s="45" t="s">
        <v>709</v>
      </c>
      <c r="D193" s="62" t="s">
        <v>2487</v>
      </c>
      <c r="E193" s="11" t="str">
        <f>HYPERLINK("https://youtu.be/PzQFO9YRNPg?t=6169","channel 3")</f>
        <v>channel 3</v>
      </c>
    </row>
    <row r="194">
      <c r="B194" s="62" t="s">
        <v>3382</v>
      </c>
      <c r="C194" s="45" t="s">
        <v>292</v>
      </c>
      <c r="D194" s="62" t="s">
        <v>495</v>
      </c>
      <c r="E194" s="11" t="str">
        <f>HYPERLINK("https://youtu.be/nR21yCwHSTc?t=5839","channel 4")</f>
        <v>channel 4</v>
      </c>
    </row>
    <row r="195">
      <c r="B195" s="62" t="s">
        <v>2929</v>
      </c>
      <c r="C195" s="45" t="s">
        <v>31</v>
      </c>
      <c r="D195" s="62" t="s">
        <v>2487</v>
      </c>
      <c r="E195" s="11" t="str">
        <f>HYPERLINK("https://youtu.be/PzQFO9YRNPg?t=7091","channel 3")</f>
        <v>channel 3</v>
      </c>
    </row>
    <row r="196">
      <c r="B196" s="62" t="s">
        <v>3382</v>
      </c>
      <c r="C196" s="45" t="s">
        <v>164</v>
      </c>
      <c r="D196" s="61" t="s">
        <v>1165</v>
      </c>
      <c r="E196" s="11" t="str">
        <f>HYPERLINK("https://youtu.be/nR21yCwHSTc?t=6803","channel 4")</f>
        <v>channel 4</v>
      </c>
    </row>
    <row r="197">
      <c r="B197" s="62" t="s">
        <v>495</v>
      </c>
      <c r="C197" s="45" t="s">
        <v>245</v>
      </c>
      <c r="D197" s="62" t="s">
        <v>2487</v>
      </c>
      <c r="E197" s="11" t="str">
        <f>HYPERLINK("https://youtu.be/PzQFO9YRNPg?t=8002","channel 3")</f>
        <v>channel 3</v>
      </c>
    </row>
    <row r="198">
      <c r="B198" s="62" t="s">
        <v>2929</v>
      </c>
      <c r="C198" s="45" t="s">
        <v>7</v>
      </c>
      <c r="D198" s="61" t="s">
        <v>1165</v>
      </c>
      <c r="E198" s="11" t="str">
        <f>HYPERLINK("https://youtu.be/nR21yCwHSTc?t=7725","channel 4")</f>
        <v>channel 4</v>
      </c>
    </row>
    <row r="199">
      <c r="B199" s="96" t="s">
        <v>2670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3384</v>
      </c>
      <c r="C201" s="57" t="s">
        <v>968</v>
      </c>
      <c r="D201" s="62" t="s">
        <v>2885</v>
      </c>
      <c r="E201" s="11" t="str">
        <f>HYPERLINK("https://youtu.be/atpCA3DU1aI","channel 3")</f>
        <v>channel 3</v>
      </c>
    </row>
    <row r="202">
      <c r="B202" s="62" t="s">
        <v>1329</v>
      </c>
      <c r="C202" s="57" t="s">
        <v>23</v>
      </c>
      <c r="D202" s="61" t="s">
        <v>1237</v>
      </c>
      <c r="E202" s="11" t="str">
        <f>HYPERLINK("https://youtu.be/LKPjQAd05NA","channel 4")</f>
        <v>channel 4</v>
      </c>
    </row>
    <row r="203">
      <c r="B203" s="62" t="s">
        <v>1240</v>
      </c>
      <c r="C203" s="57" t="s">
        <v>376</v>
      </c>
      <c r="D203" s="62" t="s">
        <v>3384</v>
      </c>
      <c r="E203" s="11" t="str">
        <f>HYPERLINK("https://youtu.be/atpCA3DU1aI?t=956","channel 3")</f>
        <v>channel 3</v>
      </c>
    </row>
    <row r="204">
      <c r="B204" s="62" t="s">
        <v>1329</v>
      </c>
      <c r="C204" s="57" t="s">
        <v>181</v>
      </c>
      <c r="D204" s="62" t="s">
        <v>2885</v>
      </c>
      <c r="E204" s="11" t="str">
        <f>HYPERLINK("https://youtu.be/LKPjQAd05NA?t=997","channel 4")</f>
        <v>channel 4</v>
      </c>
    </row>
    <row r="205">
      <c r="B205" s="62" t="s">
        <v>1240</v>
      </c>
      <c r="C205" s="57" t="s">
        <v>440</v>
      </c>
      <c r="D205" s="61" t="s">
        <v>1237</v>
      </c>
      <c r="E205" s="11" t="str">
        <f>HYPERLINK("https://youtu.be/atpCA3DU1aI?t=1890","channel 3")</f>
        <v>channel 3</v>
      </c>
    </row>
    <row r="206">
      <c r="B206" s="62" t="s">
        <v>1329</v>
      </c>
      <c r="C206" s="57" t="s">
        <v>218</v>
      </c>
      <c r="D206" s="62" t="s">
        <v>3384</v>
      </c>
      <c r="E206" s="11" t="str">
        <f>HYPERLINK("https://youtu.be/LKPjQAd05NA?t=1926","channel 4")</f>
        <v>channel 4</v>
      </c>
    </row>
    <row r="207">
      <c r="B207" s="62" t="s">
        <v>1240</v>
      </c>
      <c r="C207" s="57" t="s">
        <v>313</v>
      </c>
      <c r="D207" s="62" t="s">
        <v>2885</v>
      </c>
      <c r="E207" s="11" t="str">
        <f>HYPERLINK("https://youtu.be/atpCA3DU1aI?t=2870","channel 3")</f>
        <v>channel 3</v>
      </c>
    </row>
    <row r="208">
      <c r="B208" s="61" t="s">
        <v>1237</v>
      </c>
      <c r="C208" s="57" t="s">
        <v>250</v>
      </c>
      <c r="D208" s="62" t="s">
        <v>3384</v>
      </c>
      <c r="E208" s="11" t="str">
        <f>HYPERLINK("https://youtu.be/LKPjQAd05NA?t=2840","channel 4")</f>
        <v>channel 4</v>
      </c>
    </row>
    <row r="209">
      <c r="B209" s="62" t="s">
        <v>1240</v>
      </c>
      <c r="C209" s="57" t="s">
        <v>303</v>
      </c>
      <c r="D209" s="62" t="s">
        <v>1329</v>
      </c>
      <c r="E209" s="11" t="str">
        <f>HYPERLINK("https://youtu.be/atpCA3DU1aI?t=3767","channel 3")</f>
        <v>channel 3</v>
      </c>
    </row>
    <row r="210">
      <c r="B210" s="61" t="s">
        <v>1237</v>
      </c>
      <c r="C210" s="57" t="s">
        <v>43</v>
      </c>
      <c r="D210" s="62" t="s">
        <v>2885</v>
      </c>
      <c r="E210" s="11" t="str">
        <f>HYPERLINK("https://youtu.be/LKPjQAd05NA?t=3808","channel 4")</f>
        <v>channel 4</v>
      </c>
    </row>
    <row r="211">
      <c r="B211" s="62" t="s">
        <v>2885</v>
      </c>
      <c r="C211" s="57" t="s">
        <v>354</v>
      </c>
      <c r="D211" s="62" t="s">
        <v>3384</v>
      </c>
      <c r="E211" s="11" t="str">
        <f>HYPERLINK("https://youtu.be/atpCA3DU1aI?t=4708","channel 3")</f>
        <v>channel 3</v>
      </c>
    </row>
    <row r="212">
      <c r="B212" s="61" t="s">
        <v>1237</v>
      </c>
      <c r="C212" s="57" t="s">
        <v>967</v>
      </c>
      <c r="D212" s="62" t="s">
        <v>1329</v>
      </c>
      <c r="E212" s="11" t="str">
        <f>HYPERLINK("https://youtu.be/LKPjQAd05NA?t=4728","channel 4")</f>
        <v>channel 4</v>
      </c>
    </row>
    <row r="213">
      <c r="B213" s="62" t="s">
        <v>3384</v>
      </c>
      <c r="C213" s="45" t="s">
        <v>44</v>
      </c>
      <c r="D213" s="62" t="s">
        <v>1240</v>
      </c>
      <c r="E213" s="11" t="str">
        <f>HYPERLINK("https://youtu.be/atpCA3DU1aI?t=5633","channel 3")</f>
        <v>channel 3</v>
      </c>
    </row>
    <row r="214">
      <c r="B214" s="62" t="s">
        <v>2885</v>
      </c>
      <c r="C214" s="45" t="s">
        <v>165</v>
      </c>
      <c r="D214" s="62" t="s">
        <v>1329</v>
      </c>
      <c r="E214" s="11" t="str">
        <f>HYPERLINK("https://youtu.be/LKPjQAd05NA?t=5681","channel 4")</f>
        <v>channel 4</v>
      </c>
    </row>
    <row r="215">
      <c r="B215" s="61" t="s">
        <v>1237</v>
      </c>
      <c r="C215" s="45" t="s">
        <v>576</v>
      </c>
      <c r="D215" s="62" t="s">
        <v>1240</v>
      </c>
      <c r="E215" s="11" t="str">
        <f>HYPERLINK("https://youtu.be/atpCA3DU1aI?t=6524","channel 3")</f>
        <v>channel 3</v>
      </c>
    </row>
    <row r="216">
      <c r="B216" s="62" t="s">
        <v>3384</v>
      </c>
      <c r="C216" s="45" t="s">
        <v>37</v>
      </c>
      <c r="D216" s="62" t="s">
        <v>1329</v>
      </c>
      <c r="E216" s="11" t="str">
        <f>HYPERLINK("https://youtu.be/LKPjQAd05NA?t=6605","channel 4")</f>
        <v>channel 4</v>
      </c>
    </row>
    <row r="217">
      <c r="B217" s="62" t="s">
        <v>2885</v>
      </c>
      <c r="C217" s="45" t="s">
        <v>554</v>
      </c>
      <c r="D217" s="62" t="s">
        <v>1240</v>
      </c>
      <c r="E217" s="11" t="str">
        <f>HYPERLINK("https://youtu.be/atpCA3DU1aI?t=7455","channel 3")</f>
        <v>channel 3</v>
      </c>
    </row>
    <row r="218">
      <c r="B218" s="62" t="s">
        <v>3384</v>
      </c>
      <c r="C218" s="45" t="s">
        <v>198</v>
      </c>
      <c r="D218" s="61" t="s">
        <v>1237</v>
      </c>
      <c r="E218" s="11" t="str">
        <f>HYPERLINK("https://youtu.be/LKPjQAd05NA?t=7539","channel 4")</f>
        <v>channel 4</v>
      </c>
    </row>
    <row r="219">
      <c r="B219" s="62" t="s">
        <v>1329</v>
      </c>
      <c r="C219" s="45" t="s">
        <v>173</v>
      </c>
      <c r="D219" s="62" t="s">
        <v>1240</v>
      </c>
      <c r="E219" s="11" t="str">
        <f>HYPERLINK("https://youtu.be/atpCA3DU1aI?t=8352","channel 3")</f>
        <v>channel 3</v>
      </c>
    </row>
    <row r="220">
      <c r="B220" s="62" t="s">
        <v>2885</v>
      </c>
      <c r="C220" s="45" t="s">
        <v>3385</v>
      </c>
      <c r="D220" s="61" t="s">
        <v>1237</v>
      </c>
      <c r="E220" s="11" t="str">
        <f>HYPERLINK("https://youtu.be/LKPjQAd05NA?t=8444","channel 4")</f>
        <v>channel 4</v>
      </c>
    </row>
    <row r="221">
      <c r="B221" s="96" t="s">
        <v>2495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1696</v>
      </c>
      <c r="C223" s="45" t="s">
        <v>404</v>
      </c>
      <c r="D223" s="62" t="s">
        <v>2429</v>
      </c>
      <c r="E223" s="11" t="str">
        <f>HYPERLINK("https://youtu.be/53sm3HRCR9M","channel 1")</f>
        <v>channel 1</v>
      </c>
    </row>
    <row r="224">
      <c r="B224" s="62" t="s">
        <v>3386</v>
      </c>
      <c r="C224" s="45" t="s">
        <v>158</v>
      </c>
      <c r="D224" s="61" t="s">
        <v>2395</v>
      </c>
      <c r="E224" s="11" t="str">
        <f>HYPERLINK("https://youtu.be/A-B9Lg2q4KE","channel 2")</f>
        <v>channel 2</v>
      </c>
    </row>
    <row r="225">
      <c r="B225" s="62" t="s">
        <v>1907</v>
      </c>
      <c r="C225" s="45" t="s">
        <v>301</v>
      </c>
      <c r="D225" s="62" t="s">
        <v>1696</v>
      </c>
      <c r="E225" s="11" t="str">
        <f>HYPERLINK("https://youtu.be/53sm3HRCR9M?t=1010","channel 1")</f>
        <v>channel 1</v>
      </c>
    </row>
    <row r="226">
      <c r="B226" s="62" t="s">
        <v>3386</v>
      </c>
      <c r="C226" s="45" t="s">
        <v>220</v>
      </c>
      <c r="D226" s="62" t="s">
        <v>2429</v>
      </c>
      <c r="E226" s="11" t="str">
        <f>HYPERLINK("https://youtu.be/A-B9Lg2q4KE?t=1099","channel 2")</f>
        <v>channel 2</v>
      </c>
    </row>
    <row r="227">
      <c r="B227" s="62" t="s">
        <v>1907</v>
      </c>
      <c r="C227" s="45" t="s">
        <v>14</v>
      </c>
      <c r="D227" s="61" t="s">
        <v>2395</v>
      </c>
      <c r="E227" s="11" t="str">
        <f>HYPERLINK("https://youtu.be/53sm3HRCR9M?t=1934","channel 1")</f>
        <v>channel 1</v>
      </c>
    </row>
    <row r="228">
      <c r="B228" s="62" t="s">
        <v>3386</v>
      </c>
      <c r="C228" s="45" t="s">
        <v>20</v>
      </c>
      <c r="D228" s="62" t="s">
        <v>1696</v>
      </c>
      <c r="E228" s="11" t="str">
        <f>HYPERLINK("https://youtu.be/A-B9Lg2q4KE?t=2053","channel 2")</f>
        <v>channel 2</v>
      </c>
    </row>
    <row r="229">
      <c r="B229" s="62" t="s">
        <v>1907</v>
      </c>
      <c r="C229" s="45" t="s">
        <v>208</v>
      </c>
      <c r="D229" s="62" t="s">
        <v>2429</v>
      </c>
      <c r="E229" s="11" t="str">
        <f>HYPERLINK("https://youtu.be/53sm3HRCR9M?t=2939","channel 1")</f>
        <v>channel 1</v>
      </c>
    </row>
    <row r="230">
      <c r="B230" s="61" t="s">
        <v>2395</v>
      </c>
      <c r="C230" s="45" t="s">
        <v>38</v>
      </c>
      <c r="D230" s="62" t="s">
        <v>1696</v>
      </c>
      <c r="E230" s="11" t="str">
        <f>HYPERLINK("https://youtu.be/A-B9Lg2q4KE?t=2959","channel 2")</f>
        <v>channel 2</v>
      </c>
    </row>
    <row r="231">
      <c r="B231" s="62" t="s">
        <v>1907</v>
      </c>
      <c r="C231" s="45" t="s">
        <v>751</v>
      </c>
      <c r="D231" s="62" t="s">
        <v>3386</v>
      </c>
      <c r="E231" s="11" t="str">
        <f>HYPERLINK("https://youtu.be/53sm3HRCR9M?t=3839","channel 1")</f>
        <v>channel 1</v>
      </c>
    </row>
    <row r="232">
      <c r="B232" s="61" t="s">
        <v>2395</v>
      </c>
      <c r="C232" s="45" t="s">
        <v>229</v>
      </c>
      <c r="D232" s="62" t="s">
        <v>2429</v>
      </c>
      <c r="E232" s="11" t="str">
        <f>HYPERLINK("https://youtu.be/A-B9Lg2q4KE?t=3956","channel 2")</f>
        <v>channel 2</v>
      </c>
    </row>
    <row r="233">
      <c r="B233" s="62" t="s">
        <v>2429</v>
      </c>
      <c r="C233" s="45" t="s">
        <v>230</v>
      </c>
      <c r="D233" s="62" t="s">
        <v>1696</v>
      </c>
      <c r="E233" s="11" t="str">
        <f>HYPERLINK("https://youtu.be/53sm3HRCR9M?t=4824","channel 1")</f>
        <v>channel 1</v>
      </c>
    </row>
    <row r="234">
      <c r="B234" s="61" t="s">
        <v>2395</v>
      </c>
      <c r="C234" s="45" t="s">
        <v>175</v>
      </c>
      <c r="D234" s="62" t="s">
        <v>3386</v>
      </c>
      <c r="E234" s="11" t="str">
        <f>HYPERLINK("https://youtu.be/A-B9Lg2q4KE?t=4950","channel 2")</f>
        <v>channel 2</v>
      </c>
    </row>
    <row r="235">
      <c r="B235" s="62" t="s">
        <v>1696</v>
      </c>
      <c r="C235" s="45" t="s">
        <v>376</v>
      </c>
      <c r="D235" s="62" t="s">
        <v>1907</v>
      </c>
      <c r="E235" s="11" t="str">
        <f>HYPERLINK("https://youtu.be/53sm3HRCR9M?t=5749","channel 1")</f>
        <v>channel 1</v>
      </c>
    </row>
    <row r="236">
      <c r="B236" s="62" t="s">
        <v>2429</v>
      </c>
      <c r="C236" s="45" t="s">
        <v>17</v>
      </c>
      <c r="D236" s="62" t="s">
        <v>3386</v>
      </c>
      <c r="E236" s="11" t="str">
        <f>HYPERLINK("https://youtu.be/A-B9Lg2q4KE?t=5902","channel 2")</f>
        <v>channel 2</v>
      </c>
    </row>
    <row r="237">
      <c r="B237" s="61" t="s">
        <v>2395</v>
      </c>
      <c r="C237" s="45" t="s">
        <v>43</v>
      </c>
      <c r="D237" s="62" t="s">
        <v>1907</v>
      </c>
      <c r="E237" s="11" t="str">
        <f>HYPERLINK("https://youtu.be/53sm3HRCR9M?t=6686","channel 1")</f>
        <v>channel 1</v>
      </c>
    </row>
    <row r="238">
      <c r="B238" s="62" t="s">
        <v>1696</v>
      </c>
      <c r="C238" s="45" t="s">
        <v>19</v>
      </c>
      <c r="D238" s="62" t="s">
        <v>3386</v>
      </c>
      <c r="E238" s="11" t="str">
        <f>HYPERLINK("https://youtu.be/A-B9Lg2q4KE?t=6825","channel 2")</f>
        <v>channel 2</v>
      </c>
    </row>
    <row r="239">
      <c r="B239" s="62" t="s">
        <v>2429</v>
      </c>
      <c r="C239" s="45" t="s">
        <v>44</v>
      </c>
      <c r="D239" s="62" t="s">
        <v>1907</v>
      </c>
      <c r="E239" s="11" t="str">
        <f>HYPERLINK("https://youtu.be/53sm3HRCR9M?t=7612","channel 1")</f>
        <v>channel 1</v>
      </c>
    </row>
    <row r="240">
      <c r="B240" s="62" t="s">
        <v>1696</v>
      </c>
      <c r="C240" s="45" t="s">
        <v>220</v>
      </c>
      <c r="D240" s="61" t="s">
        <v>2395</v>
      </c>
      <c r="E240" s="11" t="str">
        <f>HYPERLINK("https://youtu.be/A-B9Lg2q4KE?t=7750","channel 2")</f>
        <v>channel 2</v>
      </c>
    </row>
    <row r="241">
      <c r="B241" s="62" t="s">
        <v>3386</v>
      </c>
      <c r="C241" s="45" t="s">
        <v>198</v>
      </c>
      <c r="D241" s="62" t="s">
        <v>1907</v>
      </c>
      <c r="E241" s="11" t="str">
        <f>HYPERLINK("https://youtu.be/53sm3HRCR9M?t=8548","channel 1")</f>
        <v>channel 1</v>
      </c>
    </row>
    <row r="242">
      <c r="B242" s="62" t="s">
        <v>2429</v>
      </c>
      <c r="C242" s="45" t="s">
        <v>279</v>
      </c>
      <c r="D242" s="61" t="s">
        <v>2395</v>
      </c>
      <c r="E242" s="11" t="str">
        <f>HYPERLINK("https://youtu.be/A-B9Lg2q4KE?t=8681","channel 2")</f>
        <v>channel 2</v>
      </c>
    </row>
    <row r="243">
      <c r="B243" s="96" t="s">
        <v>2375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3387</v>
      </c>
      <c r="C245" s="45" t="s">
        <v>203</v>
      </c>
      <c r="D245" s="62" t="s">
        <v>2161</v>
      </c>
      <c r="E245" s="11" t="str">
        <f>HYPERLINK("https://youtu.be/X6ntIHj4yDE","channel 1")</f>
        <v>channel 1</v>
      </c>
    </row>
    <row r="246">
      <c r="B246" s="62" t="s">
        <v>3388</v>
      </c>
      <c r="C246" s="45" t="s">
        <v>220</v>
      </c>
      <c r="D246" s="61" t="s">
        <v>2512</v>
      </c>
      <c r="E246" s="11" t="str">
        <f>HYPERLINK("https://youtu.be/1NxjU9c8-oQ","channel 2")</f>
        <v>channel 2</v>
      </c>
    </row>
    <row r="247">
      <c r="B247" s="62" t="s">
        <v>3389</v>
      </c>
      <c r="C247" s="45" t="s">
        <v>21</v>
      </c>
      <c r="D247" s="62" t="s">
        <v>3387</v>
      </c>
      <c r="E247" s="11" t="str">
        <f>HYPERLINK("https://youtu.be/X6ntIHj4yDE?t=988","channel 1")</f>
        <v>channel 1</v>
      </c>
    </row>
    <row r="248">
      <c r="B248" s="62" t="s">
        <v>3388</v>
      </c>
      <c r="C248" s="45" t="s">
        <v>19</v>
      </c>
      <c r="D248" s="62" t="s">
        <v>2161</v>
      </c>
      <c r="E248" s="11" t="str">
        <f>HYPERLINK("https://youtu.be/1NxjU9c8-oQ?t=1069","channel 2")</f>
        <v>channel 2</v>
      </c>
    </row>
    <row r="249">
      <c r="B249" s="62" t="s">
        <v>3389</v>
      </c>
      <c r="C249" s="45" t="s">
        <v>162</v>
      </c>
      <c r="D249" s="61" t="s">
        <v>2512</v>
      </c>
      <c r="E249" s="11" t="str">
        <f>HYPERLINK("https://youtu.be/X6ntIHj4yDE?t=1948","channel 1")</f>
        <v>channel 1</v>
      </c>
    </row>
    <row r="250">
      <c r="B250" s="62" t="s">
        <v>3388</v>
      </c>
      <c r="C250" s="45" t="s">
        <v>194</v>
      </c>
      <c r="D250" s="62" t="s">
        <v>3387</v>
      </c>
      <c r="E250" s="11" t="str">
        <f>HYPERLINK("https://youtu.be/1NxjU9c8-oQ?t=2022","channel 2")</f>
        <v>channel 2</v>
      </c>
    </row>
    <row r="251">
      <c r="B251" s="62" t="s">
        <v>3389</v>
      </c>
      <c r="C251" s="45" t="s">
        <v>688</v>
      </c>
      <c r="D251" s="62" t="s">
        <v>2161</v>
      </c>
      <c r="E251" s="11" t="str">
        <f>HYPERLINK("https://youtu.be/X6ntIHj4yDE?t=2894","channel 1")</f>
        <v>channel 1</v>
      </c>
    </row>
    <row r="252">
      <c r="B252" s="61" t="s">
        <v>2512</v>
      </c>
      <c r="C252" s="45" t="s">
        <v>219</v>
      </c>
      <c r="D252" s="62" t="s">
        <v>3387</v>
      </c>
      <c r="E252" s="11" t="str">
        <f>HYPERLINK("https://youtu.be/1NxjU9c8-oQ?t=2994","channel 2")</f>
        <v>channel 2</v>
      </c>
    </row>
    <row r="253">
      <c r="B253" s="62" t="s">
        <v>3389</v>
      </c>
      <c r="C253" s="45" t="s">
        <v>23</v>
      </c>
      <c r="D253" s="62" t="s">
        <v>3388</v>
      </c>
      <c r="E253" s="11" t="str">
        <f>HYPERLINK("https://youtu.be/X6ntIHj4yDE?t=3884","channel 1")</f>
        <v>channel 1</v>
      </c>
    </row>
    <row r="254">
      <c r="B254" s="61" t="s">
        <v>2512</v>
      </c>
      <c r="C254" s="45" t="s">
        <v>774</v>
      </c>
      <c r="D254" s="62" t="s">
        <v>2161</v>
      </c>
      <c r="E254" s="11" t="str">
        <f>HYPERLINK("https://youtu.be/1NxjU9c8-oQ?t=3978","channel 2")</f>
        <v>channel 2</v>
      </c>
    </row>
    <row r="255">
      <c r="B255" s="62" t="s">
        <v>2161</v>
      </c>
      <c r="C255" s="45" t="s">
        <v>1153</v>
      </c>
      <c r="D255" s="62" t="s">
        <v>3387</v>
      </c>
      <c r="E255" s="11" t="str">
        <f>HYPERLINK("https://youtu.be/X6ntIHj4yDE?t=4843","channel 1")</f>
        <v>channel 1</v>
      </c>
    </row>
    <row r="256">
      <c r="B256" s="61" t="s">
        <v>2512</v>
      </c>
      <c r="C256" s="45" t="s">
        <v>1724</v>
      </c>
      <c r="D256" s="62" t="s">
        <v>3388</v>
      </c>
      <c r="E256" s="11" t="str">
        <f>HYPERLINK("https://youtu.be/1NxjU9c8-oQ?t=4963","channel 2")</f>
        <v>channel 2</v>
      </c>
    </row>
    <row r="257">
      <c r="B257" s="62" t="s">
        <v>3387</v>
      </c>
      <c r="C257" s="45" t="s">
        <v>193</v>
      </c>
      <c r="D257" s="62" t="s">
        <v>3389</v>
      </c>
      <c r="E257" s="11" t="str">
        <f>HYPERLINK("https://youtu.be/X6ntIHj4yDE?t=5883","channel 1")</f>
        <v>channel 1</v>
      </c>
    </row>
    <row r="258">
      <c r="B258" s="62" t="s">
        <v>2161</v>
      </c>
      <c r="C258" s="45" t="s">
        <v>19</v>
      </c>
      <c r="D258" s="62" t="s">
        <v>3388</v>
      </c>
      <c r="E258" s="11" t="str">
        <f>HYPERLINK("https://youtu.be/1NxjU9c8-oQ?t=5939","channel 2")</f>
        <v>channel 2</v>
      </c>
    </row>
    <row r="259">
      <c r="B259" s="61" t="s">
        <v>2512</v>
      </c>
      <c r="C259" s="45" t="s">
        <v>248</v>
      </c>
      <c r="D259" s="62" t="s">
        <v>3389</v>
      </c>
      <c r="E259" s="11" t="str">
        <f>HYPERLINK("https://youtu.be/X6ntIHj4yDE?t=6765","channel 1")</f>
        <v>channel 1</v>
      </c>
    </row>
    <row r="260">
      <c r="B260" s="62" t="s">
        <v>3387</v>
      </c>
      <c r="C260" s="45" t="s">
        <v>185</v>
      </c>
      <c r="D260" s="62" t="s">
        <v>3388</v>
      </c>
      <c r="E260" s="11" t="str">
        <f>HYPERLINK("https://youtu.be/1NxjU9c8-oQ?t=6886","channel 2")</f>
        <v>channel 2</v>
      </c>
    </row>
    <row r="261">
      <c r="B261" s="62" t="s">
        <v>2161</v>
      </c>
      <c r="C261" s="45" t="s">
        <v>856</v>
      </c>
      <c r="D261" s="62" t="s">
        <v>3389</v>
      </c>
      <c r="E261" s="11" t="str">
        <f>HYPERLINK("https://youtu.be/X6ntIHj4yDE?t=7719","channel 1")</f>
        <v>channel 1</v>
      </c>
    </row>
    <row r="262">
      <c r="B262" s="62" t="s">
        <v>3387</v>
      </c>
      <c r="C262" s="45" t="s">
        <v>181</v>
      </c>
      <c r="D262" s="61" t="s">
        <v>2512</v>
      </c>
      <c r="E262" s="11" t="str">
        <f>HYPERLINK("https://youtu.be/1NxjU9c8-oQ?t=7783","channel 2")</f>
        <v>channel 2</v>
      </c>
    </row>
    <row r="263">
      <c r="B263" s="62" t="s">
        <v>3388</v>
      </c>
      <c r="C263" s="45" t="s">
        <v>173</v>
      </c>
      <c r="D263" s="62" t="s">
        <v>3389</v>
      </c>
      <c r="E263" s="11" t="str">
        <f>HYPERLINK("https://youtu.be/X6ntIHj4yDE?t=8689","channel 1")</f>
        <v>channel 1</v>
      </c>
    </row>
    <row r="264">
      <c r="B264" s="62" t="s">
        <v>2161</v>
      </c>
      <c r="C264" s="45" t="s">
        <v>289</v>
      </c>
      <c r="D264" s="61" t="s">
        <v>2512</v>
      </c>
      <c r="E264" s="11" t="str">
        <f>HYPERLINK("https://youtu.be/1NxjU9c8-oQ?t=8672","channel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2316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2111</v>
      </c>
      <c r="C3" s="76" t="s">
        <v>16</v>
      </c>
      <c r="D3" s="62" t="s">
        <v>3390</v>
      </c>
      <c r="E3" s="120" t="str">
        <f>HYPERLINK("https://youtu.be/v4c33SCgIfg","channel 1")</f>
        <v>channel 1</v>
      </c>
    </row>
    <row r="4">
      <c r="A4" s="90"/>
      <c r="B4" s="62" t="s">
        <v>1989</v>
      </c>
      <c r="C4" s="76" t="s">
        <v>183</v>
      </c>
      <c r="D4" s="61" t="s">
        <v>3391</v>
      </c>
      <c r="E4" s="120" t="str">
        <f>HYPERLINK("https://youtu.be/6NoYZnk-6ik","channel 2")</f>
        <v>channel 2</v>
      </c>
    </row>
    <row r="5">
      <c r="A5" s="90"/>
      <c r="B5" s="62" t="s">
        <v>3392</v>
      </c>
      <c r="C5" s="76" t="s">
        <v>162</v>
      </c>
      <c r="D5" s="62" t="s">
        <v>2111</v>
      </c>
      <c r="E5" s="120" t="str">
        <f>HYPERLINK("https://youtu.be/v4c33SCgIfg?t=1003","channel 1")</f>
        <v>channel 1</v>
      </c>
    </row>
    <row r="6">
      <c r="A6" s="90"/>
      <c r="B6" s="62" t="s">
        <v>1989</v>
      </c>
      <c r="C6" s="76" t="s">
        <v>1427</v>
      </c>
      <c r="D6" s="62" t="s">
        <v>3390</v>
      </c>
      <c r="E6" s="120" t="str">
        <f>HYPERLINK("https://youtu.be/6NoYZnk-6ik?t=1089","channel 2")</f>
        <v>channel 2</v>
      </c>
    </row>
    <row r="7">
      <c r="A7" s="90"/>
      <c r="B7" s="62" t="s">
        <v>3392</v>
      </c>
      <c r="C7" s="76" t="s">
        <v>856</v>
      </c>
      <c r="D7" s="61" t="s">
        <v>3391</v>
      </c>
      <c r="E7" s="120" t="str">
        <f>HYPERLINK("https://youtu.be/v4c33SCgIfg?t=1920","channel 1")</f>
        <v>channel 1</v>
      </c>
    </row>
    <row r="8">
      <c r="A8" s="90"/>
      <c r="B8" s="62" t="s">
        <v>1989</v>
      </c>
      <c r="C8" s="76" t="s">
        <v>268</v>
      </c>
      <c r="D8" s="62" t="s">
        <v>2111</v>
      </c>
      <c r="E8" s="120" t="str">
        <f>HYPERLINK("https://youtu.be/6NoYZnk-6ik?t=2016","channel 2")</f>
        <v>channel 2</v>
      </c>
    </row>
    <row r="9">
      <c r="A9" s="90"/>
      <c r="B9" s="62" t="s">
        <v>3392</v>
      </c>
      <c r="C9" s="79" t="s">
        <v>41</v>
      </c>
      <c r="D9" s="62" t="s">
        <v>3390</v>
      </c>
      <c r="E9" s="120" t="str">
        <f>HYPERLINK("https://youtu.be/v4c33SCgIfg?t=2828","channel 1")</f>
        <v>channel 1</v>
      </c>
    </row>
    <row r="10">
      <c r="A10" s="90"/>
      <c r="B10" s="61" t="s">
        <v>3391</v>
      </c>
      <c r="C10" s="79" t="s">
        <v>43</v>
      </c>
      <c r="D10" s="62" t="s">
        <v>2111</v>
      </c>
      <c r="E10" s="120" t="str">
        <f>HYPERLINK("https://youtu.be/6NoYZnk-6ik?t=2922","channel 2")</f>
        <v>channel 2</v>
      </c>
    </row>
    <row r="11">
      <c r="A11" s="90"/>
      <c r="B11" s="62" t="s">
        <v>3392</v>
      </c>
      <c r="C11" s="79" t="s">
        <v>357</v>
      </c>
      <c r="D11" s="62" t="s">
        <v>1989</v>
      </c>
      <c r="E11" s="120" t="str">
        <f>HYPERLINK("https://youtu.be/v4c33SCgIfg?t=3762","channel 1")</f>
        <v>channel 1</v>
      </c>
    </row>
    <row r="12">
      <c r="A12" s="90"/>
      <c r="B12" s="61" t="s">
        <v>3391</v>
      </c>
      <c r="C12" s="79" t="s">
        <v>7</v>
      </c>
      <c r="D12" s="62" t="s">
        <v>3390</v>
      </c>
      <c r="E12" s="120" t="str">
        <f>HYPERLINK("https://youtu.be/6NoYZnk-6ik?t=3854","channel 2")</f>
        <v>channel 2</v>
      </c>
    </row>
    <row r="13">
      <c r="A13" s="90"/>
      <c r="B13" s="62" t="s">
        <v>3390</v>
      </c>
      <c r="C13" s="79" t="s">
        <v>14</v>
      </c>
      <c r="D13" s="62" t="s">
        <v>2111</v>
      </c>
      <c r="E13" s="120" t="str">
        <f>HYPERLINK("https://youtu.be/v4c33SCgIfg?t=4722","channel 1")</f>
        <v>channel 1</v>
      </c>
    </row>
    <row r="14">
      <c r="A14" s="90"/>
      <c r="B14" s="61" t="s">
        <v>3391</v>
      </c>
      <c r="C14" s="79" t="s">
        <v>549</v>
      </c>
      <c r="D14" s="62" t="s">
        <v>1989</v>
      </c>
      <c r="E14" s="120" t="str">
        <f>HYPERLINK("https://youtu.be/6NoYZnk-6ik?t=4853","channel 2")</f>
        <v>channel 2</v>
      </c>
    </row>
    <row r="15">
      <c r="A15" s="90"/>
      <c r="B15" s="62" t="s">
        <v>2111</v>
      </c>
      <c r="C15" s="79" t="s">
        <v>258</v>
      </c>
      <c r="D15" s="62" t="s">
        <v>3392</v>
      </c>
      <c r="E15" s="120" t="str">
        <f>HYPERLINK("https://youtu.be/v4c33SCgIfg?t=5657","channel 1")</f>
        <v>channel 1</v>
      </c>
    </row>
    <row r="16">
      <c r="A16" s="90"/>
      <c r="B16" s="62" t="s">
        <v>3390</v>
      </c>
      <c r="C16" s="79" t="s">
        <v>610</v>
      </c>
      <c r="D16" s="62" t="s">
        <v>1989</v>
      </c>
      <c r="E16" s="120" t="str">
        <f>HYPERLINK("https://youtu.be/6NoYZnk-6ik?t=5751","channel 2")</f>
        <v>channel 2</v>
      </c>
    </row>
    <row r="17">
      <c r="A17" s="90"/>
      <c r="B17" s="61" t="s">
        <v>3391</v>
      </c>
      <c r="C17" s="79" t="s">
        <v>292</v>
      </c>
      <c r="D17" s="62" t="s">
        <v>3392</v>
      </c>
      <c r="E17" s="120" t="str">
        <f>HYPERLINK("https://youtu.be/v4c33SCgIfg?t=6556","channel 1")</f>
        <v>channel 1</v>
      </c>
    </row>
    <row r="18">
      <c r="A18" s="90"/>
      <c r="B18" s="62" t="s">
        <v>2111</v>
      </c>
      <c r="C18" s="79" t="s">
        <v>292</v>
      </c>
      <c r="D18" s="62" t="s">
        <v>1989</v>
      </c>
      <c r="E18" s="120" t="str">
        <f>HYPERLINK("https://youtu.be/6NoYZnk-6ik?t=6628","channel 2")</f>
        <v>channel 2</v>
      </c>
    </row>
    <row r="19">
      <c r="A19" s="90"/>
      <c r="B19" s="62" t="s">
        <v>3390</v>
      </c>
      <c r="C19" s="79" t="s">
        <v>286</v>
      </c>
      <c r="D19" s="62" t="s">
        <v>3392</v>
      </c>
      <c r="E19" s="120" t="str">
        <f>HYPERLINK("https://youtu.be/v4c33SCgIfg?t=7494","channel 1")</f>
        <v>channel 1</v>
      </c>
    </row>
    <row r="20">
      <c r="A20" s="90"/>
      <c r="B20" s="62" t="s">
        <v>2111</v>
      </c>
      <c r="C20" s="79" t="s">
        <v>302</v>
      </c>
      <c r="D20" s="61" t="s">
        <v>3391</v>
      </c>
      <c r="E20" s="120" t="str">
        <f>HYPERLINK("https://youtu.be/6NoYZnk-6ik?t=7512","channel 2")</f>
        <v>channel 2</v>
      </c>
    </row>
    <row r="21">
      <c r="A21" s="90"/>
      <c r="B21" s="62" t="s">
        <v>1989</v>
      </c>
      <c r="C21" s="79" t="s">
        <v>229</v>
      </c>
      <c r="D21" s="62" t="s">
        <v>3392</v>
      </c>
      <c r="E21" s="120" t="str">
        <f>HYPERLINK("https://youtu.be/v4c33SCgIfg?t=8391","channel 1")</f>
        <v>channel 1</v>
      </c>
    </row>
    <row r="22">
      <c r="A22" s="90"/>
      <c r="B22" s="62" t="s">
        <v>3390</v>
      </c>
      <c r="C22" s="79" t="s">
        <v>278</v>
      </c>
      <c r="D22" s="61" t="s">
        <v>3391</v>
      </c>
      <c r="E22" s="120" t="str">
        <f>HYPERLINK("https://youtu.be/6NoYZnk-6ik?t=8440","channel 2")</f>
        <v>channel 2</v>
      </c>
    </row>
    <row r="23">
      <c r="A23" s="90"/>
      <c r="B23" s="96" t="s">
        <v>2685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949</v>
      </c>
      <c r="C25" s="45" t="s">
        <v>210</v>
      </c>
      <c r="D25" s="62" t="s">
        <v>3393</v>
      </c>
      <c r="E25" s="11" t="str">
        <f>HYPERLINK("https://youtu.be/XSEspDv_Ebs","channel 1")</f>
        <v>channel 1</v>
      </c>
    </row>
    <row r="26">
      <c r="A26" s="90"/>
      <c r="B26" s="62" t="s">
        <v>2039</v>
      </c>
      <c r="C26" s="45" t="s">
        <v>155</v>
      </c>
      <c r="D26" s="61" t="s">
        <v>1873</v>
      </c>
      <c r="E26" s="11" t="str">
        <f>HYPERLINK("https://youtu.be/K3wmBuMjBKM","channel 2")</f>
        <v>channel 2</v>
      </c>
    </row>
    <row r="27">
      <c r="A27" s="90"/>
      <c r="B27" s="62" t="s">
        <v>3394</v>
      </c>
      <c r="C27" s="45" t="s">
        <v>279</v>
      </c>
      <c r="D27" s="62" t="s">
        <v>949</v>
      </c>
      <c r="E27" s="11" t="str">
        <f>HYPERLINK("https://youtu.be/XSEspDv_Ebs?t=809","channel 1")</f>
        <v>channel 1</v>
      </c>
    </row>
    <row r="28">
      <c r="A28" s="90"/>
      <c r="B28" s="62" t="s">
        <v>2039</v>
      </c>
      <c r="C28" s="45" t="s">
        <v>233</v>
      </c>
      <c r="D28" s="62" t="s">
        <v>3393</v>
      </c>
      <c r="E28" s="11" t="str">
        <f>HYPERLINK("https://youtu.be/K3wmBuMjBKM?t=897","channel 2")</f>
        <v>channel 2</v>
      </c>
    </row>
    <row r="29">
      <c r="A29" s="90"/>
      <c r="B29" s="62" t="s">
        <v>3394</v>
      </c>
      <c r="C29" s="45" t="s">
        <v>237</v>
      </c>
      <c r="D29" s="61" t="s">
        <v>1873</v>
      </c>
      <c r="E29" s="11" t="str">
        <f>HYPERLINK("https://youtu.be/XSEspDv_Ebs?t=1603","channel 1")</f>
        <v>channel 1</v>
      </c>
    </row>
    <row r="30">
      <c r="A30" s="90"/>
      <c r="B30" s="62" t="s">
        <v>2039</v>
      </c>
      <c r="C30" s="45" t="s">
        <v>161</v>
      </c>
      <c r="D30" s="62" t="s">
        <v>949</v>
      </c>
      <c r="E30" s="11" t="str">
        <f>HYPERLINK("https://youtu.be/K3wmBuMjBKM?t=1726","channel 2")</f>
        <v>channel 2</v>
      </c>
    </row>
    <row r="31">
      <c r="A31" s="90"/>
      <c r="B31" s="62" t="s">
        <v>3394</v>
      </c>
      <c r="C31" s="45" t="s">
        <v>248</v>
      </c>
      <c r="D31" s="62" t="s">
        <v>3393</v>
      </c>
      <c r="E31" s="11" t="str">
        <f>HYPERLINK("https://youtu.be/XSEspDv_Ebs?t=2399","channel 1")</f>
        <v>channel 1</v>
      </c>
    </row>
    <row r="32">
      <c r="A32" s="90"/>
      <c r="B32" s="61" t="s">
        <v>1873</v>
      </c>
      <c r="C32" s="45" t="s">
        <v>524</v>
      </c>
      <c r="D32" s="62" t="s">
        <v>949</v>
      </c>
      <c r="E32" s="11" t="str">
        <f>HYPERLINK("https://youtu.be/K3wmBuMjBKM?t=2506","channel 2")</f>
        <v>channel 2</v>
      </c>
    </row>
    <row r="33">
      <c r="A33" s="90"/>
      <c r="B33" s="62" t="s">
        <v>3394</v>
      </c>
      <c r="C33" s="45" t="s">
        <v>313</v>
      </c>
      <c r="D33" s="62" t="s">
        <v>2039</v>
      </c>
      <c r="E33" s="11" t="str">
        <f>HYPERLINK("https://youtu.be/XSEspDv_Ebs?t=3194","channel 1")</f>
        <v>channel 1</v>
      </c>
    </row>
    <row r="34">
      <c r="A34" s="90"/>
      <c r="B34" s="61" t="s">
        <v>1873</v>
      </c>
      <c r="C34" s="45" t="s">
        <v>302</v>
      </c>
      <c r="D34" s="62" t="s">
        <v>3393</v>
      </c>
      <c r="E34" s="11" t="str">
        <f>HYPERLINK("https://youtu.be/K3wmBuMjBKM?t=3321","channel 2")</f>
        <v>channel 2</v>
      </c>
    </row>
    <row r="35">
      <c r="A35" s="90"/>
      <c r="B35" s="62" t="s">
        <v>3393</v>
      </c>
      <c r="C35" s="45" t="s">
        <v>464</v>
      </c>
      <c r="D35" s="62" t="s">
        <v>949</v>
      </c>
      <c r="E35" s="11" t="str">
        <f>HYPERLINK("https://youtu.be/XSEspDv_Ebs?t=4013","channel 1")</f>
        <v>channel 1</v>
      </c>
    </row>
    <row r="36">
      <c r="A36" s="90"/>
      <c r="B36" s="61" t="s">
        <v>1873</v>
      </c>
      <c r="C36" s="45" t="s">
        <v>489</v>
      </c>
      <c r="D36" s="62" t="s">
        <v>2039</v>
      </c>
      <c r="E36" s="11" t="str">
        <f>HYPERLINK("https://youtu.be/K3wmBuMjBKM?t=4148","channel 2")</f>
        <v>channel 2</v>
      </c>
    </row>
    <row r="37">
      <c r="A37" s="90"/>
      <c r="B37" s="62" t="s">
        <v>949</v>
      </c>
      <c r="C37" s="45" t="s">
        <v>507</v>
      </c>
      <c r="D37" s="62" t="s">
        <v>3394</v>
      </c>
      <c r="E37" s="11" t="str">
        <f>HYPERLINK("https://youtu.be/XSEspDv_Ebs?t=4881","channel 1")</f>
        <v>channel 1</v>
      </c>
    </row>
    <row r="38">
      <c r="A38" s="90"/>
      <c r="B38" s="62" t="s">
        <v>3393</v>
      </c>
      <c r="C38" s="45" t="s">
        <v>195</v>
      </c>
      <c r="D38" s="62" t="s">
        <v>2039</v>
      </c>
      <c r="E38" s="11" t="str">
        <f>HYPERLINK("https://youtu.be/K3wmBuMjBKM?t=4956","channel 2")</f>
        <v>channel 2</v>
      </c>
    </row>
    <row r="39">
      <c r="A39" s="90"/>
      <c r="B39" s="61" t="s">
        <v>1873</v>
      </c>
      <c r="C39" s="45" t="s">
        <v>181</v>
      </c>
      <c r="D39" s="62" t="s">
        <v>3394</v>
      </c>
      <c r="E39" s="11" t="str">
        <f>HYPERLINK("https://youtu.be/XSEspDv_Ebs?t=5644","channel 1")</f>
        <v>channel 1</v>
      </c>
    </row>
    <row r="40">
      <c r="A40" s="90"/>
      <c r="B40" s="62" t="s">
        <v>949</v>
      </c>
      <c r="C40" s="45" t="s">
        <v>17</v>
      </c>
      <c r="D40" s="62" t="s">
        <v>2039</v>
      </c>
      <c r="E40" s="11" t="str">
        <f>HYPERLINK("https://youtu.be/K3wmBuMjBKM?t=5739","channel 2")</f>
        <v>channel 2</v>
      </c>
    </row>
    <row r="41">
      <c r="A41" s="90"/>
      <c r="B41" s="62" t="s">
        <v>3393</v>
      </c>
      <c r="C41" s="45" t="s">
        <v>369</v>
      </c>
      <c r="D41" s="62" t="s">
        <v>3394</v>
      </c>
      <c r="E41" s="11" t="str">
        <f>HYPERLINK("https://youtu.be/XSEspDv_Ebs?t=6454","channel 1")</f>
        <v>channel 1</v>
      </c>
    </row>
    <row r="42">
      <c r="A42" s="90"/>
      <c r="B42" s="62" t="s">
        <v>949</v>
      </c>
      <c r="C42" s="45" t="s">
        <v>352</v>
      </c>
      <c r="D42" s="61" t="s">
        <v>1873</v>
      </c>
      <c r="E42" s="11" t="str">
        <f>HYPERLINK("https://youtu.be/K3wmBuMjBKM?t=6528","channel 2")</f>
        <v>channel 2</v>
      </c>
    </row>
    <row r="43">
      <c r="A43" s="90"/>
      <c r="B43" s="62" t="s">
        <v>2039</v>
      </c>
      <c r="C43" s="45" t="s">
        <v>545</v>
      </c>
      <c r="D43" s="62" t="s">
        <v>3394</v>
      </c>
      <c r="E43" s="11" t="str">
        <f>HYPERLINK("https://youtu.be/XSEspDv_Ebs?t=7271","channel 1")</f>
        <v>channel 1</v>
      </c>
    </row>
    <row r="44">
      <c r="A44" s="91"/>
      <c r="B44" s="62" t="s">
        <v>3393</v>
      </c>
      <c r="C44" s="45" t="s">
        <v>638</v>
      </c>
      <c r="D44" s="61" t="s">
        <v>1873</v>
      </c>
      <c r="E44" s="11" t="str">
        <f>HYPERLINK("https://youtu.be/K3wmBuMjBKM?t=7340","channel 2")</f>
        <v>channel 2</v>
      </c>
    </row>
    <row r="45">
      <c r="B45" s="96" t="s">
        <v>3395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3396</v>
      </c>
      <c r="C47" s="45" t="s">
        <v>1016</v>
      </c>
      <c r="D47" s="62" t="s">
        <v>3397</v>
      </c>
      <c r="E47" s="11" t="str">
        <f>HYPERLINK("https://youtu.be/RXrej9nL7n4","channel 1")</f>
        <v>channel 1</v>
      </c>
    </row>
    <row r="48">
      <c r="B48" s="61" t="s">
        <v>2022</v>
      </c>
      <c r="C48" s="45" t="s">
        <v>194</v>
      </c>
      <c r="D48" s="62" t="s">
        <v>214</v>
      </c>
      <c r="E48" s="11" t="str">
        <f>HYPERLINK("https://youtu.be/WTpgKKHeMX0","channel 2")</f>
        <v>channel 2</v>
      </c>
    </row>
    <row r="49">
      <c r="B49" s="62" t="s">
        <v>214</v>
      </c>
      <c r="C49" s="45" t="s">
        <v>554</v>
      </c>
      <c r="D49" s="62" t="s">
        <v>2357</v>
      </c>
      <c r="E49" s="11" t="str">
        <f>HYPERLINK("https://youtu.be/RXrej9nL7n4?t=989","channel 1")</f>
        <v>channel 1</v>
      </c>
    </row>
    <row r="50">
      <c r="B50" s="61" t="s">
        <v>2022</v>
      </c>
      <c r="C50" s="45" t="s">
        <v>7</v>
      </c>
      <c r="D50" s="62" t="s">
        <v>3397</v>
      </c>
      <c r="E50" s="11" t="str">
        <f>HYPERLINK("https://youtu.be/WTpgKKHeMX0?t=1069","channel 2")</f>
        <v>channel 2</v>
      </c>
    </row>
    <row r="51">
      <c r="B51" s="62" t="s">
        <v>2357</v>
      </c>
      <c r="C51" s="45" t="s">
        <v>298</v>
      </c>
      <c r="D51" s="62" t="s">
        <v>3396</v>
      </c>
      <c r="E51" s="11" t="str">
        <f>HYPERLINK("https://youtu.be/RXrej9nL7n4?t=2052","channel 1")</f>
        <v>channel 1</v>
      </c>
    </row>
    <row r="52">
      <c r="B52" s="62" t="s">
        <v>214</v>
      </c>
      <c r="C52" s="45" t="s">
        <v>575</v>
      </c>
      <c r="D52" s="62" t="s">
        <v>3397</v>
      </c>
      <c r="E52" s="11" t="str">
        <f>HYPERLINK("https://youtu.be/WTpgKKHeMX0?t=2062","channel 2")</f>
        <v>channel 2</v>
      </c>
    </row>
    <row r="53">
      <c r="B53" s="61" t="s">
        <v>2022</v>
      </c>
      <c r="C53" s="45" t="s">
        <v>158</v>
      </c>
      <c r="D53" s="62" t="s">
        <v>3396</v>
      </c>
      <c r="E53" s="11" t="str">
        <f>HYPERLINK("https://youtu.be/RXrej9nL7n4?t=2920","channel 1")</f>
        <v>channel 1</v>
      </c>
    </row>
    <row r="54">
      <c r="B54" s="62" t="s">
        <v>2357</v>
      </c>
      <c r="C54" s="45" t="s">
        <v>196</v>
      </c>
      <c r="D54" s="62" t="s">
        <v>3397</v>
      </c>
      <c r="E54" s="11" t="str">
        <f>HYPERLINK("https://youtu.be/WTpgKKHeMX0?t=2969","channel 2")</f>
        <v>channel 2</v>
      </c>
    </row>
    <row r="55">
      <c r="B55" s="62" t="s">
        <v>214</v>
      </c>
      <c r="C55" s="45" t="s">
        <v>43</v>
      </c>
      <c r="D55" s="62" t="s">
        <v>3396</v>
      </c>
      <c r="E55" s="11" t="str">
        <f>HYPERLINK("https://youtu.be/RXrej9nL7n4?t=3849","channel 1")</f>
        <v>channel 1</v>
      </c>
    </row>
    <row r="56">
      <c r="B56" s="62" t="s">
        <v>2357</v>
      </c>
      <c r="C56" s="45" t="s">
        <v>301</v>
      </c>
      <c r="D56" s="61" t="s">
        <v>2022</v>
      </c>
      <c r="E56" s="11" t="str">
        <f>HYPERLINK("https://youtu.be/WTpgKKHeMX0?t=3876","channel 2")</f>
        <v>channel 2</v>
      </c>
    </row>
    <row r="57">
      <c r="B57" s="62" t="s">
        <v>3397</v>
      </c>
      <c r="C57" s="45" t="s">
        <v>16</v>
      </c>
      <c r="D57" s="62" t="s">
        <v>3396</v>
      </c>
      <c r="E57" s="11" t="str">
        <f>HYPERLINK("https://youtu.be/RXrej9nL7n4?t=4716","channel 1")</f>
        <v>channel 1</v>
      </c>
    </row>
    <row r="58">
      <c r="B58" s="62" t="s">
        <v>214</v>
      </c>
      <c r="C58" s="45" t="s">
        <v>218</v>
      </c>
      <c r="D58" s="61" t="s">
        <v>2022</v>
      </c>
      <c r="E58" s="11" t="str">
        <f>HYPERLINK("https://youtu.be/WTpgKKHeMX0?t=4754","channel 2")</f>
        <v>channel 2</v>
      </c>
    </row>
    <row r="59">
      <c r="B59" s="96" t="s">
        <v>3398</v>
      </c>
      <c r="C59" s="2"/>
      <c r="D59" s="3"/>
      <c r="E59" s="53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62" t="s">
        <v>3399</v>
      </c>
      <c r="C61" s="45" t="s">
        <v>23</v>
      </c>
      <c r="D61" s="62" t="s">
        <v>3400</v>
      </c>
      <c r="E61" s="11" t="str">
        <f>HYPERLINK("https://youtu.be/wMXK6WQ8HV8","channel 1")</f>
        <v>channel 1</v>
      </c>
    </row>
    <row r="62">
      <c r="B62" s="62" t="s">
        <v>3401</v>
      </c>
      <c r="C62" s="45" t="s">
        <v>165</v>
      </c>
      <c r="D62" s="61" t="s">
        <v>3402</v>
      </c>
      <c r="E62" s="11" t="str">
        <f>HYPERLINK("https://youtu.be/jstDKXkM6q0?t=174","channel 2")</f>
        <v>channel 2</v>
      </c>
    </row>
    <row r="63">
      <c r="B63" s="62" t="s">
        <v>3165</v>
      </c>
      <c r="C63" s="45" t="s">
        <v>19</v>
      </c>
      <c r="D63" s="62" t="s">
        <v>3399</v>
      </c>
      <c r="E63" s="11" t="str">
        <f>HYPERLINK("https://youtu.be/wMXK6WQ8HV8?t=941","channel 1")</f>
        <v>channel 1</v>
      </c>
    </row>
    <row r="64">
      <c r="B64" s="62" t="s">
        <v>3401</v>
      </c>
      <c r="C64" s="45" t="s">
        <v>688</v>
      </c>
      <c r="D64" s="62" t="s">
        <v>3400</v>
      </c>
      <c r="E64" s="11" t="str">
        <f>HYPERLINK("https://youtu.be/jstDKXkM6q0?t=1094","channel 2")</f>
        <v>channel 2</v>
      </c>
    </row>
    <row r="65">
      <c r="B65" s="62" t="s">
        <v>3165</v>
      </c>
      <c r="C65" s="45" t="s">
        <v>248</v>
      </c>
      <c r="D65" s="61" t="s">
        <v>3402</v>
      </c>
      <c r="E65" s="11" t="str">
        <f>HYPERLINK("https://youtu.be/wMXK6WQ8HV8?t=1963","channel 1")</f>
        <v>channel 1</v>
      </c>
    </row>
    <row r="66">
      <c r="B66" s="62" t="s">
        <v>3401</v>
      </c>
      <c r="C66" s="45" t="s">
        <v>1335</v>
      </c>
      <c r="D66" s="62" t="s">
        <v>3399</v>
      </c>
      <c r="E66" s="11" t="str">
        <f>HYPERLINK("https://youtu.be/jstDKXkM6q0?t=2144","channel 2")</f>
        <v>channel 2</v>
      </c>
    </row>
    <row r="67">
      <c r="B67" s="62" t="s">
        <v>3165</v>
      </c>
      <c r="C67" s="45" t="s">
        <v>158</v>
      </c>
      <c r="D67" s="62" t="s">
        <v>3400</v>
      </c>
      <c r="E67" s="11" t="str">
        <f>HYPERLINK("https://youtu.be/wMXK6WQ8HV8?t=2851","channel 1")</f>
        <v>channel 1</v>
      </c>
    </row>
    <row r="68">
      <c r="B68" s="61" t="s">
        <v>3402</v>
      </c>
      <c r="C68" s="45" t="s">
        <v>219</v>
      </c>
      <c r="D68" s="62" t="s">
        <v>3399</v>
      </c>
      <c r="E68" s="11" t="str">
        <f>HYPERLINK("https://youtu.be/jstDKXkM6q0?t=3064","channel 2")</f>
        <v>channel 2</v>
      </c>
    </row>
    <row r="69">
      <c r="B69" s="62" t="s">
        <v>3165</v>
      </c>
      <c r="C69" s="45" t="s">
        <v>250</v>
      </c>
      <c r="D69" s="62" t="s">
        <v>3401</v>
      </c>
      <c r="E69" s="11" t="str">
        <f>HYPERLINK("https://youtu.be/wMXK6WQ8HV8?t=3843","channel 1")</f>
        <v>channel 1</v>
      </c>
    </row>
    <row r="70">
      <c r="B70" s="61" t="s">
        <v>3402</v>
      </c>
      <c r="C70" s="45" t="s">
        <v>44</v>
      </c>
      <c r="D70" s="62" t="s">
        <v>3400</v>
      </c>
      <c r="E70" s="11" t="str">
        <f>HYPERLINK("https://youtu.be/jstDKXkM6q0?t=4014","channel 2")</f>
        <v>channel 2</v>
      </c>
    </row>
    <row r="71">
      <c r="B71" s="62" t="s">
        <v>3400</v>
      </c>
      <c r="C71" s="45" t="s">
        <v>7</v>
      </c>
      <c r="D71" s="62" t="s">
        <v>3399</v>
      </c>
      <c r="E71" s="11" t="str">
        <f>HYPERLINK("https://youtu.be/wMXK6WQ8HV8?t=4847","channel 1")</f>
        <v>channel 1</v>
      </c>
    </row>
    <row r="72">
      <c r="B72" s="61" t="s">
        <v>3402</v>
      </c>
      <c r="C72" s="45" t="s">
        <v>210</v>
      </c>
      <c r="D72" s="62" t="s">
        <v>3401</v>
      </c>
      <c r="E72" s="11" t="str">
        <f>HYPERLINK("https://youtu.be/jstDKXkM6q0?t=4986","channel 2")</f>
        <v>channel 2</v>
      </c>
    </row>
    <row r="73">
      <c r="B73" s="62" t="s">
        <v>3399</v>
      </c>
      <c r="C73" s="45" t="s">
        <v>162</v>
      </c>
      <c r="D73" s="62" t="s">
        <v>3165</v>
      </c>
      <c r="E73" s="11" t="str">
        <f>HYPERLINK("https://youtu.be/wMXK6WQ8HV8?t=5814","channel 1")</f>
        <v>channel 1</v>
      </c>
    </row>
    <row r="74">
      <c r="B74" s="62" t="s">
        <v>3400</v>
      </c>
      <c r="C74" s="45" t="s">
        <v>23</v>
      </c>
      <c r="D74" s="62" t="s">
        <v>3401</v>
      </c>
      <c r="E74" s="11" t="str">
        <f>HYPERLINK("https://youtu.be/jstDKXkM6q0?t=5945","channel 2")</f>
        <v>channel 2</v>
      </c>
    </row>
    <row r="75">
      <c r="B75" s="61" t="s">
        <v>3402</v>
      </c>
      <c r="C75" s="45" t="s">
        <v>173</v>
      </c>
      <c r="D75" s="62" t="s">
        <v>3165</v>
      </c>
      <c r="E75" s="11" t="str">
        <f>HYPERLINK("https://youtu.be/wMXK6WQ8HV8?t=6713","channel 1")</f>
        <v>channel 1</v>
      </c>
    </row>
    <row r="76">
      <c r="B76" s="62" t="s">
        <v>3399</v>
      </c>
      <c r="C76" s="45" t="s">
        <v>16</v>
      </c>
      <c r="D76" s="62" t="s">
        <v>3401</v>
      </c>
      <c r="E76" s="11" t="str">
        <f>HYPERLINK("https://youtu.be/jstDKXkM6q0?t=6859","channel 2")</f>
        <v>channel 2</v>
      </c>
    </row>
    <row r="77">
      <c r="B77" s="62" t="s">
        <v>3400</v>
      </c>
      <c r="C77" s="45" t="s">
        <v>158</v>
      </c>
      <c r="D77" s="62" t="s">
        <v>3165</v>
      </c>
      <c r="E77" s="11" t="str">
        <f>HYPERLINK("https://youtu.be/wMXK6WQ8HV8?t=8196","channel 1")</f>
        <v>channel 1</v>
      </c>
    </row>
    <row r="78">
      <c r="B78" s="62" t="s">
        <v>3399</v>
      </c>
      <c r="C78" s="45" t="s">
        <v>264</v>
      </c>
      <c r="D78" s="61" t="s">
        <v>3402</v>
      </c>
      <c r="E78" s="11" t="str">
        <f>HYPERLINK("https://youtu.be/jstDKXkM6q0?t=8323","channel 2")</f>
        <v>channel 2</v>
      </c>
    </row>
    <row r="79">
      <c r="B79" s="62" t="s">
        <v>3401</v>
      </c>
      <c r="C79" s="45" t="s">
        <v>20</v>
      </c>
      <c r="D79" s="62" t="s">
        <v>3165</v>
      </c>
      <c r="E79" s="11" t="str">
        <f>HYPERLINK("https://youtu.be/wMXK6WQ8HV8?t=9044","channel 1")</f>
        <v>channel 1</v>
      </c>
    </row>
    <row r="80">
      <c r="B80" s="62" t="s">
        <v>3400</v>
      </c>
      <c r="C80" s="45" t="s">
        <v>334</v>
      </c>
      <c r="D80" s="61" t="s">
        <v>3402</v>
      </c>
      <c r="E80" s="11" t="str">
        <f>HYPERLINK("https://youtu.be/jstDKXkM6q0?t=9197","channel 2")</f>
        <v>channel 2</v>
      </c>
    </row>
    <row r="81">
      <c r="B81" s="96" t="s">
        <v>3293</v>
      </c>
      <c r="C81" s="2"/>
      <c r="D81" s="3"/>
      <c r="E81" s="53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62" t="s">
        <v>3124</v>
      </c>
      <c r="C83" s="45" t="s">
        <v>23</v>
      </c>
      <c r="D83" s="62" t="s">
        <v>3403</v>
      </c>
      <c r="E83" s="11" t="str">
        <f>HYPERLINK("https://youtu.be/o_HPqFD77FY","channel 3")</f>
        <v>channel 3</v>
      </c>
    </row>
    <row r="84">
      <c r="B84" s="62" t="s">
        <v>3404</v>
      </c>
      <c r="C84" s="45" t="s">
        <v>292</v>
      </c>
      <c r="D84" s="61" t="s">
        <v>3389</v>
      </c>
      <c r="E84" s="11" t="str">
        <f>HYPERLINK("https://youtu.be/4fTLNb_gQpY","channel 4")</f>
        <v>channel 4</v>
      </c>
    </row>
    <row r="85">
      <c r="B85" s="62" t="s">
        <v>2993</v>
      </c>
      <c r="C85" s="45" t="s">
        <v>366</v>
      </c>
      <c r="D85" s="62" t="s">
        <v>3124</v>
      </c>
      <c r="E85" s="11" t="str">
        <f>HYPERLINK("https://youtu.be/o_HPqFD77FY?t=954","channel 3")</f>
        <v>channel 3</v>
      </c>
    </row>
    <row r="86">
      <c r="B86" s="62" t="s">
        <v>3404</v>
      </c>
      <c r="C86" s="45" t="s">
        <v>155</v>
      </c>
      <c r="D86" s="62" t="s">
        <v>3403</v>
      </c>
      <c r="E86" s="11" t="str">
        <f>HYPERLINK("https://youtu.be/4fTLNb_gQpY?t=1049","channel 4")</f>
        <v>channel 4</v>
      </c>
    </row>
    <row r="87">
      <c r="B87" s="62" t="s">
        <v>2993</v>
      </c>
      <c r="C87" s="45" t="s">
        <v>570</v>
      </c>
      <c r="D87" s="61" t="s">
        <v>3389</v>
      </c>
      <c r="E87" s="11" t="str">
        <f>HYPERLINK("https://youtu.be/o_HPqFD77FY?t=1932","channel 3")</f>
        <v>channel 3</v>
      </c>
    </row>
    <row r="88">
      <c r="B88" s="62" t="s">
        <v>3404</v>
      </c>
      <c r="C88" s="45" t="s">
        <v>344</v>
      </c>
      <c r="D88" s="62" t="s">
        <v>3124</v>
      </c>
      <c r="E88" s="11" t="str">
        <f>HYPERLINK("https://youtu.be/4fTLNb_gQpY?t=1929","channel 4")</f>
        <v>channel 4</v>
      </c>
    </row>
    <row r="89">
      <c r="B89" s="62" t="s">
        <v>2993</v>
      </c>
      <c r="C89" s="45" t="s">
        <v>1468</v>
      </c>
      <c r="D89" s="62" t="s">
        <v>3403</v>
      </c>
      <c r="E89" s="11" t="str">
        <f>HYPERLINK("https://youtu.be/o_HPqFD77FY?t=2842","channel 3")</f>
        <v>channel 3</v>
      </c>
    </row>
    <row r="90">
      <c r="B90" s="61" t="s">
        <v>3389</v>
      </c>
      <c r="C90" s="45" t="s">
        <v>19</v>
      </c>
      <c r="D90" s="62" t="s">
        <v>3124</v>
      </c>
      <c r="E90" s="11" t="str">
        <f>HYPERLINK("https://youtu.be/4fTLNb_gQpY?t=2820","channel 4")</f>
        <v>channel 4</v>
      </c>
    </row>
    <row r="91">
      <c r="B91" s="62" t="s">
        <v>2993</v>
      </c>
      <c r="C91" s="81" t="s">
        <v>668</v>
      </c>
      <c r="D91" s="62" t="s">
        <v>3404</v>
      </c>
      <c r="E91" s="125" t="s">
        <v>29</v>
      </c>
    </row>
    <row r="92">
      <c r="B92" s="61" t="s">
        <v>3389</v>
      </c>
      <c r="C92" s="81" t="s">
        <v>668</v>
      </c>
      <c r="D92" s="62" t="s">
        <v>3403</v>
      </c>
      <c r="E92" s="125" t="s">
        <v>33</v>
      </c>
    </row>
    <row r="93">
      <c r="B93" s="62" t="s">
        <v>3403</v>
      </c>
      <c r="C93" s="45" t="s">
        <v>184</v>
      </c>
      <c r="D93" s="62" t="s">
        <v>3124</v>
      </c>
      <c r="E93" s="11" t="str">
        <f>HYPERLINK("https://youtu.be/o_HPqFD77FY?t=4909","channel 3")</f>
        <v>channel 3</v>
      </c>
    </row>
    <row r="94">
      <c r="B94" s="61" t="s">
        <v>3389</v>
      </c>
      <c r="C94" s="45" t="s">
        <v>20</v>
      </c>
      <c r="D94" s="62" t="s">
        <v>3404</v>
      </c>
      <c r="E94" s="11" t="str">
        <f>HYPERLINK("https://youtu.be/4fTLNb_gQpY?t=4528","channel 4")</f>
        <v>channel 4</v>
      </c>
    </row>
    <row r="95">
      <c r="B95" s="62" t="s">
        <v>3124</v>
      </c>
      <c r="C95" s="45" t="s">
        <v>220</v>
      </c>
      <c r="D95" s="62" t="s">
        <v>2993</v>
      </c>
      <c r="E95" s="11" t="str">
        <f>HYPERLINK("https://youtu.be/o_HPqFD77FY?t=5798","channel 3")</f>
        <v>channel 3</v>
      </c>
    </row>
    <row r="96">
      <c r="B96" s="62" t="s">
        <v>3403</v>
      </c>
      <c r="C96" s="45" t="s">
        <v>449</v>
      </c>
      <c r="D96" s="62" t="s">
        <v>3404</v>
      </c>
      <c r="E96" s="11" t="str">
        <f>HYPERLINK("https://youtu.be/4fTLNb_gQpY?t=5420","channel 4")</f>
        <v>channel 4</v>
      </c>
    </row>
    <row r="97">
      <c r="B97" s="61" t="s">
        <v>3389</v>
      </c>
      <c r="C97" s="45" t="s">
        <v>3405</v>
      </c>
      <c r="D97" s="62" t="s">
        <v>2993</v>
      </c>
      <c r="E97" s="11" t="str">
        <f>HYPERLINK("https://youtu.be/o_HPqFD77FY?t=6742","channel 3")</f>
        <v>channel 3</v>
      </c>
    </row>
    <row r="98">
      <c r="B98" s="62" t="s">
        <v>3124</v>
      </c>
      <c r="C98" s="45" t="s">
        <v>20</v>
      </c>
      <c r="D98" s="62" t="s">
        <v>3404</v>
      </c>
      <c r="E98" s="11" t="str">
        <f>HYPERLINK("https://youtu.be/4fTLNb_gQpY?t=6364","channel 4")</f>
        <v>channel 4</v>
      </c>
    </row>
    <row r="99">
      <c r="B99" s="62" t="s">
        <v>3403</v>
      </c>
      <c r="C99" s="45" t="s">
        <v>774</v>
      </c>
      <c r="D99" s="62" t="s">
        <v>2993</v>
      </c>
      <c r="E99" s="11" t="str">
        <f>HYPERLINK("https://youtu.be/o_HPqFD77FY?t=7692","channel 3")</f>
        <v>channel 3</v>
      </c>
    </row>
    <row r="100">
      <c r="B100" s="62" t="s">
        <v>3124</v>
      </c>
      <c r="C100" s="45" t="s">
        <v>418</v>
      </c>
      <c r="D100" s="61" t="s">
        <v>3389</v>
      </c>
      <c r="E100" s="11" t="str">
        <f>HYPERLINK("https://youtu.be/4fTLNb_gQpY?t=7337","channel 4")</f>
        <v>channel 4</v>
      </c>
    </row>
    <row r="101">
      <c r="B101" s="62" t="s">
        <v>3404</v>
      </c>
      <c r="C101" s="45" t="s">
        <v>41</v>
      </c>
      <c r="D101" s="62" t="s">
        <v>2993</v>
      </c>
      <c r="E101" s="11" t="str">
        <f>HYPERLINK("https://youtu.be/o_HPqFD77FY?t=8662","channel 3")</f>
        <v>channel 3</v>
      </c>
    </row>
    <row r="102">
      <c r="B102" s="62" t="s">
        <v>3403</v>
      </c>
      <c r="C102" s="45" t="s">
        <v>162</v>
      </c>
      <c r="D102" s="61" t="s">
        <v>3389</v>
      </c>
      <c r="E102" s="11" t="str">
        <f>HYPERLINK("https://youtu.be/4fTLNb_gQpY?t=8333","channel 4")</f>
        <v>channel 4</v>
      </c>
    </row>
    <row r="103">
      <c r="B103" s="96" t="s">
        <v>2741</v>
      </c>
      <c r="C103" s="2"/>
      <c r="D103" s="3"/>
      <c r="E103" s="53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62" t="s">
        <v>3307</v>
      </c>
      <c r="C105" s="81" t="s">
        <v>668</v>
      </c>
      <c r="D105" s="62" t="s">
        <v>1308</v>
      </c>
      <c r="E105" s="125" t="str">
        <f>HYPERLINK("","channel 3")</f>
        <v>channel 3</v>
      </c>
    </row>
    <row r="106">
      <c r="B106" s="62" t="s">
        <v>3306</v>
      </c>
      <c r="C106" s="45" t="s">
        <v>165</v>
      </c>
      <c r="D106" s="61" t="s">
        <v>104</v>
      </c>
      <c r="E106" s="11" t="str">
        <f>HYPERLINK("https://youtu.be/OpuNrBhwvOk","channel 4")</f>
        <v>channel 4</v>
      </c>
    </row>
    <row r="107">
      <c r="B107" s="62" t="s">
        <v>1243</v>
      </c>
      <c r="C107" s="81" t="s">
        <v>668</v>
      </c>
      <c r="D107" s="62" t="s">
        <v>3307</v>
      </c>
      <c r="E107" s="125" t="s">
        <v>29</v>
      </c>
    </row>
    <row r="108">
      <c r="B108" s="62" t="s">
        <v>3306</v>
      </c>
      <c r="C108" s="45" t="s">
        <v>419</v>
      </c>
      <c r="D108" s="62" t="s">
        <v>1308</v>
      </c>
      <c r="E108" s="11" t="str">
        <f>HYPERLINK("https://youtu.be/OpuNrBhwvOk?t=1051","channel 4")</f>
        <v>channel 4</v>
      </c>
    </row>
    <row r="109">
      <c r="B109" s="62" t="s">
        <v>1243</v>
      </c>
      <c r="C109" s="45" t="s">
        <v>161</v>
      </c>
      <c r="D109" s="61" t="s">
        <v>104</v>
      </c>
      <c r="E109" s="11" t="str">
        <f>HYPERLINK("https://youtu.be/s5SEjE72ZCc?t=10","channel 3")</f>
        <v>channel 3</v>
      </c>
    </row>
    <row r="110">
      <c r="B110" s="62" t="s">
        <v>3306</v>
      </c>
      <c r="C110" s="81" t="s">
        <v>668</v>
      </c>
      <c r="D110" s="62" t="s">
        <v>3307</v>
      </c>
      <c r="E110" s="125" t="s">
        <v>33</v>
      </c>
    </row>
    <row r="111">
      <c r="B111" s="62" t="s">
        <v>1243</v>
      </c>
      <c r="C111" s="45" t="s">
        <v>230</v>
      </c>
      <c r="D111" s="62" t="s">
        <v>1308</v>
      </c>
      <c r="E111" s="11" t="str">
        <f>HYPERLINK("https://youtu.be/s5SEjE72ZCc?t=994","channel 3")</f>
        <v>channel 3</v>
      </c>
    </row>
    <row r="112">
      <c r="B112" s="61" t="s">
        <v>104</v>
      </c>
      <c r="C112" s="81" t="s">
        <v>668</v>
      </c>
      <c r="D112" s="62" t="s">
        <v>3307</v>
      </c>
      <c r="E112" s="125" t="s">
        <v>33</v>
      </c>
    </row>
    <row r="113">
      <c r="B113" s="62" t="s">
        <v>1243</v>
      </c>
      <c r="C113" s="45" t="s">
        <v>380</v>
      </c>
      <c r="D113" s="62" t="s">
        <v>3306</v>
      </c>
      <c r="E113" s="11" t="str">
        <f>HYPERLINK("https://youtu.be/s5SEjE72ZCc?t=2142","channel 3")</f>
        <v>channel 3</v>
      </c>
    </row>
    <row r="114">
      <c r="B114" s="61" t="s">
        <v>104</v>
      </c>
      <c r="C114" s="45" t="s">
        <v>1334</v>
      </c>
      <c r="D114" s="62" t="s">
        <v>1308</v>
      </c>
      <c r="E114" s="11" t="str">
        <f>HYPERLINK("https://youtu.be/OpuNrBhwvOk?t=3766","channel 4")</f>
        <v>channel 4</v>
      </c>
    </row>
    <row r="115">
      <c r="B115" s="62" t="s">
        <v>1308</v>
      </c>
      <c r="C115" s="81" t="s">
        <v>668</v>
      </c>
      <c r="D115" s="62" t="s">
        <v>3307</v>
      </c>
      <c r="E115" s="125" t="s">
        <v>29</v>
      </c>
    </row>
    <row r="116">
      <c r="B116" s="61" t="s">
        <v>104</v>
      </c>
      <c r="C116" s="45" t="s">
        <v>17</v>
      </c>
      <c r="D116" s="62" t="s">
        <v>3306</v>
      </c>
      <c r="E116" s="11" t="str">
        <f>HYPERLINK("https://youtu.be/OpuNrBhwvOk?t=4748","channel 4")</f>
        <v>channel 4</v>
      </c>
    </row>
    <row r="117">
      <c r="B117" s="62" t="s">
        <v>3307</v>
      </c>
      <c r="C117" s="81" t="s">
        <v>668</v>
      </c>
      <c r="D117" s="62" t="s">
        <v>1243</v>
      </c>
      <c r="E117" s="125" t="s">
        <v>29</v>
      </c>
    </row>
    <row r="118">
      <c r="B118" s="62" t="s">
        <v>1308</v>
      </c>
      <c r="C118" s="45" t="s">
        <v>239</v>
      </c>
      <c r="D118" s="62" t="s">
        <v>3306</v>
      </c>
      <c r="E118" s="11" t="str">
        <f>HYPERLINK("https://youtu.be/OpuNrBhwvOk?t=5831","channel 4")</f>
        <v>channel 4</v>
      </c>
    </row>
    <row r="119">
      <c r="B119" s="61" t="s">
        <v>104</v>
      </c>
      <c r="C119" s="45" t="s">
        <v>209</v>
      </c>
      <c r="D119" s="62" t="s">
        <v>1243</v>
      </c>
      <c r="E119" s="11" t="str">
        <f>HYPERLINK("https://youtu.be/s5SEjE72ZCc?t=4836","channel 3")</f>
        <v>channel 3</v>
      </c>
    </row>
    <row r="120">
      <c r="B120" s="62" t="s">
        <v>3307</v>
      </c>
      <c r="C120" s="81" t="s">
        <v>668</v>
      </c>
      <c r="D120" s="62" t="s">
        <v>3306</v>
      </c>
      <c r="E120" s="125" t="s">
        <v>33</v>
      </c>
    </row>
    <row r="121">
      <c r="B121" s="62" t="s">
        <v>1308</v>
      </c>
      <c r="C121" s="45" t="s">
        <v>3406</v>
      </c>
      <c r="D121" s="62" t="s">
        <v>1243</v>
      </c>
      <c r="E121" s="11" t="str">
        <f>HYPERLINK("https://youtu.be/s5SEjE72ZCc?t=5761","channel 3")</f>
        <v>channel 3</v>
      </c>
    </row>
    <row r="122">
      <c r="B122" s="62" t="s">
        <v>3307</v>
      </c>
      <c r="C122" s="81" t="s">
        <v>668</v>
      </c>
      <c r="D122" s="61" t="s">
        <v>104</v>
      </c>
      <c r="E122" s="125" t="s">
        <v>33</v>
      </c>
    </row>
    <row r="123">
      <c r="B123" s="62" t="s">
        <v>3306</v>
      </c>
      <c r="C123" s="45" t="s">
        <v>466</v>
      </c>
      <c r="D123" s="62" t="s">
        <v>1243</v>
      </c>
      <c r="E123" s="11" t="str">
        <f>HYPERLINK("https://youtu.be/s5SEjE72ZCc?t=6710","channel 3")</f>
        <v>channel 3</v>
      </c>
    </row>
    <row r="124">
      <c r="B124" s="62" t="s">
        <v>1308</v>
      </c>
      <c r="C124" s="45" t="s">
        <v>3407</v>
      </c>
      <c r="D124" s="61" t="s">
        <v>104</v>
      </c>
      <c r="E124" s="11" t="str">
        <f>HYPERLINK("https://youtu.be/OpuNrBhwvOk?t=8450","channel 4")</f>
        <v>channel 4</v>
      </c>
    </row>
    <row r="125">
      <c r="B125" s="96" t="s">
        <v>2483</v>
      </c>
      <c r="C125" s="2"/>
      <c r="D125" s="3"/>
      <c r="E125" s="53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62" t="s">
        <v>3408</v>
      </c>
      <c r="C127" s="45" t="s">
        <v>517</v>
      </c>
      <c r="D127" s="62" t="s">
        <v>2754</v>
      </c>
      <c r="E127" s="11" t="str">
        <f>HYPERLINK("https://youtu.be/1Cb9HaMI5s0","channel 1")</f>
        <v>channel 1</v>
      </c>
    </row>
    <row r="128">
      <c r="B128" s="62" t="s">
        <v>3409</v>
      </c>
      <c r="C128" s="45" t="s">
        <v>19</v>
      </c>
      <c r="D128" s="61" t="s">
        <v>1563</v>
      </c>
      <c r="E128" s="11" t="str">
        <f>HYPERLINK("https://youtu.be/Wd2S7cGPtyc?t=76","channel 2")</f>
        <v>channel 2</v>
      </c>
    </row>
    <row r="129">
      <c r="B129" s="62" t="s">
        <v>2977</v>
      </c>
      <c r="C129" s="45" t="s">
        <v>344</v>
      </c>
      <c r="D129" s="62" t="s">
        <v>3408</v>
      </c>
      <c r="E129" s="11" t="str">
        <f>HYPERLINK("https://youtu.be/1Cb9HaMI5s0?t=980","channel 1")</f>
        <v>channel 1</v>
      </c>
    </row>
    <row r="130">
      <c r="B130" s="62" t="s">
        <v>3409</v>
      </c>
      <c r="C130" s="45" t="s">
        <v>208</v>
      </c>
      <c r="D130" s="62" t="s">
        <v>2754</v>
      </c>
      <c r="E130" s="11" t="str">
        <f>HYPERLINK("https://youtu.be/Wd2S7cGPtyc?t=1024","channel 2")</f>
        <v>channel 2</v>
      </c>
    </row>
    <row r="131">
      <c r="B131" s="62" t="s">
        <v>2977</v>
      </c>
      <c r="C131" s="45" t="s">
        <v>19</v>
      </c>
      <c r="D131" s="61" t="s">
        <v>1563</v>
      </c>
      <c r="E131" s="11" t="str">
        <f>HYPERLINK("https://youtu.be/1Cb9HaMI5s0?t=1919","channel 1")</f>
        <v>channel 1</v>
      </c>
    </row>
    <row r="132">
      <c r="B132" s="62" t="s">
        <v>3409</v>
      </c>
      <c r="C132" s="45" t="s">
        <v>38</v>
      </c>
      <c r="D132" s="62" t="s">
        <v>3408</v>
      </c>
      <c r="E132" s="11" t="str">
        <f>HYPERLINK("https://youtu.be/Wd2S7cGPtyc?t=2002","channel 2")</f>
        <v>channel 2</v>
      </c>
    </row>
    <row r="133">
      <c r="B133" s="62" t="s">
        <v>2977</v>
      </c>
      <c r="C133" s="45" t="s">
        <v>292</v>
      </c>
      <c r="D133" s="62" t="s">
        <v>2754</v>
      </c>
      <c r="E133" s="11" t="str">
        <f>HYPERLINK("https://youtu.be/1Cb9HaMI5s0?t=2834","channel 1")</f>
        <v>channel 1</v>
      </c>
    </row>
    <row r="134">
      <c r="B134" s="61" t="s">
        <v>1563</v>
      </c>
      <c r="C134" s="45" t="s">
        <v>219</v>
      </c>
      <c r="D134" s="62" t="s">
        <v>3408</v>
      </c>
      <c r="E134" s="11" t="str">
        <f>HYPERLINK("https://youtu.be/Wd2S7cGPtyc?t=2924","channel 2")</f>
        <v>channel 2</v>
      </c>
    </row>
    <row r="135">
      <c r="B135" s="62" t="s">
        <v>2977</v>
      </c>
      <c r="C135" s="45" t="s">
        <v>888</v>
      </c>
      <c r="D135" s="62" t="s">
        <v>3409</v>
      </c>
      <c r="E135" s="11" t="str">
        <f>HYPERLINK("https://youtu.be/1Cb9HaMI5s0?t=3938","channel 1")</f>
        <v>channel 1</v>
      </c>
    </row>
    <row r="136">
      <c r="B136" s="61" t="s">
        <v>1563</v>
      </c>
      <c r="C136" s="45" t="s">
        <v>18</v>
      </c>
      <c r="D136" s="62" t="s">
        <v>2754</v>
      </c>
      <c r="E136" s="11" t="str">
        <f>HYPERLINK("https://youtu.be/Wd2S7cGPtyc?t=3943","channel 2")</f>
        <v>channel 2</v>
      </c>
    </row>
    <row r="137">
      <c r="B137" s="62" t="s">
        <v>2754</v>
      </c>
      <c r="C137" s="45" t="s">
        <v>23</v>
      </c>
      <c r="D137" s="62" t="s">
        <v>3408</v>
      </c>
      <c r="E137" s="11" t="str">
        <f>HYPERLINK("https://youtu.be/1Cb9HaMI5s0?t=4797","channel 1")</f>
        <v>channel 1</v>
      </c>
    </row>
    <row r="138">
      <c r="B138" s="61" t="s">
        <v>1563</v>
      </c>
      <c r="C138" s="45" t="s">
        <v>37</v>
      </c>
      <c r="D138" s="62" t="s">
        <v>3409</v>
      </c>
      <c r="E138" s="11" t="str">
        <f>HYPERLINK("https://youtu.be/Wd2S7cGPtyc?t=4885","channel 2")</f>
        <v>channel 2</v>
      </c>
    </row>
    <row r="139">
      <c r="B139" s="62" t="s">
        <v>3408</v>
      </c>
      <c r="C139" s="45" t="s">
        <v>16</v>
      </c>
      <c r="D139" s="62" t="s">
        <v>2977</v>
      </c>
      <c r="E139" s="11" t="str">
        <f>HYPERLINK("https://youtu.be/1Cb9HaMI5s0?t=5750","channel 1")</f>
        <v>channel 1</v>
      </c>
    </row>
    <row r="140">
      <c r="B140" s="62" t="s">
        <v>2754</v>
      </c>
      <c r="C140" s="45" t="s">
        <v>570</v>
      </c>
      <c r="D140" s="62" t="s">
        <v>3409</v>
      </c>
      <c r="E140" s="11" t="str">
        <f>HYPERLINK("https://youtu.be/Wd2S7cGPtyc?t=5903","channel 2")</f>
        <v>channel 2</v>
      </c>
    </row>
    <row r="141">
      <c r="B141" s="61" t="s">
        <v>1563</v>
      </c>
      <c r="C141" s="45" t="s">
        <v>250</v>
      </c>
      <c r="D141" s="62" t="s">
        <v>2977</v>
      </c>
      <c r="E141" s="11" t="str">
        <f>HYPERLINK("https://youtu.be/1Cb9HaMI5s0?t=6663","channel 1")</f>
        <v>channel 1</v>
      </c>
    </row>
    <row r="142">
      <c r="B142" s="62" t="s">
        <v>3408</v>
      </c>
      <c r="C142" s="45" t="s">
        <v>302</v>
      </c>
      <c r="D142" s="62" t="s">
        <v>3409</v>
      </c>
      <c r="E142" s="11" t="str">
        <f>HYPERLINK("https://youtu.be/Wd2S7cGPtyc?t=6847","channel 2")</f>
        <v>channel 2</v>
      </c>
    </row>
    <row r="143">
      <c r="B143" s="62" t="s">
        <v>2754</v>
      </c>
      <c r="C143" s="45" t="s">
        <v>177</v>
      </c>
      <c r="D143" s="62" t="s">
        <v>2977</v>
      </c>
      <c r="E143" s="11" t="str">
        <f>HYPERLINK("https://youtu.be/1Cb9HaMI5s0?t=7563","channel 1")</f>
        <v>channel 1</v>
      </c>
    </row>
    <row r="144">
      <c r="B144" s="62" t="s">
        <v>3408</v>
      </c>
      <c r="C144" s="45" t="s">
        <v>16</v>
      </c>
      <c r="D144" s="61" t="s">
        <v>1563</v>
      </c>
      <c r="E144" s="11" t="str">
        <f>HYPERLINK("https://youtu.be/Wd2S7cGPtyc?t=7753","channel 2")</f>
        <v>channel 2</v>
      </c>
    </row>
    <row r="145">
      <c r="B145" s="62" t="s">
        <v>3409</v>
      </c>
      <c r="C145" s="45" t="s">
        <v>17</v>
      </c>
      <c r="D145" s="62" t="s">
        <v>2977</v>
      </c>
      <c r="E145" s="11" t="str">
        <f>HYPERLINK("https://youtu.be/1Cb9HaMI5s0?t=8472","channel 1")</f>
        <v>channel 1</v>
      </c>
    </row>
    <row r="146">
      <c r="B146" s="62" t="s">
        <v>2754</v>
      </c>
      <c r="C146" s="45" t="s">
        <v>38</v>
      </c>
      <c r="D146" s="61" t="s">
        <v>1563</v>
      </c>
      <c r="E146" s="11" t="str">
        <f>HYPERLINK("https://youtu.be/Wd2S7cGPtyc?t=8696","channel 2")</f>
        <v>channel 2</v>
      </c>
    </row>
    <row r="147">
      <c r="B147" s="96" t="s">
        <v>3410</v>
      </c>
      <c r="C147" s="2"/>
      <c r="D147" s="3"/>
      <c r="E147" s="53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62" t="s">
        <v>3411</v>
      </c>
      <c r="C149" s="45" t="s">
        <v>610</v>
      </c>
      <c r="D149" s="62" t="s">
        <v>3412</v>
      </c>
      <c r="E149" s="11" t="str">
        <f>HYPERLINK("https://youtu.be/vdSpklfAjVU","channel 1")</f>
        <v>channel 1</v>
      </c>
    </row>
    <row r="150">
      <c r="B150" s="62" t="s">
        <v>3413</v>
      </c>
      <c r="C150" s="45" t="s">
        <v>20</v>
      </c>
      <c r="D150" s="61" t="s">
        <v>3414</v>
      </c>
      <c r="E150" s="11" t="str">
        <f>HYPERLINK("https://youtu.be/vI-7sTlSfAk?t=145","channel 2")</f>
        <v>channel 2</v>
      </c>
    </row>
    <row r="151">
      <c r="B151" s="62" t="s">
        <v>3415</v>
      </c>
      <c r="C151" s="45" t="s">
        <v>193</v>
      </c>
      <c r="D151" s="62" t="s">
        <v>3411</v>
      </c>
      <c r="E151" s="11" t="str">
        <f>HYPERLINK("https://youtu.be/vdSpklfAjVU?t=986","channel 1")</f>
        <v>channel 1</v>
      </c>
    </row>
    <row r="152">
      <c r="B152" s="62" t="s">
        <v>3413</v>
      </c>
      <c r="C152" s="45" t="s">
        <v>14</v>
      </c>
      <c r="D152" s="62" t="s">
        <v>3412</v>
      </c>
      <c r="E152" s="11" t="str">
        <f>HYPERLINK("https://youtu.be/vI-7sTlSfAk?t=1068","channel 2")</f>
        <v>channel 2</v>
      </c>
    </row>
    <row r="153">
      <c r="B153" s="62" t="s">
        <v>3415</v>
      </c>
      <c r="C153" s="45" t="s">
        <v>155</v>
      </c>
      <c r="D153" s="61" t="s">
        <v>3414</v>
      </c>
      <c r="E153" s="11" t="str">
        <f>HYPERLINK("https://youtu.be/vdSpklfAjVU?t=1922","channel 1")</f>
        <v>channel 1</v>
      </c>
    </row>
    <row r="154">
      <c r="B154" s="62" t="s">
        <v>3413</v>
      </c>
      <c r="C154" s="45" t="s">
        <v>203</v>
      </c>
      <c r="D154" s="62" t="s">
        <v>3411</v>
      </c>
      <c r="E154" s="11" t="str">
        <f>HYPERLINK("https://youtu.be/vI-7sTlSfAk?t=2006","channel 2")</f>
        <v>channel 2</v>
      </c>
    </row>
    <row r="155">
      <c r="B155" s="62" t="s">
        <v>3415</v>
      </c>
      <c r="C155" s="45" t="s">
        <v>161</v>
      </c>
      <c r="D155" s="62" t="s">
        <v>3412</v>
      </c>
      <c r="E155" s="11" t="str">
        <f>HYPERLINK("https://youtu.be/vdSpklfAjVU?t=2817","channel 1")</f>
        <v>channel 1</v>
      </c>
    </row>
    <row r="156">
      <c r="B156" s="61" t="s">
        <v>3414</v>
      </c>
      <c r="C156" s="45" t="s">
        <v>155</v>
      </c>
      <c r="D156" s="62" t="s">
        <v>3411</v>
      </c>
      <c r="E156" s="11" t="str">
        <f>HYPERLINK("https://youtu.be/vI-7sTlSfAk?t=2929","channel 2")</f>
        <v>channel 2</v>
      </c>
    </row>
    <row r="157">
      <c r="B157" s="62" t="s">
        <v>3415</v>
      </c>
      <c r="C157" s="45" t="s">
        <v>342</v>
      </c>
      <c r="D157" s="62" t="s">
        <v>3413</v>
      </c>
      <c r="E157" s="11" t="str">
        <f>HYPERLINK("https://youtu.be/vdSpklfAjVU?t=3734","channel 1")</f>
        <v>channel 1</v>
      </c>
    </row>
    <row r="158">
      <c r="B158" s="61" t="s">
        <v>3414</v>
      </c>
      <c r="C158" s="45" t="s">
        <v>39</v>
      </c>
      <c r="D158" s="62" t="s">
        <v>3412</v>
      </c>
      <c r="E158" s="11" t="str">
        <f>HYPERLINK("https://youtu.be/vI-7sTlSfAk?t=3832","channel 2")</f>
        <v>channel 2</v>
      </c>
    </row>
    <row r="159">
      <c r="B159" s="62" t="s">
        <v>3412</v>
      </c>
      <c r="C159" s="45" t="s">
        <v>210</v>
      </c>
      <c r="D159" s="62" t="s">
        <v>3411</v>
      </c>
      <c r="E159" s="11" t="str">
        <f>HYPERLINK("https://youtu.be/vdSpklfAjVU?t=4704","channel 1")</f>
        <v>channel 1</v>
      </c>
    </row>
    <row r="160">
      <c r="B160" s="61" t="s">
        <v>3414</v>
      </c>
      <c r="C160" s="45" t="s">
        <v>352</v>
      </c>
      <c r="D160" s="62" t="s">
        <v>3413</v>
      </c>
      <c r="E160" s="11" t="str">
        <f>HYPERLINK("https://youtu.be/vI-7sTlSfAk?t=4794","channel 2")</f>
        <v>channel 2</v>
      </c>
    </row>
    <row r="161">
      <c r="B161" s="62" t="s">
        <v>3411</v>
      </c>
      <c r="C161" s="45" t="s">
        <v>17</v>
      </c>
      <c r="D161" s="62" t="s">
        <v>3415</v>
      </c>
      <c r="E161" s="11" t="str">
        <f>HYPERLINK("https://youtu.be/vdSpklfAjVU?t=5650","channel 1")</f>
        <v>channel 1</v>
      </c>
    </row>
    <row r="162">
      <c r="B162" s="62" t="s">
        <v>3412</v>
      </c>
      <c r="C162" s="45" t="s">
        <v>42</v>
      </c>
      <c r="D162" s="62" t="s">
        <v>3413</v>
      </c>
      <c r="E162" s="11" t="str">
        <f>HYPERLINK("https://youtu.be/vI-7sTlSfAk?t=5798","channel 2")</f>
        <v>channel 2</v>
      </c>
    </row>
    <row r="163">
      <c r="B163" s="61" t="s">
        <v>3414</v>
      </c>
      <c r="C163" s="45" t="s">
        <v>301</v>
      </c>
      <c r="D163" s="62" t="s">
        <v>3415</v>
      </c>
      <c r="E163" s="11" t="str">
        <f>HYPERLINK("https://youtu.be/vdSpklfAjVU?t=6538","channel 1")</f>
        <v>channel 1</v>
      </c>
    </row>
    <row r="164">
      <c r="B164" s="62" t="s">
        <v>3411</v>
      </c>
      <c r="C164" s="45" t="s">
        <v>291</v>
      </c>
      <c r="D164" s="62" t="s">
        <v>3413</v>
      </c>
      <c r="E164" s="11" t="str">
        <f>HYPERLINK("https://youtu.be/vI-7sTlSfAk?t=6721","channel 2")</f>
        <v>channel 2</v>
      </c>
    </row>
    <row r="165">
      <c r="B165" s="62" t="s">
        <v>3412</v>
      </c>
      <c r="C165" s="45" t="s">
        <v>157</v>
      </c>
      <c r="D165" s="62" t="s">
        <v>3415</v>
      </c>
      <c r="E165" s="11" t="str">
        <f>HYPERLINK("https://youtu.be/vdSpklfAjVU?t=7493","channel 1")</f>
        <v>channel 1</v>
      </c>
    </row>
    <row r="166">
      <c r="B166" s="62" t="s">
        <v>3411</v>
      </c>
      <c r="C166" s="45" t="s">
        <v>23</v>
      </c>
      <c r="D166" s="61" t="s">
        <v>3414</v>
      </c>
      <c r="E166" s="11" t="str">
        <f>HYPERLINK("https://youtu.be/vI-7sTlSfAk?t=7644","channel 2")</f>
        <v>channel 2</v>
      </c>
    </row>
    <row r="167">
      <c r="B167" s="62" t="s">
        <v>3413</v>
      </c>
      <c r="C167" s="45" t="s">
        <v>324</v>
      </c>
      <c r="D167" s="62" t="s">
        <v>3415</v>
      </c>
      <c r="E167" s="11" t="str">
        <f>HYPERLINK("https://youtu.be/vdSpklfAjVU?t=8518","channel 1")</f>
        <v>channel 1</v>
      </c>
    </row>
    <row r="168">
      <c r="B168" s="62" t="s">
        <v>3412</v>
      </c>
      <c r="C168" s="45" t="s">
        <v>41</v>
      </c>
      <c r="D168" s="61" t="s">
        <v>3414</v>
      </c>
      <c r="E168" s="11" t="str">
        <f>HYPERLINK("https://youtu.be/vI-7sTlSfAk?t=8539","channel 2")</f>
        <v>channel 2</v>
      </c>
    </row>
    <row r="169">
      <c r="B169" s="96" t="s">
        <v>3416</v>
      </c>
      <c r="C169" s="2"/>
      <c r="D169" s="3"/>
      <c r="E169" s="53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62" t="s">
        <v>3417</v>
      </c>
      <c r="C171" s="45" t="s">
        <v>280</v>
      </c>
      <c r="D171" s="62" t="s">
        <v>1936</v>
      </c>
      <c r="E171" s="11" t="str">
        <f>HYPERLINK("https://youtu.be/lAs-FnrW0wA","channel 3")</f>
        <v>channel 3</v>
      </c>
    </row>
    <row r="172">
      <c r="B172" s="62" t="s">
        <v>3418</v>
      </c>
      <c r="C172" s="45" t="s">
        <v>237</v>
      </c>
      <c r="D172" s="61" t="s">
        <v>2953</v>
      </c>
      <c r="E172" s="11" t="str">
        <f>HYPERLINK("https://youtu.be/43Od0Uiui30","channel 4")</f>
        <v>channel 4</v>
      </c>
    </row>
    <row r="173">
      <c r="B173" s="62" t="s">
        <v>2474</v>
      </c>
      <c r="C173" s="45" t="s">
        <v>38</v>
      </c>
      <c r="D173" s="62" t="s">
        <v>3417</v>
      </c>
      <c r="E173" s="11" t="str">
        <f>HYPERLINK("https://youtu.be/lAs-FnrW0wA?t=1011","channel 3")</f>
        <v>channel 3</v>
      </c>
    </row>
    <row r="174">
      <c r="B174" s="62" t="s">
        <v>3418</v>
      </c>
      <c r="C174" s="45" t="s">
        <v>271</v>
      </c>
      <c r="D174" s="62" t="s">
        <v>1936</v>
      </c>
      <c r="E174" s="11" t="str">
        <f>HYPERLINK("https://youtu.be/43Od0Uiui30?t=1061","channel 4")</f>
        <v>channel 4</v>
      </c>
    </row>
    <row r="175">
      <c r="B175" s="62" t="s">
        <v>2474</v>
      </c>
      <c r="C175" s="45" t="s">
        <v>248</v>
      </c>
      <c r="D175" s="61" t="s">
        <v>2953</v>
      </c>
      <c r="E175" s="11" t="str">
        <f>HYPERLINK("https://youtu.be/lAs-FnrW0wA?t=1982","channel 3")</f>
        <v>channel 3</v>
      </c>
    </row>
    <row r="176">
      <c r="B176" s="62" t="s">
        <v>3418</v>
      </c>
      <c r="C176" s="45" t="s">
        <v>165</v>
      </c>
      <c r="D176" s="62" t="s">
        <v>3417</v>
      </c>
      <c r="E176" s="11" t="str">
        <f>HYPERLINK("https://youtu.be/43Od0Uiui30?t=2007","channel 4")</f>
        <v>channel 4</v>
      </c>
    </row>
    <row r="177">
      <c r="B177" s="62" t="s">
        <v>2474</v>
      </c>
      <c r="C177" s="45" t="s">
        <v>454</v>
      </c>
      <c r="D177" s="62" t="s">
        <v>1936</v>
      </c>
      <c r="E177" s="11" t="str">
        <f>HYPERLINK("https://youtu.be/lAs-FnrW0wA?t=2866","channel 3")</f>
        <v>channel 3</v>
      </c>
    </row>
    <row r="178">
      <c r="B178" s="61" t="s">
        <v>2953</v>
      </c>
      <c r="C178" s="45" t="s">
        <v>181</v>
      </c>
      <c r="D178" s="62" t="s">
        <v>3417</v>
      </c>
      <c r="E178" s="11" t="str">
        <f>HYPERLINK("https://youtu.be/43Od0Uiui30?t=2902","channel 4")</f>
        <v>channel 4</v>
      </c>
    </row>
    <row r="179">
      <c r="B179" s="62" t="s">
        <v>2474</v>
      </c>
      <c r="C179" s="45" t="s">
        <v>182</v>
      </c>
      <c r="D179" s="62" t="s">
        <v>3418</v>
      </c>
      <c r="E179" s="11" t="str">
        <f>HYPERLINK("https://youtu.be/lAs-FnrW0wA?t=3775","channel 3")</f>
        <v>channel 3</v>
      </c>
    </row>
    <row r="180">
      <c r="B180" s="61" t="s">
        <v>2953</v>
      </c>
      <c r="C180" s="45" t="s">
        <v>19</v>
      </c>
      <c r="D180" s="62" t="s">
        <v>1936</v>
      </c>
      <c r="E180" s="11" t="str">
        <f>HYPERLINK("https://youtu.be/43Od0Uiui30?t=3835","channel 4")</f>
        <v>channel 4</v>
      </c>
    </row>
    <row r="181">
      <c r="B181" s="62" t="s">
        <v>1936</v>
      </c>
      <c r="C181" s="45" t="s">
        <v>251</v>
      </c>
      <c r="D181" s="62" t="s">
        <v>3417</v>
      </c>
      <c r="E181" s="11" t="str">
        <f>HYPERLINK("https://youtu.be/lAs-FnrW0wA?t=4679","channel 3")</f>
        <v>channel 3</v>
      </c>
    </row>
    <row r="182">
      <c r="B182" s="61" t="s">
        <v>2953</v>
      </c>
      <c r="C182" s="45" t="s">
        <v>195</v>
      </c>
      <c r="D182" s="62" t="s">
        <v>3418</v>
      </c>
      <c r="E182" s="11" t="str">
        <f>HYPERLINK("https://youtu.be/43Od0Uiui30?t=4725","channel 4")</f>
        <v>channel 4</v>
      </c>
    </row>
    <row r="183">
      <c r="B183" s="62" t="s">
        <v>3417</v>
      </c>
      <c r="C183" s="45" t="s">
        <v>743</v>
      </c>
      <c r="D183" s="62" t="s">
        <v>2474</v>
      </c>
      <c r="E183" s="11" t="str">
        <f>HYPERLINK("https://youtu.be/lAs-FnrW0wA?t=5594","channel 3")</f>
        <v>channel 3</v>
      </c>
    </row>
    <row r="184">
      <c r="B184" s="62" t="s">
        <v>1936</v>
      </c>
      <c r="C184" s="45" t="s">
        <v>426</v>
      </c>
      <c r="D184" s="62" t="s">
        <v>3418</v>
      </c>
      <c r="E184" s="11" t="str">
        <f>HYPERLINK("https://youtu.be/43Od0Uiui30?t=5634","channel 4")</f>
        <v>channel 4</v>
      </c>
    </row>
    <row r="185">
      <c r="B185" s="61" t="s">
        <v>2953</v>
      </c>
      <c r="C185" s="45" t="s">
        <v>352</v>
      </c>
      <c r="D185" s="62" t="s">
        <v>2474</v>
      </c>
      <c r="E185" s="11" t="str">
        <f>HYPERLINK("https://youtu.be/lAs-FnrW0wA?t=6508","channel 3")</f>
        <v>channel 3</v>
      </c>
    </row>
    <row r="186">
      <c r="B186" s="62" t="s">
        <v>3417</v>
      </c>
      <c r="C186" s="45" t="s">
        <v>23</v>
      </c>
      <c r="D186" s="62" t="s">
        <v>3418</v>
      </c>
      <c r="E186" s="11" t="str">
        <f>HYPERLINK("https://youtu.be/43Od0Uiui30?t=6548","channel 4")</f>
        <v>channel 4</v>
      </c>
    </row>
    <row r="187">
      <c r="B187" s="62" t="s">
        <v>1936</v>
      </c>
      <c r="C187" s="45" t="s">
        <v>313</v>
      </c>
      <c r="D187" s="62" t="s">
        <v>2474</v>
      </c>
      <c r="E187" s="11" t="str">
        <f>HYPERLINK("https://youtu.be/lAs-FnrW0wA?t=7414","channel 3")</f>
        <v>channel 3</v>
      </c>
    </row>
    <row r="188">
      <c r="B188" s="62" t="s">
        <v>3417</v>
      </c>
      <c r="C188" s="45" t="s">
        <v>16</v>
      </c>
      <c r="D188" s="61" t="s">
        <v>2953</v>
      </c>
      <c r="E188" s="11" t="str">
        <f>HYPERLINK("https://youtu.be/43Od0Uiui30?t=7469","channel 4")</f>
        <v>channel 4</v>
      </c>
    </row>
    <row r="189">
      <c r="B189" s="62" t="s">
        <v>3418</v>
      </c>
      <c r="C189" s="45" t="s">
        <v>24</v>
      </c>
      <c r="D189" s="62" t="s">
        <v>2474</v>
      </c>
      <c r="E189" s="11" t="str">
        <f>HYPERLINK("https://youtu.be/lAs-FnrW0wA?t=8325","channel 3")</f>
        <v>channel 3</v>
      </c>
    </row>
    <row r="190">
      <c r="B190" s="62" t="s">
        <v>1936</v>
      </c>
      <c r="C190" s="45" t="s">
        <v>327</v>
      </c>
      <c r="D190" s="61" t="s">
        <v>2953</v>
      </c>
      <c r="E190" s="11" t="str">
        <f>HYPERLINK("https://youtu.be/43Od0Uiui30?t=8356","channel 4")</f>
        <v>channel 4</v>
      </c>
    </row>
    <row r="191">
      <c r="B191" s="96" t="s">
        <v>2712</v>
      </c>
      <c r="C191" s="2"/>
      <c r="D191" s="3"/>
      <c r="E191" s="53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62" t="s">
        <v>3419</v>
      </c>
      <c r="C193" s="45" t="s">
        <v>830</v>
      </c>
      <c r="D193" s="62" t="s">
        <v>3420</v>
      </c>
      <c r="E193" s="11" t="str">
        <f>HYPERLINK("https://youtu.be/-GWkMmMYuMk","channel 3")</f>
        <v>channel 3</v>
      </c>
    </row>
    <row r="194">
      <c r="B194" s="62" t="s">
        <v>3421</v>
      </c>
      <c r="C194" s="45" t="s">
        <v>344</v>
      </c>
      <c r="D194" s="61" t="s">
        <v>3422</v>
      </c>
      <c r="E194" s="11" t="str">
        <f>HYPERLINK("https://youtu.be/xKzyO-3CupI","channel 4")</f>
        <v>channel 4</v>
      </c>
    </row>
    <row r="195">
      <c r="B195" s="62" t="s">
        <v>3423</v>
      </c>
      <c r="C195" s="45" t="s">
        <v>762</v>
      </c>
      <c r="D195" s="62" t="s">
        <v>3419</v>
      </c>
      <c r="E195" s="11" t="str">
        <f>HYPERLINK("https://youtu.be/-GWkMmMYuMk?t=964","channel 3")</f>
        <v>channel 3</v>
      </c>
    </row>
    <row r="196">
      <c r="B196" s="62" t="s">
        <v>3421</v>
      </c>
      <c r="C196" s="45" t="s">
        <v>250</v>
      </c>
      <c r="D196" s="62" t="s">
        <v>3420</v>
      </c>
      <c r="E196" s="11" t="str">
        <f>HYPERLINK("https://youtu.be/xKzyO-3CupI?t=674","channel 4")</f>
        <v>channel 4</v>
      </c>
    </row>
    <row r="197">
      <c r="B197" s="62" t="s">
        <v>3423</v>
      </c>
      <c r="C197" s="45" t="s">
        <v>160</v>
      </c>
      <c r="D197" s="61" t="s">
        <v>3422</v>
      </c>
      <c r="E197" s="11" t="str">
        <f>HYPERLINK("https://youtu.be/-GWkMmMYuMk?t=1857","channel 3")</f>
        <v>channel 3</v>
      </c>
    </row>
    <row r="198">
      <c r="B198" s="62" t="s">
        <v>3421</v>
      </c>
      <c r="C198" s="45" t="s">
        <v>291</v>
      </c>
      <c r="D198" s="62" t="s">
        <v>3419</v>
      </c>
      <c r="E198" s="11" t="str">
        <f>HYPERLINK("https://youtu.be/xKzyO-3CupI?t=1626","channel 4")</f>
        <v>channel 4</v>
      </c>
    </row>
    <row r="199">
      <c r="B199" s="62" t="s">
        <v>3423</v>
      </c>
      <c r="C199" s="45" t="s">
        <v>251</v>
      </c>
      <c r="D199" s="62" t="s">
        <v>3420</v>
      </c>
      <c r="E199" s="11" t="str">
        <f>HYPERLINK("https://youtu.be/-GWkMmMYuMk?t=2761","channel 3")</f>
        <v>channel 3</v>
      </c>
    </row>
    <row r="200">
      <c r="B200" s="61" t="s">
        <v>3422</v>
      </c>
      <c r="C200" s="45" t="s">
        <v>211</v>
      </c>
      <c r="D200" s="62" t="s">
        <v>3419</v>
      </c>
      <c r="E200" s="11" t="str">
        <f>HYPERLINK("https://youtu.be/xKzyO-3CupI?t=2572","channel 4")</f>
        <v>channel 4</v>
      </c>
    </row>
    <row r="201">
      <c r="B201" s="62" t="s">
        <v>3423</v>
      </c>
      <c r="C201" s="45" t="s">
        <v>225</v>
      </c>
      <c r="D201" s="62" t="s">
        <v>3421</v>
      </c>
      <c r="E201" s="11" t="str">
        <f>HYPERLINK("https://youtu.be/-GWkMmMYuMk?t=3711","channel 3")</f>
        <v>channel 3</v>
      </c>
    </row>
    <row r="202">
      <c r="B202" s="61" t="s">
        <v>3422</v>
      </c>
      <c r="C202" s="45" t="s">
        <v>998</v>
      </c>
      <c r="D202" s="62" t="s">
        <v>3420</v>
      </c>
      <c r="E202" s="11" t="str">
        <f>HYPERLINK("https://youtu.be/xKzyO-3CupI?t=3563","channel 4")</f>
        <v>channel 4</v>
      </c>
    </row>
    <row r="203">
      <c r="B203" s="62" t="s">
        <v>3420</v>
      </c>
      <c r="C203" s="45" t="s">
        <v>36</v>
      </c>
      <c r="D203" s="62" t="s">
        <v>3419</v>
      </c>
      <c r="E203" s="11" t="str">
        <f>HYPERLINK("https://youtu.be/-GWkMmMYuMk?t=4782","channel 3")</f>
        <v>channel 3</v>
      </c>
    </row>
    <row r="204">
      <c r="B204" s="61" t="s">
        <v>3422</v>
      </c>
      <c r="C204" s="45" t="s">
        <v>24</v>
      </c>
      <c r="D204" s="62" t="s">
        <v>3421</v>
      </c>
      <c r="E204" s="11" t="str">
        <f>HYPERLINK("https://youtu.be/xKzyO-3CupI?t=4514","channel 4")</f>
        <v>channel 4</v>
      </c>
    </row>
    <row r="205">
      <c r="B205" s="62" t="s">
        <v>3419</v>
      </c>
      <c r="C205" s="45" t="s">
        <v>198</v>
      </c>
      <c r="D205" s="62" t="s">
        <v>3423</v>
      </c>
      <c r="E205" s="11" t="str">
        <f>HYPERLINK("https://youtu.be/-GWkMmMYuMk?t=5727","channel 3")</f>
        <v>channel 3</v>
      </c>
    </row>
    <row r="206">
      <c r="B206" s="62" t="s">
        <v>3420</v>
      </c>
      <c r="C206" s="45" t="s">
        <v>208</v>
      </c>
      <c r="D206" s="62" t="s">
        <v>3421</v>
      </c>
      <c r="E206" s="11" t="str">
        <f>HYPERLINK("https://youtu.be/xKzyO-3CupI?t=5448","channel 4")</f>
        <v>channel 4</v>
      </c>
    </row>
    <row r="207">
      <c r="B207" s="61" t="s">
        <v>3422</v>
      </c>
      <c r="C207" s="45" t="s">
        <v>545</v>
      </c>
      <c r="D207" s="62" t="s">
        <v>3423</v>
      </c>
      <c r="E207" s="11" t="str">
        <f>HYPERLINK("https://youtu.be/-GWkMmMYuMk?t=6643","channel 3")</f>
        <v>channel 3</v>
      </c>
    </row>
    <row r="208">
      <c r="B208" s="62" t="s">
        <v>3419</v>
      </c>
      <c r="C208" s="45" t="s">
        <v>193</v>
      </c>
      <c r="D208" s="62" t="s">
        <v>3421</v>
      </c>
      <c r="E208" s="11" t="str">
        <f>HYPERLINK("https://youtu.be/xKzyO-3CupI?t=6393","channel 4")</f>
        <v>channel 4</v>
      </c>
    </row>
    <row r="209">
      <c r="B209" s="62" t="s">
        <v>3420</v>
      </c>
      <c r="C209" s="45" t="s">
        <v>164</v>
      </c>
      <c r="D209" s="62" t="s">
        <v>3423</v>
      </c>
      <c r="E209" s="11" t="str">
        <f>HYPERLINK("https://youtu.be/-GWkMmMYuMk?t=7545","channel 3")</f>
        <v>channel 3</v>
      </c>
    </row>
    <row r="210">
      <c r="B210" s="62" t="s">
        <v>3419</v>
      </c>
      <c r="C210" s="45" t="s">
        <v>366</v>
      </c>
      <c r="D210" s="61" t="s">
        <v>3422</v>
      </c>
      <c r="E210" s="11" t="str">
        <f>HYPERLINK("https://youtu.be/xKzyO-3CupI?t=7322","channel 4")</f>
        <v>channel 4</v>
      </c>
    </row>
    <row r="211">
      <c r="B211" s="62" t="s">
        <v>3421</v>
      </c>
      <c r="C211" s="45" t="s">
        <v>163</v>
      </c>
      <c r="D211" s="62" t="s">
        <v>3423</v>
      </c>
      <c r="E211" s="11" t="str">
        <f>HYPERLINK("https://youtu.be/-GWkMmMYuMk?t=8454","channel 3")</f>
        <v>channel 3</v>
      </c>
    </row>
    <row r="212">
      <c r="B212" s="62" t="s">
        <v>3420</v>
      </c>
      <c r="C212" s="45" t="s">
        <v>3424</v>
      </c>
      <c r="D212" s="61" t="s">
        <v>3422</v>
      </c>
      <c r="E212" s="11" t="str">
        <f>HYPERLINK("https://youtu.be/xKzyO-3CupI?t=8252","channel 4")</f>
        <v>channel 4</v>
      </c>
    </row>
    <row r="213">
      <c r="B213" s="96" t="s">
        <v>3060</v>
      </c>
      <c r="C213" s="2"/>
      <c r="D213" s="3"/>
      <c r="E213" s="53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62" t="s">
        <v>1828</v>
      </c>
      <c r="C215" s="45" t="s">
        <v>439</v>
      </c>
      <c r="D215" s="62" t="s">
        <v>3425</v>
      </c>
      <c r="E215" s="11" t="str">
        <f>HYPERLINK("https://youtu.be/NnV1ab5J71o","channel 1")</f>
        <v>channel 1</v>
      </c>
    </row>
    <row r="216">
      <c r="B216" s="62" t="s">
        <v>3426</v>
      </c>
      <c r="C216" s="45" t="s">
        <v>344</v>
      </c>
      <c r="D216" s="61" t="s">
        <v>3427</v>
      </c>
      <c r="E216" s="11" t="str">
        <f>HYPERLINK("https://youtu.be/oBne2qYIP1o","channel 2")</f>
        <v>channel 2</v>
      </c>
    </row>
    <row r="217">
      <c r="B217" s="62" t="s">
        <v>3428</v>
      </c>
      <c r="C217" s="45" t="s">
        <v>44</v>
      </c>
      <c r="D217" s="62" t="s">
        <v>1828</v>
      </c>
      <c r="E217" s="11" t="str">
        <f>HYPERLINK("https://youtu.be/NnV1ab5J71o?t=901","channel 1")</f>
        <v>channel 1</v>
      </c>
    </row>
    <row r="218">
      <c r="B218" s="62" t="s">
        <v>3426</v>
      </c>
      <c r="C218" s="45" t="s">
        <v>248</v>
      </c>
      <c r="D218" s="62" t="s">
        <v>3425</v>
      </c>
      <c r="E218" s="11" t="str">
        <f>HYPERLINK("https://youtu.be/oBne2qYIP1o?t=956","channel 2")</f>
        <v>channel 2</v>
      </c>
    </row>
    <row r="219">
      <c r="B219" s="62" t="s">
        <v>3428</v>
      </c>
      <c r="C219" s="45" t="s">
        <v>219</v>
      </c>
      <c r="D219" s="61" t="s">
        <v>3427</v>
      </c>
      <c r="E219" s="11" t="str">
        <f>HYPERLINK("https://youtu.be/NnV1ab5J71o?t=1722","channel 1")</f>
        <v>channel 1</v>
      </c>
    </row>
    <row r="220">
      <c r="B220" s="62" t="s">
        <v>3426</v>
      </c>
      <c r="C220" s="45" t="s">
        <v>301</v>
      </c>
      <c r="D220" s="62" t="s">
        <v>1828</v>
      </c>
      <c r="E220" s="11" t="str">
        <f>HYPERLINK("https://youtu.be/oBne2qYIP1o?t=1790","channel 2")</f>
        <v>channel 2</v>
      </c>
    </row>
    <row r="221">
      <c r="B221" s="62" t="s">
        <v>3428</v>
      </c>
      <c r="C221" s="45" t="s">
        <v>20</v>
      </c>
      <c r="D221" s="62" t="s">
        <v>3425</v>
      </c>
      <c r="E221" s="11" t="str">
        <f>HYPERLINK("https://youtu.be/NnV1ab5J71o?t=2591","channel 1")</f>
        <v>channel 1</v>
      </c>
    </row>
    <row r="222">
      <c r="B222" s="61" t="s">
        <v>3427</v>
      </c>
      <c r="C222" s="45" t="s">
        <v>196</v>
      </c>
      <c r="D222" s="62" t="s">
        <v>1828</v>
      </c>
      <c r="E222" s="11" t="str">
        <f>HYPERLINK("https://youtu.be/oBne2qYIP1o?t=2643","channel 2")</f>
        <v>channel 2</v>
      </c>
    </row>
    <row r="223">
      <c r="B223" s="62" t="s">
        <v>3428</v>
      </c>
      <c r="C223" s="45" t="s">
        <v>279</v>
      </c>
      <c r="D223" s="62" t="s">
        <v>3426</v>
      </c>
      <c r="E223" s="11" t="str">
        <f>HYPERLINK("https://youtu.be/NnV1ab5J71o?t=3437","channel 1")</f>
        <v>channel 1</v>
      </c>
    </row>
    <row r="224">
      <c r="B224" s="61" t="s">
        <v>3427</v>
      </c>
      <c r="C224" s="45" t="s">
        <v>23</v>
      </c>
      <c r="D224" s="62" t="s">
        <v>3425</v>
      </c>
      <c r="E224" s="11" t="str">
        <f>HYPERLINK("https://youtu.be/oBne2qYIP1o?t=3483","channel 2")</f>
        <v>channel 2</v>
      </c>
    </row>
    <row r="225">
      <c r="B225" s="62" t="s">
        <v>3425</v>
      </c>
      <c r="C225" s="45" t="s">
        <v>248</v>
      </c>
      <c r="D225" s="62" t="s">
        <v>1828</v>
      </c>
      <c r="E225" s="11" t="str">
        <f>HYPERLINK("https://youtu.be/NnV1ab5J71o?t=4352","channel 1")</f>
        <v>channel 1</v>
      </c>
    </row>
    <row r="226">
      <c r="B226" s="61" t="s">
        <v>3427</v>
      </c>
      <c r="C226" s="45" t="s">
        <v>23</v>
      </c>
      <c r="D226" s="62" t="s">
        <v>3426</v>
      </c>
      <c r="E226" s="11" t="str">
        <f>HYPERLINK("https://youtu.be/oBne2qYIP1o?t=4374","channel 2")</f>
        <v>channel 2</v>
      </c>
    </row>
    <row r="227">
      <c r="B227" s="62" t="s">
        <v>1828</v>
      </c>
      <c r="C227" s="45" t="s">
        <v>41</v>
      </c>
      <c r="D227" s="62" t="s">
        <v>3428</v>
      </c>
      <c r="E227" s="11" t="str">
        <f>HYPERLINK("https://youtu.be/NnV1ab5J71o?t=5184","channel 1")</f>
        <v>channel 1</v>
      </c>
    </row>
    <row r="228">
      <c r="B228" s="62" t="s">
        <v>3425</v>
      </c>
      <c r="C228" s="45" t="s">
        <v>394</v>
      </c>
      <c r="D228" s="62" t="s">
        <v>3426</v>
      </c>
      <c r="E228" s="11" t="str">
        <f>HYPERLINK("https://youtu.be/oBne2qYIP1o?t=5240","channel 2")</f>
        <v>channel 2</v>
      </c>
    </row>
    <row r="229">
      <c r="B229" s="61" t="s">
        <v>3427</v>
      </c>
      <c r="C229" s="45" t="s">
        <v>302</v>
      </c>
      <c r="D229" s="62" t="s">
        <v>3428</v>
      </c>
      <c r="E229" s="11" t="str">
        <f>HYPERLINK("https://youtu.be/NnV1ab5J71o?t=6125","channel 1")</f>
        <v>channel 1</v>
      </c>
    </row>
    <row r="230">
      <c r="B230" s="62" t="s">
        <v>1828</v>
      </c>
      <c r="C230" s="45" t="s">
        <v>222</v>
      </c>
      <c r="D230" s="62" t="s">
        <v>3426</v>
      </c>
      <c r="E230" s="11" t="str">
        <f>HYPERLINK("https://youtu.be/oBne2qYIP1o?t=6216","channel 2")</f>
        <v>channel 2</v>
      </c>
    </row>
    <row r="231">
      <c r="B231" s="62" t="s">
        <v>3425</v>
      </c>
      <c r="C231" s="45" t="s">
        <v>23</v>
      </c>
      <c r="D231" s="62" t="s">
        <v>3428</v>
      </c>
      <c r="E231" s="11" t="str">
        <f>HYPERLINK("https://youtu.be/NnV1ab5J71o?t=7040","channel 1")</f>
        <v>channel 1</v>
      </c>
    </row>
    <row r="232">
      <c r="B232" s="62" t="s">
        <v>1828</v>
      </c>
      <c r="C232" s="45" t="s">
        <v>344</v>
      </c>
      <c r="D232" s="61" t="s">
        <v>3427</v>
      </c>
      <c r="E232" s="11" t="str">
        <f>HYPERLINK("https://youtu.be/oBne2qYIP1o?t=7096","channel 2")</f>
        <v>channel 2</v>
      </c>
    </row>
    <row r="233">
      <c r="B233" s="62" t="s">
        <v>3426</v>
      </c>
      <c r="C233" s="45" t="s">
        <v>7</v>
      </c>
      <c r="D233" s="62" t="s">
        <v>3428</v>
      </c>
      <c r="E233" s="11" t="str">
        <f>HYPERLINK("https://youtu.be/NnV1ab5J71o?t=7920","channel 1")</f>
        <v>channel 1</v>
      </c>
    </row>
    <row r="234">
      <c r="B234" s="62" t="s">
        <v>3425</v>
      </c>
      <c r="C234" s="45" t="s">
        <v>20</v>
      </c>
      <c r="D234" s="61" t="s">
        <v>3427</v>
      </c>
      <c r="E234" s="11" t="str">
        <f>HYPERLINK("https://youtu.be/oBne2qYIP1o?t=7999","channel 2")</f>
        <v>channel 2</v>
      </c>
    </row>
    <row r="235">
      <c r="B235" s="96" t="s">
        <v>2565</v>
      </c>
      <c r="C235" s="2"/>
      <c r="D235" s="3"/>
      <c r="E235" s="53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62" t="s">
        <v>897</v>
      </c>
      <c r="C237" s="45" t="s">
        <v>2562</v>
      </c>
      <c r="D237" s="62" t="s">
        <v>2717</v>
      </c>
      <c r="E237" s="11" t="str">
        <f>HYPERLINK("https://youtu.be/tDbkAUp8eG4","channel 1")</f>
        <v>channel 1</v>
      </c>
    </row>
    <row r="238">
      <c r="B238" s="62" t="s">
        <v>1642</v>
      </c>
      <c r="C238" s="45" t="s">
        <v>250</v>
      </c>
      <c r="D238" s="61" t="s">
        <v>2472</v>
      </c>
      <c r="E238" s="11" t="str">
        <f>HYPERLINK("https://youtu.be/jLA87tHPJIw","channel 2")</f>
        <v>channel 2</v>
      </c>
    </row>
    <row r="239">
      <c r="B239" s="62" t="s">
        <v>3429</v>
      </c>
      <c r="C239" s="45" t="s">
        <v>165</v>
      </c>
      <c r="D239" s="62" t="s">
        <v>897</v>
      </c>
      <c r="E239" s="11" t="str">
        <f>HYPERLINK("https://youtu.be/tDbkAUp8eG4?t=964","channel 1")</f>
        <v>channel 1</v>
      </c>
    </row>
    <row r="240">
      <c r="B240" s="62" t="s">
        <v>1642</v>
      </c>
      <c r="C240" s="45" t="s">
        <v>271</v>
      </c>
      <c r="D240" s="62" t="s">
        <v>2717</v>
      </c>
      <c r="E240" s="11" t="str">
        <f>HYPERLINK("https://youtu.be/jLA87tHPJIw?t=1078","channel 2")</f>
        <v>channel 2</v>
      </c>
    </row>
    <row r="241">
      <c r="B241" s="62" t="s">
        <v>3429</v>
      </c>
      <c r="C241" s="45" t="s">
        <v>344</v>
      </c>
      <c r="D241" s="61" t="s">
        <v>2472</v>
      </c>
      <c r="E241" s="11" t="str">
        <f>HYPERLINK("https://youtu.be/tDbkAUp8eG4?t=1894","channel 1")</f>
        <v>channel 1</v>
      </c>
    </row>
    <row r="242">
      <c r="B242" s="62" t="s">
        <v>1642</v>
      </c>
      <c r="C242" s="45" t="s">
        <v>165</v>
      </c>
      <c r="D242" s="62" t="s">
        <v>897</v>
      </c>
      <c r="E242" s="11" t="str">
        <f>HYPERLINK("https://youtu.be/jLA87tHPJIw?t=1992","channel 2")</f>
        <v>channel 2</v>
      </c>
    </row>
    <row r="243">
      <c r="B243" s="62" t="s">
        <v>3429</v>
      </c>
      <c r="C243" s="45" t="s">
        <v>313</v>
      </c>
      <c r="D243" s="62" t="s">
        <v>2717</v>
      </c>
      <c r="E243" s="11" t="str">
        <f>HYPERLINK("https://youtu.be/tDbkAUp8eG4?t=2878","channel 1")</f>
        <v>channel 1</v>
      </c>
    </row>
    <row r="244">
      <c r="B244" s="61" t="s">
        <v>2472</v>
      </c>
      <c r="C244" s="45" t="s">
        <v>547</v>
      </c>
      <c r="D244" s="62" t="s">
        <v>897</v>
      </c>
      <c r="E244" s="11" t="str">
        <f>HYPERLINK("https://youtu.be/jLA87tHPJIw?t=2964","channel 2")</f>
        <v>channel 2</v>
      </c>
    </row>
    <row r="245">
      <c r="B245" s="62" t="s">
        <v>3429</v>
      </c>
      <c r="C245" s="45" t="s">
        <v>280</v>
      </c>
      <c r="D245" s="62" t="s">
        <v>1642</v>
      </c>
      <c r="E245" s="11" t="str">
        <f>HYPERLINK("https://youtu.be/tDbkAUp8eG4?t=3832","channel 1")</f>
        <v>channel 1</v>
      </c>
    </row>
    <row r="246">
      <c r="B246" s="61" t="s">
        <v>2472</v>
      </c>
      <c r="C246" s="45" t="s">
        <v>158</v>
      </c>
      <c r="D246" s="62" t="s">
        <v>2717</v>
      </c>
      <c r="E246" s="11" t="str">
        <f>HYPERLINK("https://youtu.be/jLA87tHPJIw?t=3885","channel 2")</f>
        <v>channel 2</v>
      </c>
    </row>
    <row r="247">
      <c r="B247" s="62" t="s">
        <v>2717</v>
      </c>
      <c r="C247" s="45" t="s">
        <v>524</v>
      </c>
      <c r="D247" s="62" t="s">
        <v>897</v>
      </c>
      <c r="E247" s="11" t="str">
        <f>HYPERLINK("https://youtu.be/tDbkAUp8eG4?t=4782","channel 1")</f>
        <v>channel 1</v>
      </c>
    </row>
    <row r="248">
      <c r="B248" s="61" t="s">
        <v>2472</v>
      </c>
      <c r="C248" s="45" t="s">
        <v>324</v>
      </c>
      <c r="D248" s="62" t="s">
        <v>1642</v>
      </c>
      <c r="E248" s="11" t="str">
        <f>HYPERLINK("https://youtu.be/jLA87tHPJIw?t=4802","channel 2")</f>
        <v>channel 2</v>
      </c>
    </row>
    <row r="249">
      <c r="B249" s="62" t="s">
        <v>897</v>
      </c>
      <c r="C249" s="45" t="s">
        <v>158</v>
      </c>
      <c r="D249" s="62" t="s">
        <v>3429</v>
      </c>
      <c r="E249" s="11" t="str">
        <f>HYPERLINK("https://youtu.be/tDbkAUp8eG4?t=5718","channel 1")</f>
        <v>channel 1</v>
      </c>
    </row>
    <row r="250">
      <c r="B250" s="62" t="s">
        <v>2717</v>
      </c>
      <c r="C250" s="45" t="s">
        <v>22</v>
      </c>
      <c r="D250" s="62" t="s">
        <v>1642</v>
      </c>
      <c r="E250" s="11" t="str">
        <f>HYPERLINK("https://youtu.be/jLA87tHPJIw?t=5784","channel 2")</f>
        <v>channel 2</v>
      </c>
    </row>
    <row r="251">
      <c r="B251" s="61" t="s">
        <v>2472</v>
      </c>
      <c r="C251" s="45" t="s">
        <v>545</v>
      </c>
      <c r="D251" s="62" t="s">
        <v>3429</v>
      </c>
      <c r="E251" s="11" t="str">
        <f>HYPERLINK("https://youtu.be/tDbkAUp8eG4?t=6655","channel 1")</f>
        <v>channel 1</v>
      </c>
    </row>
    <row r="252">
      <c r="B252" s="62" t="s">
        <v>897</v>
      </c>
      <c r="C252" s="45" t="s">
        <v>291</v>
      </c>
      <c r="D252" s="62" t="s">
        <v>1642</v>
      </c>
      <c r="E252" s="11" t="str">
        <f>HYPERLINK("https://youtu.be/jLA87tHPJIw?t=6703","channel 2")</f>
        <v>channel 2</v>
      </c>
    </row>
    <row r="253">
      <c r="B253" s="62" t="s">
        <v>2717</v>
      </c>
      <c r="C253" s="45" t="s">
        <v>18</v>
      </c>
      <c r="D253" s="62" t="s">
        <v>3429</v>
      </c>
      <c r="E253" s="11" t="str">
        <f>HYPERLINK("https://youtu.be/tDbkAUp8eG4?t=7603","channel 1")</f>
        <v>channel 1</v>
      </c>
    </row>
    <row r="254">
      <c r="B254" s="62" t="s">
        <v>897</v>
      </c>
      <c r="C254" s="45" t="s">
        <v>209</v>
      </c>
      <c r="D254" s="61" t="s">
        <v>2472</v>
      </c>
      <c r="E254" s="11" t="str">
        <f>HYPERLINK("https://youtu.be/jLA87tHPJIw?t=7750","channel 2")</f>
        <v>channel 2</v>
      </c>
    </row>
    <row r="255">
      <c r="B255" s="62" t="s">
        <v>1642</v>
      </c>
      <c r="C255" s="45" t="s">
        <v>219</v>
      </c>
      <c r="D255" s="62" t="s">
        <v>3429</v>
      </c>
      <c r="E255" s="11" t="str">
        <f>HYPERLINK("https://youtu.be/tDbkAUp8eG4?t=8608","channel 1")</f>
        <v>channel 1</v>
      </c>
    </row>
    <row r="256">
      <c r="B256" s="62" t="s">
        <v>2717</v>
      </c>
      <c r="C256" s="45" t="s">
        <v>193</v>
      </c>
      <c r="D256" s="61" t="s">
        <v>2472</v>
      </c>
      <c r="E256" s="11" t="str">
        <f>HYPERLINK("https://youtu.be/jLA87tHPJIw?t=8661","channel 2")</f>
        <v>channel 2</v>
      </c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2250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3233</v>
      </c>
      <c r="C3" s="45" t="s">
        <v>27</v>
      </c>
      <c r="D3" s="62" t="s">
        <v>1594</v>
      </c>
      <c r="E3" s="120" t="str">
        <f>HYPERLINK("https://youtu.be/hUbqy3-r64E","channel 1")</f>
        <v>channel 1</v>
      </c>
    </row>
    <row r="4">
      <c r="A4" s="90"/>
      <c r="B4" s="62" t="s">
        <v>1875</v>
      </c>
      <c r="C4" s="45" t="s">
        <v>250</v>
      </c>
      <c r="D4" s="56" t="s">
        <v>3430</v>
      </c>
      <c r="E4" s="120" t="str">
        <f>HYPERLINK("https://youtu.be/1lWmEzPps8I","channel 2")</f>
        <v>channel 2</v>
      </c>
    </row>
    <row r="5">
      <c r="A5" s="90"/>
      <c r="B5" s="62" t="s">
        <v>2177</v>
      </c>
      <c r="C5" s="45" t="s">
        <v>34</v>
      </c>
      <c r="D5" s="62" t="s">
        <v>3233</v>
      </c>
      <c r="E5" s="120" t="str">
        <f>HYPERLINK("https://youtu.be/hUbqy3-r64E?t=827","channel 1")</f>
        <v>channel 1</v>
      </c>
    </row>
    <row r="6">
      <c r="A6" s="90"/>
      <c r="B6" s="62" t="s">
        <v>1875</v>
      </c>
      <c r="C6" s="45" t="s">
        <v>39</v>
      </c>
      <c r="D6" s="62" t="s">
        <v>1594</v>
      </c>
      <c r="E6" s="120" t="str">
        <f>HYPERLINK("https://youtu.be/1lWmEzPps8I?t=978","channel 2")</f>
        <v>channel 2</v>
      </c>
    </row>
    <row r="7">
      <c r="A7" s="90"/>
      <c r="B7" s="62" t="s">
        <v>2177</v>
      </c>
      <c r="C7" s="45" t="s">
        <v>17</v>
      </c>
      <c r="D7" s="56" t="s">
        <v>3430</v>
      </c>
      <c r="E7" s="120" t="str">
        <f>HYPERLINK("https://youtu.be/hUbqy3-r64E?t=1755","channel 1")</f>
        <v>channel 1</v>
      </c>
    </row>
    <row r="8">
      <c r="A8" s="90"/>
      <c r="B8" s="62" t="s">
        <v>1875</v>
      </c>
      <c r="C8" s="45" t="s">
        <v>303</v>
      </c>
      <c r="D8" s="62" t="s">
        <v>3233</v>
      </c>
      <c r="E8" s="120" t="str">
        <f>HYPERLINK("https://youtu.be/1lWmEzPps8I?t=1931","channel 2")</f>
        <v>channel 2</v>
      </c>
    </row>
    <row r="9">
      <c r="A9" s="90"/>
      <c r="B9" s="62" t="s">
        <v>2177</v>
      </c>
      <c r="C9" s="45" t="s">
        <v>534</v>
      </c>
      <c r="D9" s="62" t="s">
        <v>1594</v>
      </c>
      <c r="E9" s="120" t="str">
        <f>HYPERLINK("https://youtu.be/hUbqy3-r64E?t=2717","channel 1")</f>
        <v>channel 1</v>
      </c>
    </row>
    <row r="10">
      <c r="A10" s="90"/>
      <c r="B10" s="56" t="s">
        <v>3430</v>
      </c>
      <c r="C10" s="45" t="s">
        <v>1226</v>
      </c>
      <c r="D10" s="62" t="s">
        <v>3233</v>
      </c>
      <c r="E10" s="120" t="str">
        <f>HYPERLINK("https://youtu.be/1lWmEzPps8I?t=2884","channel 2")</f>
        <v>channel 2</v>
      </c>
    </row>
    <row r="11">
      <c r="A11" s="90"/>
      <c r="B11" s="62" t="s">
        <v>2177</v>
      </c>
      <c r="C11" s="45" t="s">
        <v>239</v>
      </c>
      <c r="D11" s="62" t="s">
        <v>1875</v>
      </c>
      <c r="E11" s="120" t="str">
        <f>HYPERLINK("https://youtu.be/hUbqy3-r64E?t=3641","channel 1")</f>
        <v>channel 1</v>
      </c>
    </row>
    <row r="12">
      <c r="A12" s="90"/>
      <c r="B12" s="56" t="s">
        <v>3430</v>
      </c>
      <c r="C12" s="45" t="s">
        <v>18</v>
      </c>
      <c r="D12" s="62" t="s">
        <v>1594</v>
      </c>
      <c r="E12" s="120" t="str">
        <f>HYPERLINK("https://youtu.be/1lWmEzPps8I?t=3792","channel 2")</f>
        <v>channel 2</v>
      </c>
    </row>
    <row r="13">
      <c r="A13" s="90"/>
      <c r="B13" s="62" t="s">
        <v>1594</v>
      </c>
      <c r="C13" s="45" t="s">
        <v>162</v>
      </c>
      <c r="D13" s="62" t="s">
        <v>3233</v>
      </c>
      <c r="E13" s="120" t="str">
        <f>HYPERLINK("https://youtu.be/hUbqy3-r64E?t=4549","channel 1")</f>
        <v>channel 1</v>
      </c>
    </row>
    <row r="14">
      <c r="A14" s="90"/>
      <c r="B14" s="56" t="s">
        <v>3430</v>
      </c>
      <c r="C14" s="45" t="s">
        <v>326</v>
      </c>
      <c r="D14" s="62" t="s">
        <v>1875</v>
      </c>
      <c r="E14" s="120" t="str">
        <f>HYPERLINK("https://youtu.be/1lWmEzPps8I?t=4675","channel 2")</f>
        <v>channel 2</v>
      </c>
    </row>
    <row r="15">
      <c r="A15" s="90"/>
      <c r="B15" s="62" t="s">
        <v>3233</v>
      </c>
      <c r="C15" s="45" t="s">
        <v>248</v>
      </c>
      <c r="D15" s="62" t="s">
        <v>2177</v>
      </c>
      <c r="E15" s="120" t="str">
        <f>HYPERLINK("https://youtu.be/hUbqy3-r64E?t=5471","channel 1")</f>
        <v>channel 1</v>
      </c>
    </row>
    <row r="16">
      <c r="A16" s="90"/>
      <c r="B16" s="62" t="s">
        <v>1594</v>
      </c>
      <c r="C16" s="45" t="s">
        <v>301</v>
      </c>
      <c r="D16" s="62" t="s">
        <v>1875</v>
      </c>
      <c r="E16" s="120" t="str">
        <f>HYPERLINK("https://youtu.be/1lWmEzPps8I?t=5667","channel 2")</f>
        <v>channel 2</v>
      </c>
    </row>
    <row r="17">
      <c r="A17" s="90"/>
      <c r="B17" s="56" t="s">
        <v>3430</v>
      </c>
      <c r="C17" s="45" t="s">
        <v>245</v>
      </c>
      <c r="D17" s="62" t="s">
        <v>2177</v>
      </c>
      <c r="E17" s="120" t="str">
        <f>HYPERLINK("https://youtu.be/hUbqy3-r64E?t=6409","channel 1")</f>
        <v>channel 1</v>
      </c>
    </row>
    <row r="18">
      <c r="A18" s="90"/>
      <c r="B18" s="62" t="s">
        <v>3233</v>
      </c>
      <c r="C18" s="45" t="s">
        <v>1822</v>
      </c>
      <c r="D18" s="62" t="s">
        <v>1875</v>
      </c>
      <c r="E18" s="120" t="str">
        <f>HYPERLINK("https://youtu.be/1lWmEzPps8I?t=6598","channel 2")</f>
        <v>channel 2</v>
      </c>
    </row>
    <row r="19">
      <c r="A19" s="90"/>
      <c r="B19" s="62" t="s">
        <v>1594</v>
      </c>
      <c r="C19" s="45" t="s">
        <v>233</v>
      </c>
      <c r="D19" s="62" t="s">
        <v>2177</v>
      </c>
      <c r="E19" s="120" t="str">
        <f>HYPERLINK("https://youtu.be/hUbqy3-r64E?t=7404","channel 1")</f>
        <v>channel 1</v>
      </c>
    </row>
    <row r="20">
      <c r="A20" s="90"/>
      <c r="B20" s="62" t="s">
        <v>3233</v>
      </c>
      <c r="C20" s="45" t="s">
        <v>23</v>
      </c>
      <c r="D20" s="56" t="s">
        <v>3430</v>
      </c>
      <c r="E20" s="120" t="str">
        <f>HYPERLINK("https://youtu.be/1lWmEzPps8I?t=7558","channel 2")</f>
        <v>channel 2</v>
      </c>
    </row>
    <row r="21">
      <c r="A21" s="90"/>
      <c r="B21" s="62" t="s">
        <v>1875</v>
      </c>
      <c r="C21" s="45" t="s">
        <v>185</v>
      </c>
      <c r="D21" s="62" t="s">
        <v>2177</v>
      </c>
      <c r="E21" s="120" t="str">
        <f>HYPERLINK("https://youtu.be/hUbqy3-r64E?t=8363","channel 1")</f>
        <v>channel 1</v>
      </c>
    </row>
    <row r="22">
      <c r="A22" s="90"/>
      <c r="B22" s="62" t="s">
        <v>1594</v>
      </c>
      <c r="C22" s="45" t="s">
        <v>271</v>
      </c>
      <c r="D22" s="56" t="s">
        <v>3430</v>
      </c>
      <c r="E22" s="120" t="str">
        <f>HYPERLINK("https://youtu.be/1lWmEzPps8I?t=8574","channel 2")</f>
        <v>channel 2</v>
      </c>
    </row>
    <row r="23">
      <c r="A23" s="90"/>
      <c r="B23" s="96" t="s">
        <v>1461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3182</v>
      </c>
      <c r="C25" s="57" t="s">
        <v>185</v>
      </c>
      <c r="D25" s="62" t="s">
        <v>1824</v>
      </c>
      <c r="E25" s="11" t="str">
        <f>HYPERLINK("https://youtu.be/g7_AQXrHarc","channel 1")</f>
        <v>channel 1</v>
      </c>
    </row>
    <row r="26">
      <c r="A26" s="90"/>
      <c r="B26" s="62" t="s">
        <v>1897</v>
      </c>
      <c r="C26" s="57" t="s">
        <v>16</v>
      </c>
      <c r="D26" s="56" t="s">
        <v>3431</v>
      </c>
      <c r="E26" s="11" t="str">
        <f>HYPERLINK("https://youtu.be/odZGuyiJikI","channel 2")</f>
        <v>channel 2</v>
      </c>
    </row>
    <row r="27">
      <c r="A27" s="90"/>
      <c r="B27" s="62" t="s">
        <v>3023</v>
      </c>
      <c r="C27" s="57" t="s">
        <v>218</v>
      </c>
      <c r="D27" s="62" t="s">
        <v>3182</v>
      </c>
      <c r="E27" s="11" t="str">
        <f>HYPERLINK("https://youtu.be/g7_AQXrHarc?t=950","channel 1")</f>
        <v>channel 1</v>
      </c>
    </row>
    <row r="28">
      <c r="A28" s="90"/>
      <c r="B28" s="62" t="s">
        <v>1897</v>
      </c>
      <c r="C28" s="57" t="s">
        <v>357</v>
      </c>
      <c r="D28" s="62" t="s">
        <v>1824</v>
      </c>
      <c r="E28" s="11" t="str">
        <f>HYPERLINK("https://youtu.be/odZGuyiJikI?t=1001","channel 2")</f>
        <v>channel 2</v>
      </c>
    </row>
    <row r="29">
      <c r="A29" s="90"/>
      <c r="B29" s="62" t="s">
        <v>3023</v>
      </c>
      <c r="C29" s="57" t="s">
        <v>17</v>
      </c>
      <c r="D29" s="56" t="s">
        <v>3431</v>
      </c>
      <c r="E29" s="11" t="str">
        <f>HYPERLINK("https://youtu.be/g7_AQXrHarc?t=1915","channel 1")</f>
        <v>channel 1</v>
      </c>
    </row>
    <row r="30">
      <c r="A30" s="90"/>
      <c r="B30" s="62" t="s">
        <v>1897</v>
      </c>
      <c r="C30" s="57" t="s">
        <v>256</v>
      </c>
      <c r="D30" s="62" t="s">
        <v>3182</v>
      </c>
      <c r="E30" s="11" t="str">
        <f>HYPERLINK("https://youtu.be/odZGuyiJikI?t=1904","channel 2")</f>
        <v>channel 2</v>
      </c>
    </row>
    <row r="31">
      <c r="A31" s="90"/>
      <c r="B31" s="62" t="s">
        <v>3023</v>
      </c>
      <c r="C31" s="57" t="s">
        <v>292</v>
      </c>
      <c r="D31" s="62" t="s">
        <v>1824</v>
      </c>
      <c r="E31" s="11" t="str">
        <f>HYPERLINK("https://youtu.be/g7_AQXrHarc?t=2843","channel 1")</f>
        <v>channel 1</v>
      </c>
    </row>
    <row r="32">
      <c r="A32" s="90"/>
      <c r="B32" s="56" t="s">
        <v>3431</v>
      </c>
      <c r="C32" s="57" t="s">
        <v>21</v>
      </c>
      <c r="D32" s="62" t="s">
        <v>3182</v>
      </c>
      <c r="E32" s="11" t="str">
        <f>HYPERLINK("https://youtu.be/odZGuyiJikI?t=2883","channel 2")</f>
        <v>channel 2</v>
      </c>
    </row>
    <row r="33">
      <c r="A33" s="90"/>
      <c r="B33" s="62" t="s">
        <v>3023</v>
      </c>
      <c r="C33" s="57" t="s">
        <v>264</v>
      </c>
      <c r="D33" s="62" t="s">
        <v>1897</v>
      </c>
      <c r="E33" s="11" t="str">
        <f>HYPERLINK("https://youtu.be/g7_AQXrHarc?t=3787","channel 1")</f>
        <v>channel 1</v>
      </c>
    </row>
    <row r="34">
      <c r="A34" s="90"/>
      <c r="B34" s="56" t="s">
        <v>3431</v>
      </c>
      <c r="C34" s="57" t="s">
        <v>41</v>
      </c>
      <c r="D34" s="62" t="s">
        <v>1824</v>
      </c>
      <c r="E34" s="11" t="str">
        <f>HYPERLINK("https://youtu.be/odZGuyiJikI?t=3830","channel 2")</f>
        <v>channel 2</v>
      </c>
    </row>
    <row r="35">
      <c r="A35" s="90"/>
      <c r="B35" s="62" t="s">
        <v>1824</v>
      </c>
      <c r="C35" s="57" t="s">
        <v>250</v>
      </c>
      <c r="D35" s="62" t="s">
        <v>3182</v>
      </c>
      <c r="E35" s="11" t="str">
        <f>HYPERLINK("https://youtu.be/g7_AQXrHarc?t=4717","channel 1")</f>
        <v>channel 1</v>
      </c>
    </row>
    <row r="36">
      <c r="A36" s="90"/>
      <c r="B36" s="56" t="s">
        <v>3431</v>
      </c>
      <c r="C36" s="57" t="s">
        <v>20</v>
      </c>
      <c r="D36" s="62" t="s">
        <v>1897</v>
      </c>
      <c r="E36" s="11" t="str">
        <f>HYPERLINK("https://youtu.be/odZGuyiJikI?t=4734","channel 2")</f>
        <v>channel 2</v>
      </c>
    </row>
    <row r="37">
      <c r="A37" s="90"/>
      <c r="B37" s="62" t="s">
        <v>3182</v>
      </c>
      <c r="C37" s="45" t="s">
        <v>1866</v>
      </c>
      <c r="D37" s="62" t="s">
        <v>3023</v>
      </c>
      <c r="E37" s="11" t="str">
        <f>HYPERLINK("https://youtu.be/g7_AQXrHarc?t=5702","channel 1")</f>
        <v>channel 1</v>
      </c>
    </row>
    <row r="38">
      <c r="A38" s="90"/>
      <c r="B38" s="62" t="s">
        <v>1824</v>
      </c>
      <c r="C38" s="45" t="s">
        <v>165</v>
      </c>
      <c r="D38" s="62" t="s">
        <v>1897</v>
      </c>
      <c r="E38" s="11" t="str">
        <f>HYPERLINK("https://youtu.be/odZGuyiJikI?t=5726","channel 2")</f>
        <v>channel 2</v>
      </c>
    </row>
    <row r="39">
      <c r="A39" s="90"/>
      <c r="B39" s="56" t="s">
        <v>3431</v>
      </c>
      <c r="C39" s="45" t="s">
        <v>38</v>
      </c>
      <c r="D39" s="62" t="s">
        <v>3023</v>
      </c>
      <c r="E39" s="11" t="str">
        <f>HYPERLINK("https://youtu.be/g7_AQXrHarc?t=6670","channel 1")</f>
        <v>channel 1</v>
      </c>
    </row>
    <row r="40">
      <c r="A40" s="90"/>
      <c r="B40" s="62" t="s">
        <v>3182</v>
      </c>
      <c r="C40" s="45" t="s">
        <v>227</v>
      </c>
      <c r="D40" s="62" t="s">
        <v>1897</v>
      </c>
      <c r="E40" s="11" t="str">
        <f>HYPERLINK("https://youtu.be/odZGuyiJikI?t=6689","channel 2")</f>
        <v>channel 2</v>
      </c>
    </row>
    <row r="41">
      <c r="A41" s="90"/>
      <c r="B41" s="62" t="s">
        <v>1824</v>
      </c>
      <c r="C41" s="45" t="s">
        <v>196</v>
      </c>
      <c r="D41" s="62" t="s">
        <v>3023</v>
      </c>
      <c r="E41" s="11" t="str">
        <f>HYPERLINK("https://youtu.be/g7_AQXrHarc?t=7640","channel 1")</f>
        <v>channel 1</v>
      </c>
    </row>
    <row r="42">
      <c r="A42" s="90"/>
      <c r="B42" s="62" t="s">
        <v>3182</v>
      </c>
      <c r="C42" s="45" t="s">
        <v>257</v>
      </c>
      <c r="D42" s="56" t="s">
        <v>3431</v>
      </c>
      <c r="E42" s="11" t="str">
        <f>HYPERLINK("https://youtu.be/odZGuyiJikI?t=7642","channel 2")</f>
        <v>channel 2</v>
      </c>
    </row>
    <row r="43">
      <c r="A43" s="90"/>
      <c r="B43" s="62" t="s">
        <v>1897</v>
      </c>
      <c r="C43" s="45" t="s">
        <v>193</v>
      </c>
      <c r="D43" s="62" t="s">
        <v>3023</v>
      </c>
      <c r="E43" s="11" t="str">
        <f>HYPERLINK("https://youtu.be/g7_AQXrHarc?t=8535","channel 1")</f>
        <v>channel 1</v>
      </c>
    </row>
    <row r="44">
      <c r="A44" s="91"/>
      <c r="B44" s="62" t="s">
        <v>1824</v>
      </c>
      <c r="C44" s="45" t="s">
        <v>442</v>
      </c>
      <c r="D44" s="56" t="s">
        <v>3431</v>
      </c>
      <c r="E44" s="11" t="str">
        <f>HYPERLINK("https://youtu.be/odZGuyiJikI?t=8619","channel 2")</f>
        <v>channel 2</v>
      </c>
    </row>
    <row r="45">
      <c r="B45" s="96" t="s">
        <v>3432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3433</v>
      </c>
      <c r="C47" s="57" t="s">
        <v>433</v>
      </c>
      <c r="D47" s="62" t="s">
        <v>2539</v>
      </c>
      <c r="E47" s="11" t="str">
        <f>HYPERLINK("https://youtu.be/NemgdXXl-2U","channel 1")</f>
        <v>channel 1</v>
      </c>
    </row>
    <row r="48">
      <c r="B48" s="62" t="s">
        <v>3434</v>
      </c>
      <c r="C48" s="57" t="s">
        <v>549</v>
      </c>
      <c r="D48" s="61" t="s">
        <v>1044</v>
      </c>
      <c r="E48" s="11" t="str">
        <f>HYPERLINK("https://youtu.be/hpIfV-DOnTU","channel 2")</f>
        <v>channel 2</v>
      </c>
    </row>
    <row r="49">
      <c r="B49" s="62" t="s">
        <v>3435</v>
      </c>
      <c r="C49" s="57" t="s">
        <v>525</v>
      </c>
      <c r="D49" s="62" t="s">
        <v>3433</v>
      </c>
      <c r="E49" s="11" t="str">
        <f>HYPERLINK("https://youtu.be/NemgdXXl-2U?t=924","channel 1")</f>
        <v>channel 1</v>
      </c>
    </row>
    <row r="50">
      <c r="B50" s="62" t="s">
        <v>3434</v>
      </c>
      <c r="C50" s="57" t="s">
        <v>185</v>
      </c>
      <c r="D50" s="62" t="s">
        <v>2539</v>
      </c>
      <c r="E50" s="11" t="str">
        <f>HYPERLINK("https://youtu.be/hpIfV-DOnTU?t=1100","channel 2")</f>
        <v>channel 2</v>
      </c>
    </row>
    <row r="51">
      <c r="B51" s="62" t="s">
        <v>3435</v>
      </c>
      <c r="C51" s="57" t="s">
        <v>208</v>
      </c>
      <c r="D51" s="61" t="s">
        <v>1044</v>
      </c>
      <c r="E51" s="11" t="str">
        <f>HYPERLINK("https://youtu.be/NemgdXXl-2U?t=1874","channel 1")</f>
        <v>channel 1</v>
      </c>
    </row>
    <row r="52">
      <c r="B52" s="62" t="s">
        <v>3434</v>
      </c>
      <c r="C52" s="57" t="s">
        <v>16</v>
      </c>
      <c r="D52" s="62" t="s">
        <v>3433</v>
      </c>
      <c r="E52" s="11" t="str">
        <f>HYPERLINK("https://youtu.be/hpIfV-DOnTU?t=2008","channel 2")</f>
        <v>channel 2</v>
      </c>
    </row>
    <row r="53">
      <c r="B53" s="62" t="s">
        <v>3435</v>
      </c>
      <c r="C53" s="57" t="s">
        <v>14</v>
      </c>
      <c r="D53" s="62" t="s">
        <v>2539</v>
      </c>
      <c r="E53" s="11" t="str">
        <f>HYPERLINK("https://youtu.be/NemgdXXl-2U?t=2738","channel 1")</f>
        <v>channel 1</v>
      </c>
    </row>
    <row r="54">
      <c r="B54" s="61" t="s">
        <v>1044</v>
      </c>
      <c r="C54" s="57" t="s">
        <v>376</v>
      </c>
      <c r="D54" s="62" t="s">
        <v>3433</v>
      </c>
      <c r="E54" s="11" t="str">
        <f>HYPERLINK("https://youtu.be/hpIfV-DOnTU?t=2869","channel 2")</f>
        <v>channel 2</v>
      </c>
    </row>
    <row r="55">
      <c r="B55" s="62" t="s">
        <v>3435</v>
      </c>
      <c r="C55" s="57" t="s">
        <v>227</v>
      </c>
      <c r="D55" s="62" t="s">
        <v>3434</v>
      </c>
      <c r="E55" s="11" t="str">
        <f>HYPERLINK("https://youtu.be/NemgdXXl-2U?t=3670","channel 1")</f>
        <v>channel 1</v>
      </c>
    </row>
    <row r="56">
      <c r="B56" s="61" t="s">
        <v>1044</v>
      </c>
      <c r="C56" s="57" t="s">
        <v>1227</v>
      </c>
      <c r="D56" s="62" t="s">
        <v>2539</v>
      </c>
      <c r="E56" s="11" t="str">
        <f>HYPERLINK("https://youtu.be/hpIfV-DOnTU?t=3786","channel 2")</f>
        <v>channel 2</v>
      </c>
    </row>
    <row r="57">
      <c r="B57" s="62" t="s">
        <v>2539</v>
      </c>
      <c r="C57" s="57" t="s">
        <v>225</v>
      </c>
      <c r="D57" s="62" t="s">
        <v>3433</v>
      </c>
      <c r="E57" s="11" t="str">
        <f>HYPERLINK("https://youtu.be/NemgdXXl-2U?t=4642","channel 1")</f>
        <v>channel 1</v>
      </c>
    </row>
    <row r="58">
      <c r="B58" s="61" t="s">
        <v>1044</v>
      </c>
      <c r="C58" s="81" t="s">
        <v>668</v>
      </c>
      <c r="D58" s="62" t="s">
        <v>3434</v>
      </c>
      <c r="E58" s="122" t="s">
        <v>13</v>
      </c>
    </row>
    <row r="59">
      <c r="B59" s="62" t="s">
        <v>3433</v>
      </c>
      <c r="C59" s="45" t="s">
        <v>225</v>
      </c>
      <c r="D59" s="62" t="s">
        <v>3435</v>
      </c>
      <c r="E59" s="11" t="str">
        <f>HYPERLINK("https://youtu.be/NemgdXXl-2U?t=5522","channel 1")</f>
        <v>channel 1</v>
      </c>
    </row>
    <row r="60">
      <c r="B60" s="62" t="s">
        <v>2539</v>
      </c>
      <c r="C60" s="81" t="s">
        <v>668</v>
      </c>
      <c r="D60" s="62" t="s">
        <v>3434</v>
      </c>
      <c r="E60" s="122" t="s">
        <v>13</v>
      </c>
    </row>
    <row r="61">
      <c r="B61" s="61" t="s">
        <v>1044</v>
      </c>
      <c r="C61" s="45" t="s">
        <v>620</v>
      </c>
      <c r="D61" s="62" t="s">
        <v>3435</v>
      </c>
      <c r="E61" s="11" t="str">
        <f>HYPERLINK("https://youtu.be/NemgdXXl-2U?t=6426","channel 1")</f>
        <v>channel 1</v>
      </c>
    </row>
    <row r="62">
      <c r="B62" s="62" t="s">
        <v>3433</v>
      </c>
      <c r="C62" s="81" t="s">
        <v>668</v>
      </c>
      <c r="D62" s="62" t="s">
        <v>3434</v>
      </c>
      <c r="E62" s="122" t="s">
        <v>13</v>
      </c>
    </row>
    <row r="63">
      <c r="B63" s="62" t="s">
        <v>2539</v>
      </c>
      <c r="C63" s="45" t="s">
        <v>278</v>
      </c>
      <c r="D63" s="62" t="s">
        <v>3435</v>
      </c>
      <c r="E63" s="11" t="str">
        <f>HYPERLINK("https://youtu.be/NemgdXXl-2U?t=7306","channel 1")</f>
        <v>channel 1</v>
      </c>
    </row>
    <row r="64">
      <c r="B64" s="62" t="s">
        <v>3433</v>
      </c>
      <c r="C64" s="45" t="s">
        <v>210</v>
      </c>
      <c r="D64" s="61" t="s">
        <v>1044</v>
      </c>
      <c r="E64" s="11" t="str">
        <f>HYPERLINK("https://youtu.be/hpIfV-DOnTU?t=7469","channel 2")</f>
        <v>channel 2</v>
      </c>
    </row>
    <row r="65">
      <c r="B65" s="62" t="s">
        <v>3434</v>
      </c>
      <c r="C65" s="81" t="s">
        <v>668</v>
      </c>
      <c r="D65" s="62" t="s">
        <v>3435</v>
      </c>
      <c r="E65" s="122" t="s">
        <v>9</v>
      </c>
    </row>
    <row r="66">
      <c r="B66" s="62" t="s">
        <v>2539</v>
      </c>
      <c r="C66" s="45" t="s">
        <v>376</v>
      </c>
      <c r="D66" s="61" t="s">
        <v>1044</v>
      </c>
      <c r="E66" s="11" t="str">
        <f>HYPERLINK("https://youtu.be/hpIfV-DOnTU?t=8321","channel 2")</f>
        <v>channel 2</v>
      </c>
    </row>
    <row r="67">
      <c r="B67" s="96" t="s">
        <v>2410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3436</v>
      </c>
      <c r="C69" s="57" t="s">
        <v>463</v>
      </c>
      <c r="D69" s="62" t="s">
        <v>1604</v>
      </c>
      <c r="E69" s="11" t="str">
        <f>HYPERLINK("https://youtu.be/tG3zan3jmOE","channel 1")</f>
        <v>channel 1</v>
      </c>
    </row>
    <row r="70">
      <c r="B70" s="62" t="s">
        <v>3437</v>
      </c>
      <c r="C70" s="81" t="s">
        <v>668</v>
      </c>
      <c r="D70" s="61" t="s">
        <v>3438</v>
      </c>
      <c r="E70" s="122" t="s">
        <v>13</v>
      </c>
    </row>
    <row r="71">
      <c r="B71" s="62" t="s">
        <v>3439</v>
      </c>
      <c r="C71" s="57" t="s">
        <v>193</v>
      </c>
      <c r="D71" s="62" t="s">
        <v>3436</v>
      </c>
      <c r="E71" s="11" t="str">
        <f>HYPERLINK("https://youtu.be/tG3zan3jmOE?t=1097","channel 1")</f>
        <v>channel 1</v>
      </c>
    </row>
    <row r="72">
      <c r="B72" s="62" t="s">
        <v>3437</v>
      </c>
      <c r="C72" s="81" t="s">
        <v>668</v>
      </c>
      <c r="D72" s="62" t="s">
        <v>1604</v>
      </c>
      <c r="E72" s="122" t="s">
        <v>13</v>
      </c>
    </row>
    <row r="73">
      <c r="B73" s="62" t="s">
        <v>3439</v>
      </c>
      <c r="C73" s="57" t="s">
        <v>164</v>
      </c>
      <c r="D73" s="61" t="s">
        <v>3438</v>
      </c>
      <c r="E73" s="11" t="str">
        <f>HYPERLINK("https://youtu.be/tG3zan3jmOE?t=2003","channel 1")</f>
        <v>channel 1</v>
      </c>
    </row>
    <row r="74">
      <c r="B74" s="62" t="s">
        <v>3437</v>
      </c>
      <c r="C74" s="81" t="s">
        <v>668</v>
      </c>
      <c r="D74" s="62" t="s">
        <v>3436</v>
      </c>
      <c r="E74" s="122" t="s">
        <v>13</v>
      </c>
    </row>
    <row r="75">
      <c r="B75" s="62" t="s">
        <v>3439</v>
      </c>
      <c r="C75" s="57" t="s">
        <v>688</v>
      </c>
      <c r="D75" s="62" t="s">
        <v>1604</v>
      </c>
      <c r="E75" s="11" t="str">
        <f>HYPERLINK("https://youtu.be/tG3zan3jmOE?t=2889","channel 1")</f>
        <v>channel 1</v>
      </c>
    </row>
    <row r="76">
      <c r="B76" s="61" t="s">
        <v>3438</v>
      </c>
      <c r="C76" s="45" t="s">
        <v>189</v>
      </c>
      <c r="D76" s="62" t="s">
        <v>3436</v>
      </c>
      <c r="E76" s="11" t="str">
        <f>HYPERLINK("https://youtu.be/1r9u3DSKOlc","channel 2")</f>
        <v>channel 2</v>
      </c>
    </row>
    <row r="77">
      <c r="B77" s="62" t="s">
        <v>3439</v>
      </c>
      <c r="C77" s="81" t="s">
        <v>668</v>
      </c>
      <c r="D77" s="62" t="s">
        <v>3437</v>
      </c>
      <c r="E77" s="122" t="s">
        <v>9</v>
      </c>
    </row>
    <row r="78">
      <c r="B78" s="61" t="s">
        <v>3438</v>
      </c>
      <c r="C78" s="45" t="s">
        <v>394</v>
      </c>
      <c r="D78" s="62" t="s">
        <v>1604</v>
      </c>
      <c r="E78" s="11" t="str">
        <f>HYPERLINK("https://youtu.be/1r9u3DSKOlc?t=949","channel 2")</f>
        <v>channel 2</v>
      </c>
    </row>
    <row r="79">
      <c r="B79" s="62" t="s">
        <v>1604</v>
      </c>
      <c r="C79" s="45" t="s">
        <v>19</v>
      </c>
      <c r="D79" s="62" t="s">
        <v>3436</v>
      </c>
      <c r="E79" s="11" t="str">
        <f>HYPERLINK("https://youtu.be/tG3zan3jmOE?t=4715","channel 1")</f>
        <v>channel 1</v>
      </c>
    </row>
    <row r="80">
      <c r="B80" s="61" t="s">
        <v>3438</v>
      </c>
      <c r="C80" s="45" t="s">
        <v>41</v>
      </c>
      <c r="D80" s="62" t="s">
        <v>3437</v>
      </c>
      <c r="E80" s="11" t="str">
        <f>HYPERLINK("https://youtu.be/1r9u3DSKOlc?t=1886","channel 2")</f>
        <v>channel 2</v>
      </c>
    </row>
    <row r="81">
      <c r="B81" s="62" t="s">
        <v>3436</v>
      </c>
      <c r="C81" s="45" t="s">
        <v>19</v>
      </c>
      <c r="D81" s="62" t="s">
        <v>3439</v>
      </c>
      <c r="E81" s="11" t="str">
        <f>HYPERLINK("https://youtu.be/tG3zan3jmOE?t=5647","channel 1")</f>
        <v>channel 1</v>
      </c>
    </row>
    <row r="82">
      <c r="B82" s="62" t="s">
        <v>1604</v>
      </c>
      <c r="C82" s="45" t="s">
        <v>433</v>
      </c>
      <c r="D82" s="62" t="s">
        <v>3437</v>
      </c>
      <c r="E82" s="11" t="str">
        <f>HYPERLINK("https://youtu.be/1r9u3DSKOlc?t=2806","channel 2")</f>
        <v>channel 2</v>
      </c>
    </row>
    <row r="83">
      <c r="B83" s="61" t="s">
        <v>3438</v>
      </c>
      <c r="C83" s="45" t="s">
        <v>279</v>
      </c>
      <c r="D83" s="62" t="s">
        <v>3439</v>
      </c>
      <c r="E83" s="11" t="str">
        <f>HYPERLINK("https://youtu.be/tG3zan3jmOE?t=6564","channel 1")</f>
        <v>channel 1</v>
      </c>
    </row>
    <row r="84">
      <c r="B84" s="62" t="s">
        <v>3436</v>
      </c>
      <c r="C84" s="45" t="s">
        <v>2065</v>
      </c>
      <c r="D84" s="62" t="s">
        <v>3437</v>
      </c>
      <c r="E84" s="11" t="str">
        <f>HYPERLINK("https://youtu.be/1r9u3DSKOlc?t=3685","channel 2")</f>
        <v>channel 2</v>
      </c>
    </row>
    <row r="85">
      <c r="B85" s="62" t="s">
        <v>1604</v>
      </c>
      <c r="C85" s="45" t="s">
        <v>757</v>
      </c>
      <c r="D85" s="62" t="s">
        <v>3439</v>
      </c>
      <c r="E85" s="11" t="str">
        <f>HYPERLINK("https://youtu.be/tG3zan3jmOE?t=7456","channel 1")</f>
        <v>channel 1</v>
      </c>
    </row>
    <row r="86">
      <c r="B86" s="62" t="s">
        <v>3436</v>
      </c>
      <c r="C86" s="45" t="s">
        <v>344</v>
      </c>
      <c r="D86" s="61" t="s">
        <v>3438</v>
      </c>
      <c r="E86" s="11" t="str">
        <f>HYPERLINK("https://youtu.be/1r9u3DSKOlc?t=4697","channel 2")</f>
        <v>channel 2</v>
      </c>
    </row>
    <row r="87">
      <c r="B87" s="62" t="s">
        <v>3437</v>
      </c>
      <c r="C87" s="45" t="s">
        <v>233</v>
      </c>
      <c r="D87" s="62" t="s">
        <v>3439</v>
      </c>
      <c r="E87" s="11" t="str">
        <f>HYPERLINK("https://youtu.be/tG3zan3jmOE?t=8395","channel 1")</f>
        <v>channel 1</v>
      </c>
    </row>
    <row r="88">
      <c r="B88" s="62" t="s">
        <v>1604</v>
      </c>
      <c r="C88" s="45" t="s">
        <v>181</v>
      </c>
      <c r="D88" s="61" t="s">
        <v>3438</v>
      </c>
      <c r="E88" s="11" t="str">
        <f>HYPERLINK("https://youtu.be/1r9u3DSKOlc?t=5583","channel 2")</f>
        <v>channel 2</v>
      </c>
    </row>
    <row r="89">
      <c r="B89" s="96" t="s">
        <v>2693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62" t="s">
        <v>3218</v>
      </c>
      <c r="C91" s="45" t="s">
        <v>176</v>
      </c>
      <c r="D91" s="62" t="s">
        <v>1653</v>
      </c>
      <c r="E91" s="11" t="str">
        <f>HYPERLINK("https://youtu.be/h4UXtG0fmrc","channel 3")</f>
        <v>channel 3</v>
      </c>
    </row>
    <row r="92">
      <c r="B92" s="62" t="s">
        <v>3310</v>
      </c>
      <c r="C92" s="45" t="s">
        <v>195</v>
      </c>
      <c r="D92" s="61" t="s">
        <v>3376</v>
      </c>
      <c r="E92" s="11" t="str">
        <f>HYPERLINK("https://youtu.be/mQzLDqa_tjY","channel 4")</f>
        <v>channel 4</v>
      </c>
    </row>
    <row r="93">
      <c r="B93" s="62" t="s">
        <v>3014</v>
      </c>
      <c r="C93" s="45" t="s">
        <v>24</v>
      </c>
      <c r="D93" s="62" t="s">
        <v>3218</v>
      </c>
      <c r="E93" s="11" t="str">
        <f>HYPERLINK("https://youtu.be/h4UXtG0fmrc?t=1025","channel 3")</f>
        <v>channel 3</v>
      </c>
    </row>
    <row r="94">
      <c r="B94" s="62" t="s">
        <v>3310</v>
      </c>
      <c r="C94" s="45" t="s">
        <v>3440</v>
      </c>
      <c r="D94" s="62" t="s">
        <v>1653</v>
      </c>
      <c r="E94" s="11" t="str">
        <f>HYPERLINK("https://youtu.be/mQzLDqa_tjY?t=1236","channel 4")</f>
        <v>channel 4</v>
      </c>
    </row>
    <row r="95">
      <c r="B95" s="62" t="s">
        <v>3014</v>
      </c>
      <c r="C95" s="45" t="s">
        <v>177</v>
      </c>
      <c r="D95" s="61" t="s">
        <v>3376</v>
      </c>
      <c r="E95" s="11" t="str">
        <f>HYPERLINK("https://youtu.be/h4UXtG0fmrc?t=1923","channel 3")</f>
        <v>channel 3</v>
      </c>
    </row>
    <row r="96">
      <c r="B96" s="62" t="s">
        <v>3310</v>
      </c>
      <c r="C96" s="45" t="s">
        <v>195</v>
      </c>
      <c r="D96" s="62" t="s">
        <v>3218</v>
      </c>
      <c r="E96" s="11" t="str">
        <f>HYPERLINK("https://youtu.be/mQzLDqa_tjY?t=2230","channel 4")</f>
        <v>channel 4</v>
      </c>
    </row>
    <row r="97">
      <c r="B97" s="62" t="s">
        <v>3014</v>
      </c>
      <c r="C97" s="45" t="s">
        <v>610</v>
      </c>
      <c r="D97" s="62" t="s">
        <v>1653</v>
      </c>
      <c r="E97" s="11" t="str">
        <f>HYPERLINK("https://youtu.be/h4UXtG0fmrc?t=2950","channel 3")</f>
        <v>channel 3</v>
      </c>
    </row>
    <row r="98">
      <c r="B98" s="61" t="s">
        <v>3376</v>
      </c>
      <c r="C98" s="45" t="s">
        <v>205</v>
      </c>
      <c r="D98" s="62" t="s">
        <v>3218</v>
      </c>
      <c r="E98" s="11" t="str">
        <f>HYPERLINK("https://youtu.be/mQzLDqa_tjY?t=3157","channel 4")</f>
        <v>channel 4</v>
      </c>
    </row>
    <row r="99">
      <c r="B99" s="62" t="s">
        <v>3014</v>
      </c>
      <c r="C99" s="45" t="s">
        <v>220</v>
      </c>
      <c r="D99" s="62" t="s">
        <v>3310</v>
      </c>
      <c r="E99" s="11" t="str">
        <f>HYPERLINK("https://youtu.be/h4UXtG0fmrc?t=3877","channel 3")</f>
        <v>channel 3</v>
      </c>
    </row>
    <row r="100">
      <c r="B100" s="61" t="s">
        <v>3376</v>
      </c>
      <c r="C100" s="45" t="s">
        <v>1519</v>
      </c>
      <c r="D100" s="62" t="s">
        <v>1653</v>
      </c>
      <c r="E100" s="11" t="str">
        <f>HYPERLINK("https://youtu.be/mQzLDqa_tjY?t=4055","channel 4")</f>
        <v>channel 4</v>
      </c>
    </row>
    <row r="101">
      <c r="B101" s="62" t="s">
        <v>1653</v>
      </c>
      <c r="C101" s="45" t="s">
        <v>166</v>
      </c>
      <c r="D101" s="62" t="s">
        <v>3218</v>
      </c>
      <c r="E101" s="11" t="str">
        <f>HYPERLINK("https://youtu.be/h4UXtG0fmrc?t=4810","channel 3")</f>
        <v>channel 3</v>
      </c>
    </row>
    <row r="102">
      <c r="B102" s="61" t="s">
        <v>3376</v>
      </c>
      <c r="C102" s="45" t="s">
        <v>16</v>
      </c>
      <c r="D102" s="62" t="s">
        <v>3310</v>
      </c>
      <c r="E102" s="11" t="str">
        <f>HYPERLINK("https://youtu.be/mQzLDqa_tjY?t=4982","channel 4")</f>
        <v>channel 4</v>
      </c>
    </row>
    <row r="103">
      <c r="B103" s="62" t="s">
        <v>3218</v>
      </c>
      <c r="C103" s="45" t="s">
        <v>638</v>
      </c>
      <c r="D103" s="62" t="s">
        <v>3014</v>
      </c>
      <c r="E103" s="11" t="str">
        <f>HYPERLINK("https://youtu.be/h4UXtG0fmrc?t=5710","channel 3")</f>
        <v>channel 3</v>
      </c>
    </row>
    <row r="104">
      <c r="B104" s="62" t="s">
        <v>1653</v>
      </c>
      <c r="C104" s="45" t="s">
        <v>290</v>
      </c>
      <c r="D104" s="62" t="s">
        <v>3310</v>
      </c>
      <c r="E104" s="11" t="str">
        <f>HYPERLINK("https://youtu.be/mQzLDqa_tjY?t=5878","channel 4")</f>
        <v>channel 4</v>
      </c>
    </row>
    <row r="105">
      <c r="B105" s="61" t="s">
        <v>3376</v>
      </c>
      <c r="C105" s="45" t="s">
        <v>319</v>
      </c>
      <c r="D105" s="62" t="s">
        <v>3014</v>
      </c>
      <c r="E105" s="11" t="str">
        <f>HYPERLINK("https://youtu.be/h4UXtG0fmrc?t=6643","channel 3")</f>
        <v>channel 3</v>
      </c>
    </row>
    <row r="106">
      <c r="B106" s="62" t="s">
        <v>3218</v>
      </c>
      <c r="C106" s="45" t="s">
        <v>43</v>
      </c>
      <c r="D106" s="62" t="s">
        <v>3310</v>
      </c>
      <c r="E106" s="11" t="str">
        <f>HYPERLINK("https://youtu.be/mQzLDqa_tjY?t=6851","channel 4")</f>
        <v>channel 4</v>
      </c>
    </row>
    <row r="107">
      <c r="B107" s="62" t="s">
        <v>1653</v>
      </c>
      <c r="C107" s="45" t="s">
        <v>219</v>
      </c>
      <c r="D107" s="62" t="s">
        <v>3014</v>
      </c>
      <c r="E107" s="11" t="str">
        <f>HYPERLINK("https://youtu.be/h4UXtG0fmrc?t=7563","channel 3")</f>
        <v>channel 3</v>
      </c>
    </row>
    <row r="108">
      <c r="B108" s="62" t="s">
        <v>3218</v>
      </c>
      <c r="C108" s="45" t="s">
        <v>14</v>
      </c>
      <c r="D108" s="61" t="s">
        <v>3376</v>
      </c>
      <c r="E108" s="11" t="str">
        <f>HYPERLINK("https://youtu.be/mQzLDqa_tjY?t=7765","channel 4")</f>
        <v>channel 4</v>
      </c>
    </row>
    <row r="109">
      <c r="B109" s="62" t="s">
        <v>3310</v>
      </c>
      <c r="C109" s="45" t="s">
        <v>2065</v>
      </c>
      <c r="D109" s="62" t="s">
        <v>3014</v>
      </c>
      <c r="E109" s="11" t="str">
        <f>HYPERLINK("https://youtu.be/h4UXtG0fmrc?t=8489","channel 3")</f>
        <v>channel 3</v>
      </c>
    </row>
    <row r="110">
      <c r="B110" s="62" t="s">
        <v>1653</v>
      </c>
      <c r="C110" s="45" t="s">
        <v>454</v>
      </c>
      <c r="D110" s="61" t="s">
        <v>3376</v>
      </c>
      <c r="E110" s="11" t="str">
        <f>HYPERLINK("https://youtu.be/mQzLDqa_tjY?t=8693","channel 4")</f>
        <v>channel 4</v>
      </c>
    </row>
    <row r="111">
      <c r="B111" s="96" t="s">
        <v>2950</v>
      </c>
      <c r="C111" s="2"/>
      <c r="D111" s="3"/>
      <c r="E111" s="5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3441</v>
      </c>
      <c r="C113" s="57" t="s">
        <v>233</v>
      </c>
      <c r="D113" s="62" t="s">
        <v>2815</v>
      </c>
      <c r="E113" s="126" t="str">
        <f>HYPERLINK("https://youtu.be/JhZb9Hm72gU","channel 3")</f>
        <v>channel 3</v>
      </c>
    </row>
    <row r="114">
      <c r="B114" s="62" t="s">
        <v>690</v>
      </c>
      <c r="C114" s="57" t="s">
        <v>230</v>
      </c>
      <c r="D114" s="61" t="s">
        <v>2122</v>
      </c>
      <c r="E114" s="127" t="str">
        <f>HYPERLINK("https://youtu.be/o1GHNorN8CM?t=15","channel 4")</f>
        <v>channel 4</v>
      </c>
    </row>
    <row r="115">
      <c r="B115" s="62" t="s">
        <v>1257</v>
      </c>
      <c r="C115" s="57" t="s">
        <v>696</v>
      </c>
      <c r="D115" s="62" t="s">
        <v>3441</v>
      </c>
      <c r="E115" s="11" t="str">
        <f>HYPERLINK("https://youtu.be/JhZb9Hm72gU?t=968","channel 3")</f>
        <v>channel 3</v>
      </c>
    </row>
    <row r="116">
      <c r="B116" s="62" t="s">
        <v>690</v>
      </c>
      <c r="C116" s="57" t="s">
        <v>196</v>
      </c>
      <c r="D116" s="62" t="s">
        <v>2815</v>
      </c>
      <c r="E116" s="11" t="str">
        <f>HYPERLINK("https://youtu.be/o1GHNorN8CM?t=935","channel 4")</f>
        <v>channel 4</v>
      </c>
    </row>
    <row r="117">
      <c r="B117" s="62" t="s">
        <v>1257</v>
      </c>
      <c r="C117" s="57" t="s">
        <v>433</v>
      </c>
      <c r="D117" s="61" t="s">
        <v>2122</v>
      </c>
      <c r="E117" s="11" t="str">
        <f>HYPERLINK("https://youtu.be/JhZb9Hm72gU?t=1913","channel 3")</f>
        <v>channel 3</v>
      </c>
    </row>
    <row r="118">
      <c r="B118" s="62" t="s">
        <v>690</v>
      </c>
      <c r="C118" s="57" t="s">
        <v>24</v>
      </c>
      <c r="D118" s="62" t="s">
        <v>3441</v>
      </c>
      <c r="E118" s="11" t="str">
        <f>HYPERLINK("https://youtu.be/o1GHNorN8CM?t=1868","channel 4")</f>
        <v>channel 4</v>
      </c>
    </row>
    <row r="119">
      <c r="B119" s="62" t="s">
        <v>1257</v>
      </c>
      <c r="C119" s="57" t="s">
        <v>271</v>
      </c>
      <c r="D119" s="62" t="s">
        <v>2815</v>
      </c>
      <c r="E119" s="11" t="str">
        <f>HYPERLINK("https://youtu.be/JhZb9Hm72gU?t=2815","channel 3")</f>
        <v>channel 3</v>
      </c>
    </row>
    <row r="120">
      <c r="B120" s="61" t="s">
        <v>2122</v>
      </c>
      <c r="C120" s="57" t="s">
        <v>477</v>
      </c>
      <c r="D120" s="62" t="s">
        <v>3441</v>
      </c>
      <c r="E120" s="11" t="str">
        <f>HYPERLINK("https://youtu.be/o1GHNorN8CM?t=2722","channel 4")</f>
        <v>channel 4</v>
      </c>
    </row>
    <row r="121">
      <c r="B121" s="62" t="s">
        <v>1257</v>
      </c>
      <c r="C121" s="57" t="s">
        <v>165</v>
      </c>
      <c r="D121" s="62" t="s">
        <v>690</v>
      </c>
      <c r="E121" s="11" t="str">
        <f>HYPERLINK("https://youtu.be/JhZb9Hm72gU?t=3757","channel 3")</f>
        <v>channel 3</v>
      </c>
    </row>
    <row r="122">
      <c r="B122" s="61" t="s">
        <v>2122</v>
      </c>
      <c r="C122" s="57" t="s">
        <v>258</v>
      </c>
      <c r="D122" s="62" t="s">
        <v>2815</v>
      </c>
      <c r="E122" s="11" t="str">
        <f>HYPERLINK("https://youtu.be/o1GHNorN8CM?t=3585","channel 4")</f>
        <v>channel 4</v>
      </c>
    </row>
    <row r="123">
      <c r="B123" s="62" t="s">
        <v>2815</v>
      </c>
      <c r="C123" s="57" t="s">
        <v>251</v>
      </c>
      <c r="D123" s="62" t="s">
        <v>3441</v>
      </c>
      <c r="E123" s="11" t="str">
        <f>HYPERLINK("https://youtu.be/JhZb9Hm72gU?t=4690","channel 3")</f>
        <v>channel 3</v>
      </c>
    </row>
    <row r="124">
      <c r="B124" s="61" t="s">
        <v>2122</v>
      </c>
      <c r="C124" s="57" t="s">
        <v>239</v>
      </c>
      <c r="D124" s="62" t="s">
        <v>690</v>
      </c>
      <c r="E124" s="11" t="str">
        <f>HYPERLINK("https://youtu.be/o1GHNorN8CM?t=4574","channel 4")</f>
        <v>channel 4</v>
      </c>
    </row>
    <row r="125">
      <c r="B125" s="62" t="s">
        <v>3441</v>
      </c>
      <c r="C125" s="45" t="s">
        <v>196</v>
      </c>
      <c r="D125" s="62" t="s">
        <v>1257</v>
      </c>
      <c r="E125" s="11" t="str">
        <f>HYPERLINK("https://youtu.be/JhZb9Hm72gU?t=5616","channel 3")</f>
        <v>channel 3</v>
      </c>
    </row>
    <row r="126">
      <c r="B126" s="62" t="s">
        <v>2815</v>
      </c>
      <c r="C126" s="45" t="s">
        <v>233</v>
      </c>
      <c r="D126" s="62" t="s">
        <v>690</v>
      </c>
      <c r="E126" s="11" t="str">
        <f>HYPERLINK("https://youtu.be/o1GHNorN8CM?t=5531","channel 4")</f>
        <v>channel 4</v>
      </c>
    </row>
    <row r="127">
      <c r="B127" s="61" t="s">
        <v>2122</v>
      </c>
      <c r="C127" s="45" t="s">
        <v>351</v>
      </c>
      <c r="D127" s="62" t="s">
        <v>1257</v>
      </c>
      <c r="E127" s="11" t="str">
        <f>HYPERLINK("https://youtu.be/JhZb9Hm72gU?t=6543","channel 3")</f>
        <v>channel 3</v>
      </c>
    </row>
    <row r="128">
      <c r="B128" s="62" t="s">
        <v>3441</v>
      </c>
      <c r="C128" s="45" t="s">
        <v>404</v>
      </c>
      <c r="D128" s="62" t="s">
        <v>690</v>
      </c>
      <c r="E128" s="11" t="str">
        <f>HYPERLINK("https://youtu.be/o1GHNorN8CM?t=6467","channel 4")</f>
        <v>channel 4</v>
      </c>
    </row>
    <row r="129">
      <c r="B129" s="62" t="s">
        <v>2815</v>
      </c>
      <c r="C129" s="45" t="s">
        <v>185</v>
      </c>
      <c r="D129" s="62" t="s">
        <v>1257</v>
      </c>
      <c r="E129" s="11" t="str">
        <f>HYPERLINK("https://youtu.be/JhZb9Hm72gU?t=7519","channel 3")</f>
        <v>channel 3</v>
      </c>
    </row>
    <row r="130">
      <c r="B130" s="62" t="s">
        <v>3441</v>
      </c>
      <c r="C130" s="45" t="s">
        <v>464</v>
      </c>
      <c r="D130" s="61" t="s">
        <v>2122</v>
      </c>
      <c r="E130" s="11" t="str">
        <f>HYPERLINK("https://youtu.be/o1GHNorN8CM?t=7384","channel 4")</f>
        <v>channel 4</v>
      </c>
    </row>
    <row r="131">
      <c r="B131" s="62" t="s">
        <v>690</v>
      </c>
      <c r="C131" s="45" t="s">
        <v>290</v>
      </c>
      <c r="D131" s="62" t="s">
        <v>1257</v>
      </c>
      <c r="E131" s="11" t="str">
        <f>HYPERLINK("https://youtu.be/JhZb9Hm72gU?t=8505","channel 3")</f>
        <v>channel 3</v>
      </c>
    </row>
    <row r="132">
      <c r="B132" s="62" t="s">
        <v>2815</v>
      </c>
      <c r="C132" s="45" t="s">
        <v>21</v>
      </c>
      <c r="D132" s="61" t="s">
        <v>2122</v>
      </c>
      <c r="E132" s="11" t="str">
        <f>HYPERLINK("https://youtu.be/o1GHNorN8CM?t=8278","channel 4")</f>
        <v>channel 4</v>
      </c>
    </row>
    <row r="133">
      <c r="B133" s="96" t="s">
        <v>3105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3442</v>
      </c>
      <c r="C135" s="45" t="s">
        <v>185</v>
      </c>
      <c r="D135" s="62" t="s">
        <v>3443</v>
      </c>
      <c r="E135" s="11" t="str">
        <f>HYPERLINK("https://youtu.be/h7_Ry9UWtXQ","channel 1")</f>
        <v>channel 1</v>
      </c>
    </row>
    <row r="136">
      <c r="B136" s="62" t="s">
        <v>2107</v>
      </c>
      <c r="C136" s="45" t="s">
        <v>23</v>
      </c>
      <c r="D136" s="61" t="s">
        <v>1967</v>
      </c>
      <c r="E136" s="11" t="str">
        <f>HYPERLINK("https://youtu.be/Ov_RUiYKZow","channel 2")</f>
        <v>channel 2</v>
      </c>
    </row>
    <row r="137">
      <c r="B137" s="62" t="s">
        <v>3444</v>
      </c>
      <c r="C137" s="45" t="s">
        <v>362</v>
      </c>
      <c r="D137" s="62" t="s">
        <v>3442</v>
      </c>
      <c r="E137" s="11" t="str">
        <f>HYPERLINK("https://youtu.be/h7_Ry9UWtXQ?t=658","channel 1")</f>
        <v>channel 1</v>
      </c>
    </row>
    <row r="138">
      <c r="B138" s="62" t="s">
        <v>2107</v>
      </c>
      <c r="C138" s="45" t="s">
        <v>376</v>
      </c>
      <c r="D138" s="62" t="s">
        <v>3443</v>
      </c>
      <c r="E138" s="11" t="str">
        <f>HYPERLINK("https://youtu.be/Ov_RUiYKZow?t=1037","channel 2")</f>
        <v>channel 2</v>
      </c>
    </row>
    <row r="139">
      <c r="B139" s="62" t="s">
        <v>3444</v>
      </c>
      <c r="C139" s="45" t="s">
        <v>41</v>
      </c>
      <c r="D139" s="61" t="s">
        <v>1967</v>
      </c>
      <c r="E139" s="11" t="str">
        <f>HYPERLINK("https://youtu.be/h7_Ry9UWtXQ?t=1550","channel 1")</f>
        <v>channel 1</v>
      </c>
    </row>
    <row r="140">
      <c r="B140" s="62" t="s">
        <v>2107</v>
      </c>
      <c r="C140" s="45" t="s">
        <v>301</v>
      </c>
      <c r="D140" s="62" t="s">
        <v>3442</v>
      </c>
      <c r="E140" s="11" t="str">
        <f>HYPERLINK("https://youtu.be/Ov_RUiYKZow?t=2106","channel 2")</f>
        <v>channel 2</v>
      </c>
    </row>
    <row r="141">
      <c r="B141" s="62" t="s">
        <v>3444</v>
      </c>
      <c r="C141" s="45" t="s">
        <v>248</v>
      </c>
      <c r="D141" s="62" t="s">
        <v>3443</v>
      </c>
      <c r="E141" s="11" t="str">
        <f>HYPERLINK("https://youtu.be/h7_Ry9UWtXQ?t=2529","channel 1")</f>
        <v>channel 1</v>
      </c>
    </row>
    <row r="142">
      <c r="B142" s="61" t="s">
        <v>1967</v>
      </c>
      <c r="C142" s="45" t="s">
        <v>173</v>
      </c>
      <c r="D142" s="62" t="s">
        <v>3442</v>
      </c>
      <c r="E142" s="11" t="str">
        <f>HYPERLINK("https://youtu.be/Ov_RUiYKZow?t=2994","channel 2")</f>
        <v>channel 2</v>
      </c>
    </row>
    <row r="143">
      <c r="B143" s="62" t="s">
        <v>3444</v>
      </c>
      <c r="C143" s="45" t="s">
        <v>164</v>
      </c>
      <c r="D143" s="62" t="s">
        <v>2107</v>
      </c>
      <c r="E143" s="11" t="str">
        <f>HYPERLINK("https://youtu.be/h7_Ry9UWtXQ?t=3561","channel 1")</f>
        <v>channel 1</v>
      </c>
    </row>
    <row r="144">
      <c r="B144" s="61" t="s">
        <v>1967</v>
      </c>
      <c r="C144" s="45" t="s">
        <v>251</v>
      </c>
      <c r="D144" s="62" t="s">
        <v>3443</v>
      </c>
      <c r="E144" s="11" t="str">
        <f>HYPERLINK("https://youtu.be/Ov_RUiYKZow?t=3964","channel 2")</f>
        <v>channel 2</v>
      </c>
    </row>
    <row r="145">
      <c r="B145" s="62" t="s">
        <v>3443</v>
      </c>
      <c r="C145" s="45" t="s">
        <v>477</v>
      </c>
      <c r="D145" s="62" t="s">
        <v>3442</v>
      </c>
      <c r="E145" s="11" t="str">
        <f>HYPERLINK("https://youtu.be/h7_Ry9UWtXQ?t=4365","channel 1")</f>
        <v>channel 1</v>
      </c>
    </row>
    <row r="146">
      <c r="B146" s="61" t="s">
        <v>1967</v>
      </c>
      <c r="C146" s="45" t="s">
        <v>301</v>
      </c>
      <c r="D146" s="62" t="s">
        <v>2107</v>
      </c>
      <c r="E146" s="11" t="str">
        <f>HYPERLINK("https://youtu.be/Ov_RUiYKZow?t=4897","channel 2")</f>
        <v>channel 2</v>
      </c>
    </row>
    <row r="147">
      <c r="B147" s="62" t="s">
        <v>3442</v>
      </c>
      <c r="C147" s="45" t="s">
        <v>198</v>
      </c>
      <c r="D147" s="62" t="s">
        <v>3444</v>
      </c>
      <c r="E147" s="11" t="str">
        <f>HYPERLINK("https://youtu.be/h7_Ry9UWtXQ?t=5345","channel 1")</f>
        <v>channel 1</v>
      </c>
    </row>
    <row r="148">
      <c r="B148" s="62" t="s">
        <v>3443</v>
      </c>
      <c r="C148" s="45" t="s">
        <v>425</v>
      </c>
      <c r="D148" s="62" t="s">
        <v>2107</v>
      </c>
      <c r="E148" s="11" t="str">
        <f>HYPERLINK("https://youtu.be/Ov_RUiYKZow?t=5850","channel 2")</f>
        <v>channel 2</v>
      </c>
    </row>
    <row r="149">
      <c r="B149" s="61" t="s">
        <v>1967</v>
      </c>
      <c r="C149" s="45" t="s">
        <v>376</v>
      </c>
      <c r="D149" s="62" t="s">
        <v>3444</v>
      </c>
      <c r="E149" s="11" t="str">
        <f>HYPERLINK("https://youtu.be/h7_Ry9UWtXQ?t=6289","channel 1")</f>
        <v>channel 1</v>
      </c>
    </row>
    <row r="150">
      <c r="B150" s="62" t="s">
        <v>3442</v>
      </c>
      <c r="C150" s="45" t="s">
        <v>43</v>
      </c>
      <c r="D150" s="62" t="s">
        <v>2107</v>
      </c>
      <c r="E150" s="11" t="str">
        <f>HYPERLINK("https://youtu.be/Ov_RUiYKZow?t=6737","channel 2")</f>
        <v>channel 2</v>
      </c>
    </row>
    <row r="151">
      <c r="B151" s="62" t="s">
        <v>3443</v>
      </c>
      <c r="C151" s="45" t="s">
        <v>233</v>
      </c>
      <c r="D151" s="62" t="s">
        <v>3444</v>
      </c>
      <c r="E151" s="11" t="str">
        <f>HYPERLINK("https://youtu.be/h7_Ry9UWtXQ?t=7088","channel 1")</f>
        <v>channel 1</v>
      </c>
    </row>
    <row r="152">
      <c r="B152" s="62" t="s">
        <v>3442</v>
      </c>
      <c r="C152" s="45" t="s">
        <v>324</v>
      </c>
      <c r="D152" s="61" t="s">
        <v>1967</v>
      </c>
      <c r="E152" s="11" t="str">
        <f>HYPERLINK("https://youtu.be/Ov_RUiYKZow?t=7639","channel 2")</f>
        <v>channel 2</v>
      </c>
    </row>
    <row r="153">
      <c r="B153" s="62" t="s">
        <v>2107</v>
      </c>
      <c r="C153" s="45" t="s">
        <v>354</v>
      </c>
      <c r="D153" s="62" t="s">
        <v>3444</v>
      </c>
      <c r="E153" s="11" t="str">
        <f>HYPERLINK("https://youtu.be/h7_Ry9UWtXQ?t=8032","channel 1")</f>
        <v>channel 1</v>
      </c>
    </row>
    <row r="154">
      <c r="B154" s="62" t="s">
        <v>3443</v>
      </c>
      <c r="C154" s="45" t="s">
        <v>674</v>
      </c>
      <c r="D154" s="61" t="s">
        <v>1967</v>
      </c>
      <c r="E154" s="11" t="str">
        <f>HYPERLINK("https://youtu.be/Ov_RUiYKZow?t=8557","channel 2")</f>
        <v>channel 2</v>
      </c>
    </row>
    <row r="155">
      <c r="B155" s="96" t="s">
        <v>3108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3445</v>
      </c>
      <c r="C157" s="45" t="s">
        <v>230</v>
      </c>
      <c r="D157" s="62" t="s">
        <v>3446</v>
      </c>
      <c r="E157" s="11" t="str">
        <f>HYPERLINK("https://youtu.be/MrlIudXcB6w","channel 1")</f>
        <v>channel 1</v>
      </c>
    </row>
    <row r="158">
      <c r="B158" s="62" t="s">
        <v>1068</v>
      </c>
      <c r="C158" s="45" t="s">
        <v>271</v>
      </c>
      <c r="D158" s="61" t="s">
        <v>2955</v>
      </c>
      <c r="E158" s="11" t="str">
        <f>HYPERLINK("https://youtu.be/Rgo8DrbVxq4","channel 2")</f>
        <v>channel 2</v>
      </c>
    </row>
    <row r="159">
      <c r="B159" s="62" t="s">
        <v>3447</v>
      </c>
      <c r="C159" s="45" t="s">
        <v>248</v>
      </c>
      <c r="D159" s="62" t="s">
        <v>3445</v>
      </c>
      <c r="E159" s="11" t="str">
        <f>HYPERLINK("https://youtu.be/MrlIudXcB6w?t=830","channel 1")</f>
        <v>channel 1</v>
      </c>
    </row>
    <row r="160">
      <c r="B160" s="62" t="s">
        <v>1068</v>
      </c>
      <c r="C160" s="45" t="s">
        <v>302</v>
      </c>
      <c r="D160" s="62" t="s">
        <v>3446</v>
      </c>
      <c r="E160" s="11" t="str">
        <f>HYPERLINK("https://youtu.be/Rgo8DrbVxq4?t=1050","channel 2")</f>
        <v>channel 2</v>
      </c>
    </row>
    <row r="161">
      <c r="B161" s="62" t="s">
        <v>3447</v>
      </c>
      <c r="C161" s="128" t="s">
        <v>668</v>
      </c>
      <c r="D161" s="61" t="s">
        <v>2955</v>
      </c>
      <c r="E161" s="122" t="s">
        <v>9</v>
      </c>
    </row>
    <row r="162">
      <c r="B162" s="62" t="s">
        <v>1068</v>
      </c>
      <c r="C162" s="45" t="s">
        <v>1255</v>
      </c>
      <c r="D162" s="62" t="s">
        <v>3445</v>
      </c>
      <c r="E162" s="11" t="str">
        <f>HYPERLINK("https://youtu.be/Rgo8DrbVxq4?t=1970","channel 2")</f>
        <v>channel 2</v>
      </c>
    </row>
    <row r="163">
      <c r="B163" s="62" t="s">
        <v>3447</v>
      </c>
      <c r="C163" s="128" t="s">
        <v>668</v>
      </c>
      <c r="D163" s="62" t="s">
        <v>3446</v>
      </c>
      <c r="E163" s="122" t="s">
        <v>9</v>
      </c>
    </row>
    <row r="164">
      <c r="B164" s="61" t="s">
        <v>2955</v>
      </c>
      <c r="C164" s="45" t="s">
        <v>3448</v>
      </c>
      <c r="D164" s="62" t="s">
        <v>3445</v>
      </c>
      <c r="E164" s="11" t="str">
        <f>HYPERLINK("https://youtu.be/Rgo8DrbVxq4?t=2912","channel 2")</f>
        <v>channel 2</v>
      </c>
    </row>
    <row r="165">
      <c r="B165" s="62" t="s">
        <v>3447</v>
      </c>
      <c r="C165" s="128" t="s">
        <v>668</v>
      </c>
      <c r="D165" s="62" t="s">
        <v>1068</v>
      </c>
      <c r="E165" s="122" t="s">
        <v>9</v>
      </c>
    </row>
    <row r="166">
      <c r="B166" s="61" t="s">
        <v>2955</v>
      </c>
      <c r="C166" s="45" t="s">
        <v>158</v>
      </c>
      <c r="D166" s="62" t="s">
        <v>3446</v>
      </c>
      <c r="E166" s="11" t="str">
        <f>HYPERLINK("https://youtu.be/Rgo8DrbVxq4?t=3829","channel 2")</f>
        <v>channel 2</v>
      </c>
    </row>
    <row r="167">
      <c r="B167" s="62" t="s">
        <v>3446</v>
      </c>
      <c r="C167" s="45" t="s">
        <v>18</v>
      </c>
      <c r="D167" s="62" t="s">
        <v>3445</v>
      </c>
      <c r="E167" s="11" t="str">
        <f>HYPERLINK("https://youtu.be/MrlIudXcB6w?t=4512","channel 1")</f>
        <v>channel 1</v>
      </c>
    </row>
    <row r="168">
      <c r="B168" s="61" t="s">
        <v>2955</v>
      </c>
      <c r="C168" s="45" t="s">
        <v>502</v>
      </c>
      <c r="D168" s="62" t="s">
        <v>1068</v>
      </c>
      <c r="E168" s="11" t="str">
        <f>HYPERLINK("https://youtu.be/Rgo8DrbVxq4?t=4749","channel 2")</f>
        <v>channel 2</v>
      </c>
    </row>
    <row r="169">
      <c r="B169" s="62" t="s">
        <v>3445</v>
      </c>
      <c r="C169" s="128" t="s">
        <v>668</v>
      </c>
      <c r="D169" s="62" t="s">
        <v>3447</v>
      </c>
      <c r="E169" s="122" t="s">
        <v>9</v>
      </c>
    </row>
    <row r="170">
      <c r="B170" s="62" t="s">
        <v>3446</v>
      </c>
      <c r="C170" s="45" t="s">
        <v>209</v>
      </c>
      <c r="D170" s="62" t="s">
        <v>1068</v>
      </c>
      <c r="E170" s="11" t="str">
        <f>HYPERLINK("https://youtu.be/Rgo8DrbVxq4?t=5637","channel 2")</f>
        <v>channel 2</v>
      </c>
    </row>
    <row r="171">
      <c r="B171" s="61" t="s">
        <v>2955</v>
      </c>
      <c r="C171" s="128" t="s">
        <v>668</v>
      </c>
      <c r="D171" s="62" t="s">
        <v>3447</v>
      </c>
      <c r="E171" s="122" t="s">
        <v>9</v>
      </c>
    </row>
    <row r="172">
      <c r="B172" s="62" t="s">
        <v>3445</v>
      </c>
      <c r="C172" s="45" t="s">
        <v>162</v>
      </c>
      <c r="D172" s="62" t="s">
        <v>1068</v>
      </c>
      <c r="E172" s="11" t="str">
        <f>HYPERLINK("https://youtu.be/Rgo8DrbVxq4?t=6583","channel 2")</f>
        <v>channel 2</v>
      </c>
    </row>
    <row r="173">
      <c r="B173" s="62" t="s">
        <v>3446</v>
      </c>
      <c r="C173" s="128" t="s">
        <v>668</v>
      </c>
      <c r="D173" s="62" t="s">
        <v>3447</v>
      </c>
      <c r="E173" s="122" t="s">
        <v>9</v>
      </c>
    </row>
    <row r="174">
      <c r="B174" s="62" t="s">
        <v>3445</v>
      </c>
      <c r="C174" s="45" t="s">
        <v>195</v>
      </c>
      <c r="D174" s="61" t="s">
        <v>2955</v>
      </c>
      <c r="E174" s="11" t="str">
        <f>HYPERLINK("https://youtu.be/Rgo8DrbVxq4?t=7543","channel 2")</f>
        <v>channel 2</v>
      </c>
    </row>
    <row r="175">
      <c r="B175" s="62" t="s">
        <v>1068</v>
      </c>
      <c r="C175" s="128" t="s">
        <v>668</v>
      </c>
      <c r="D175" s="62" t="s">
        <v>3447</v>
      </c>
      <c r="E175" s="122" t="s">
        <v>9</v>
      </c>
    </row>
    <row r="176">
      <c r="B176" s="62" t="s">
        <v>3446</v>
      </c>
      <c r="C176" s="45" t="s">
        <v>193</v>
      </c>
      <c r="D176" s="61" t="s">
        <v>2955</v>
      </c>
      <c r="E176" s="11" t="str">
        <f>HYPERLINK("https://youtu.be/Rgo8DrbVxq4?t=8505","channel 2")</f>
        <v>channel 2</v>
      </c>
    </row>
    <row r="177">
      <c r="B177" s="96" t="s">
        <v>2709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3449</v>
      </c>
      <c r="C179" s="45" t="s">
        <v>418</v>
      </c>
      <c r="D179" s="62" t="s">
        <v>1480</v>
      </c>
      <c r="E179" s="11" t="str">
        <f>HYPERLINK("https://youtu.be/dq0uzyYB-oQ","channel 3")</f>
        <v>channel 3</v>
      </c>
    </row>
    <row r="180">
      <c r="B180" s="62" t="s">
        <v>3450</v>
      </c>
      <c r="C180" s="45" t="s">
        <v>14</v>
      </c>
      <c r="D180" s="61" t="s">
        <v>913</v>
      </c>
      <c r="E180" s="11" t="str">
        <f>HYPERLINK("https://youtu.be/PM8SJJyLcew","channel 4")</f>
        <v>channel 4</v>
      </c>
    </row>
    <row r="181">
      <c r="B181" s="62" t="s">
        <v>1865</v>
      </c>
      <c r="C181" s="45" t="s">
        <v>279</v>
      </c>
      <c r="D181" s="62" t="s">
        <v>3449</v>
      </c>
      <c r="E181" s="11" t="str">
        <f>HYPERLINK("https://youtu.be/dq0uzyYB-oQ?t=981","channel 3")</f>
        <v>channel 3</v>
      </c>
    </row>
    <row r="182">
      <c r="B182" s="62" t="s">
        <v>3450</v>
      </c>
      <c r="C182" s="45" t="s">
        <v>23</v>
      </c>
      <c r="D182" s="62" t="s">
        <v>1480</v>
      </c>
      <c r="E182" s="11" t="str">
        <f>HYPERLINK("https://youtu.be/PM8SJJyLcew?t=909","channel 4")</f>
        <v>channel 4</v>
      </c>
    </row>
    <row r="183">
      <c r="B183" s="62" t="s">
        <v>1865</v>
      </c>
      <c r="C183" s="45" t="s">
        <v>465</v>
      </c>
      <c r="D183" s="61" t="s">
        <v>913</v>
      </c>
      <c r="E183" s="11" t="str">
        <f>HYPERLINK("https://youtu.be/dq0uzyYB-oQ?t=1885","channel 3")</f>
        <v>channel 3</v>
      </c>
    </row>
    <row r="184">
      <c r="B184" s="62" t="s">
        <v>3450</v>
      </c>
      <c r="C184" s="45" t="s">
        <v>210</v>
      </c>
      <c r="D184" s="62" t="s">
        <v>3449</v>
      </c>
      <c r="E184" s="11" t="str">
        <f>HYPERLINK("https://youtu.be/PM8SJJyLcew?t=1854","channel 4")</f>
        <v>channel 4</v>
      </c>
    </row>
    <row r="185">
      <c r="B185" s="62" t="s">
        <v>1865</v>
      </c>
      <c r="C185" s="45" t="s">
        <v>324</v>
      </c>
      <c r="D185" s="62" t="s">
        <v>1480</v>
      </c>
      <c r="E185" s="11" t="str">
        <f>HYPERLINK("https://youtu.be/dq0uzyYB-oQ?t=2834","channel 3")</f>
        <v>channel 3</v>
      </c>
    </row>
    <row r="186">
      <c r="B186" s="61" t="s">
        <v>913</v>
      </c>
      <c r="C186" s="45" t="s">
        <v>244</v>
      </c>
      <c r="D186" s="62" t="s">
        <v>3449</v>
      </c>
      <c r="E186" s="11" t="str">
        <f>HYPERLINK("https://youtu.be/PM8SJJyLcew?t=2755","channel 4")</f>
        <v>channel 4</v>
      </c>
    </row>
    <row r="187">
      <c r="B187" s="62" t="s">
        <v>1865</v>
      </c>
      <c r="C187" s="45" t="s">
        <v>1015</v>
      </c>
      <c r="D187" s="62" t="s">
        <v>3450</v>
      </c>
      <c r="E187" s="11" t="str">
        <f>HYPERLINK("https://youtu.be/dq0uzyYB-oQ?t=3760","channel 3")</f>
        <v>channel 3</v>
      </c>
    </row>
    <row r="188">
      <c r="B188" s="61" t="s">
        <v>913</v>
      </c>
      <c r="C188" s="45" t="s">
        <v>17</v>
      </c>
      <c r="D188" s="62" t="s">
        <v>1480</v>
      </c>
      <c r="E188" s="11" t="str">
        <f>HYPERLINK("https://youtu.be/PM8SJJyLcew?t=3703","channel 4")</f>
        <v>channel 4</v>
      </c>
    </row>
    <row r="189">
      <c r="B189" s="62" t="s">
        <v>1480</v>
      </c>
      <c r="C189" s="45" t="s">
        <v>534</v>
      </c>
      <c r="D189" s="62" t="s">
        <v>3449</v>
      </c>
      <c r="E189" s="11" t="str">
        <f>HYPERLINK("https://youtu.be/dq0uzyYB-oQ?t=4720","channel 3")</f>
        <v>channel 3</v>
      </c>
    </row>
    <row r="190">
      <c r="B190" s="61" t="s">
        <v>913</v>
      </c>
      <c r="C190" s="45" t="s">
        <v>366</v>
      </c>
      <c r="D190" s="62" t="s">
        <v>3450</v>
      </c>
      <c r="E190" s="11" t="str">
        <f>HYPERLINK("https://youtu.be/PM8SJJyLcew?t=4649","channel 4")</f>
        <v>channel 4</v>
      </c>
    </row>
    <row r="191">
      <c r="B191" s="62" t="s">
        <v>3449</v>
      </c>
      <c r="C191" s="45" t="s">
        <v>229</v>
      </c>
      <c r="D191" s="62" t="s">
        <v>1865</v>
      </c>
      <c r="E191" s="11" t="str">
        <f>HYPERLINK("https://youtu.be/dq0uzyYB-oQ?t=6042","channel 3")</f>
        <v>channel 3</v>
      </c>
    </row>
    <row r="192">
      <c r="B192" s="62" t="s">
        <v>1480</v>
      </c>
      <c r="C192" s="45" t="s">
        <v>279</v>
      </c>
      <c r="D192" s="62" t="s">
        <v>3450</v>
      </c>
      <c r="E192" s="11" t="str">
        <f>HYPERLINK("https://youtu.be/PM8SJJyLcew?t=5872","channel 4")</f>
        <v>channel 4</v>
      </c>
    </row>
    <row r="193">
      <c r="B193" s="61" t="s">
        <v>913</v>
      </c>
      <c r="C193" s="45" t="s">
        <v>302</v>
      </c>
      <c r="D193" s="62" t="s">
        <v>1865</v>
      </c>
      <c r="E193" s="11" t="str">
        <f>HYPERLINK("https://youtu.be/dq0uzyYB-oQ?t=6995","channel 3")</f>
        <v>channel 3</v>
      </c>
    </row>
    <row r="194">
      <c r="B194" s="62" t="s">
        <v>3449</v>
      </c>
      <c r="C194" s="45" t="s">
        <v>19</v>
      </c>
      <c r="D194" s="62" t="s">
        <v>3450</v>
      </c>
      <c r="E194" s="11" t="str">
        <f>HYPERLINK("https://youtu.be/PM8SJJyLcew?t=6781","channel 4")</f>
        <v>channel 4</v>
      </c>
    </row>
    <row r="195">
      <c r="B195" s="62" t="s">
        <v>1480</v>
      </c>
      <c r="C195" s="45" t="s">
        <v>163</v>
      </c>
      <c r="D195" s="62" t="s">
        <v>1865</v>
      </c>
      <c r="E195" s="11" t="str">
        <f>HYPERLINK("https://youtu.be/dq0uzyYB-oQ?t=7923","channel 3")</f>
        <v>channel 3</v>
      </c>
    </row>
    <row r="196">
      <c r="B196" s="62" t="s">
        <v>3449</v>
      </c>
      <c r="C196" s="45" t="s">
        <v>38</v>
      </c>
      <c r="D196" s="61" t="s">
        <v>913</v>
      </c>
      <c r="E196" s="11" t="str">
        <f>HYPERLINK("https://youtu.be/PM8SJJyLcew?t=7734","channel 4")</f>
        <v>channel 4</v>
      </c>
    </row>
    <row r="197">
      <c r="B197" s="62" t="s">
        <v>3450</v>
      </c>
      <c r="C197" s="45" t="s">
        <v>209</v>
      </c>
      <c r="D197" s="62" t="s">
        <v>1865</v>
      </c>
      <c r="E197" s="11" t="str">
        <f>HYPERLINK("https://youtu.be/dq0uzyYB-oQ?t=8860","channel 3")</f>
        <v>channel 3</v>
      </c>
    </row>
    <row r="198">
      <c r="B198" s="62" t="s">
        <v>1480</v>
      </c>
      <c r="C198" s="45" t="s">
        <v>198</v>
      </c>
      <c r="D198" s="61" t="s">
        <v>913</v>
      </c>
      <c r="E198" s="11" t="str">
        <f>HYPERLINK("https://youtu.be/PM8SJJyLcew?t=8764","channel 4")</f>
        <v>channel 4</v>
      </c>
    </row>
    <row r="199">
      <c r="B199" s="96" t="s">
        <v>2990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3070</v>
      </c>
      <c r="C201" s="45" t="s">
        <v>335</v>
      </c>
      <c r="D201" s="62" t="s">
        <v>3137</v>
      </c>
      <c r="E201" s="126" t="str">
        <f>HYPERLINK("https://youtu.be/8idYbKtvo30","channel 3")</f>
        <v>channel 3</v>
      </c>
    </row>
    <row r="202">
      <c r="B202" s="62" t="s">
        <v>3451</v>
      </c>
      <c r="C202" s="57" t="s">
        <v>418</v>
      </c>
      <c r="D202" s="61" t="s">
        <v>3452</v>
      </c>
      <c r="E202" s="11" t="str">
        <f>HYPERLINK("https://youtu.be/O6Pz40eFGW4","channel 4")</f>
        <v>channel 4</v>
      </c>
    </row>
    <row r="203">
      <c r="B203" s="62" t="s">
        <v>482</v>
      </c>
      <c r="C203" s="57" t="s">
        <v>180</v>
      </c>
      <c r="D203" s="62" t="s">
        <v>3070</v>
      </c>
      <c r="E203" s="11" t="str">
        <f>HYPERLINK("https://youtu.be/8idYbKtvo30?t=999","channel 3")</f>
        <v>channel 3</v>
      </c>
    </row>
    <row r="204">
      <c r="B204" s="62" t="s">
        <v>3451</v>
      </c>
      <c r="C204" s="57" t="s">
        <v>366</v>
      </c>
      <c r="D204" s="62" t="s">
        <v>3137</v>
      </c>
      <c r="E204" s="11" t="str">
        <f>HYPERLINK("https://youtu.be/O6Pz40eFGW4?t=935","channel 4")</f>
        <v>channel 4</v>
      </c>
    </row>
    <row r="205">
      <c r="B205" s="62" t="s">
        <v>482</v>
      </c>
      <c r="C205" s="57" t="s">
        <v>164</v>
      </c>
      <c r="D205" s="61" t="s">
        <v>3452</v>
      </c>
      <c r="E205" s="11" t="str">
        <f>HYPERLINK("https://youtu.be/8idYbKtvo30?t=1945","channel 3")</f>
        <v>channel 3</v>
      </c>
    </row>
    <row r="206">
      <c r="B206" s="62" t="s">
        <v>3451</v>
      </c>
      <c r="C206" s="57" t="s">
        <v>193</v>
      </c>
      <c r="D206" s="62" t="s">
        <v>3070</v>
      </c>
      <c r="E206" s="11" t="str">
        <f>HYPERLINK("https://youtu.be/O6Pz40eFGW4?t=1848","channel 4")</f>
        <v>channel 4</v>
      </c>
    </row>
    <row r="207">
      <c r="B207" s="62" t="s">
        <v>482</v>
      </c>
      <c r="C207" s="57" t="s">
        <v>425</v>
      </c>
      <c r="D207" s="62" t="s">
        <v>3137</v>
      </c>
      <c r="E207" s="11" t="str">
        <f>HYPERLINK("https://youtu.be/8idYbKtvo30?t=2896","channel 3")</f>
        <v>channel 3</v>
      </c>
    </row>
    <row r="208">
      <c r="B208" s="61" t="s">
        <v>3452</v>
      </c>
      <c r="C208" s="57" t="s">
        <v>545</v>
      </c>
      <c r="D208" s="62" t="s">
        <v>3070</v>
      </c>
      <c r="E208" s="11" t="str">
        <f>HYPERLINK("https://youtu.be/O6Pz40eFGW4?t=2797","channel 4")</f>
        <v>channel 4</v>
      </c>
    </row>
    <row r="209">
      <c r="B209" s="62" t="s">
        <v>482</v>
      </c>
      <c r="C209" s="57" t="s">
        <v>16</v>
      </c>
      <c r="D209" s="62" t="s">
        <v>3451</v>
      </c>
      <c r="E209" s="11" t="str">
        <f>HYPERLINK("https://youtu.be/8idYbKtvo30?t=3824","channel 3")</f>
        <v>channel 3</v>
      </c>
    </row>
    <row r="210">
      <c r="B210" s="61" t="s">
        <v>3452</v>
      </c>
      <c r="C210" s="57" t="s">
        <v>304</v>
      </c>
      <c r="D210" s="62" t="s">
        <v>3137</v>
      </c>
      <c r="E210" s="11" t="str">
        <f>HYPERLINK("https://youtu.be/O6Pz40eFGW4?t=3753","channel 4")</f>
        <v>channel 4</v>
      </c>
    </row>
    <row r="211">
      <c r="B211" s="62" t="s">
        <v>3137</v>
      </c>
      <c r="C211" s="57" t="s">
        <v>298</v>
      </c>
      <c r="D211" s="62" t="s">
        <v>3070</v>
      </c>
      <c r="E211" s="11" t="str">
        <f>HYPERLINK("https://youtu.be/8idYbKtvo30?t=4733","channel 3")</f>
        <v>channel 3</v>
      </c>
    </row>
    <row r="212">
      <c r="B212" s="61" t="s">
        <v>3452</v>
      </c>
      <c r="C212" s="57" t="s">
        <v>534</v>
      </c>
      <c r="D212" s="62" t="s">
        <v>3451</v>
      </c>
      <c r="E212" s="11" t="str">
        <f>HYPERLINK("https://youtu.be/O6Pz40eFGW4?t=4752","channel 4")</f>
        <v>channel 4</v>
      </c>
    </row>
    <row r="213">
      <c r="B213" s="62" t="s">
        <v>3070</v>
      </c>
      <c r="C213" s="45" t="s">
        <v>229</v>
      </c>
      <c r="D213" s="62" t="s">
        <v>482</v>
      </c>
      <c r="E213" s="11" t="str">
        <f>HYPERLINK("https://youtu.be/8idYbKtvo30?t=5644","channel 3")</f>
        <v>channel 3</v>
      </c>
    </row>
    <row r="214">
      <c r="B214" s="62" t="s">
        <v>3137</v>
      </c>
      <c r="C214" s="45" t="s">
        <v>24</v>
      </c>
      <c r="D214" s="62" t="s">
        <v>3451</v>
      </c>
      <c r="E214" s="11" t="str">
        <f>HYPERLINK("https://youtu.be/O6Pz40eFGW4?t=5662","channel 4")</f>
        <v>channel 4</v>
      </c>
    </row>
    <row r="215">
      <c r="B215" s="61" t="s">
        <v>3452</v>
      </c>
      <c r="C215" s="45" t="s">
        <v>979</v>
      </c>
      <c r="D215" s="62" t="s">
        <v>482</v>
      </c>
      <c r="E215" s="11" t="str">
        <f>HYPERLINK("https://youtu.be/8idYbKtvo30?t=6679","channel 3")</f>
        <v>channel 3</v>
      </c>
    </row>
    <row r="216">
      <c r="B216" s="62" t="s">
        <v>3070</v>
      </c>
      <c r="C216" s="45" t="s">
        <v>187</v>
      </c>
      <c r="D216" s="62" t="s">
        <v>3451</v>
      </c>
      <c r="E216" s="11" t="str">
        <f>HYPERLINK("https://youtu.be/O6Pz40eFGW4?t=6588","channel 4")</f>
        <v>channel 4</v>
      </c>
    </row>
    <row r="217">
      <c r="B217" s="62" t="s">
        <v>3137</v>
      </c>
      <c r="C217" s="45" t="s">
        <v>1602</v>
      </c>
      <c r="D217" s="62" t="s">
        <v>482</v>
      </c>
      <c r="E217" s="11" t="str">
        <f>HYPERLINK("https://youtu.be/8idYbKtvo30?t=7580","channel 3")</f>
        <v>channel 3</v>
      </c>
    </row>
    <row r="218">
      <c r="B218" s="62" t="s">
        <v>3070</v>
      </c>
      <c r="C218" s="45" t="s">
        <v>556</v>
      </c>
      <c r="D218" s="61" t="s">
        <v>3452</v>
      </c>
      <c r="E218" s="11" t="str">
        <f>HYPERLINK("https://youtu.be/O6Pz40eFGW4?t=7450","channel 4")</f>
        <v>channel 4</v>
      </c>
    </row>
    <row r="219">
      <c r="B219" s="62" t="s">
        <v>3451</v>
      </c>
      <c r="C219" s="45" t="s">
        <v>302</v>
      </c>
      <c r="D219" s="62" t="s">
        <v>482</v>
      </c>
      <c r="E219" s="11" t="str">
        <f>HYPERLINK("https://youtu.be/8idYbKtvo30?t=8546","channel 3")</f>
        <v>channel 3</v>
      </c>
    </row>
    <row r="220">
      <c r="B220" s="62" t="s">
        <v>3137</v>
      </c>
      <c r="C220" s="45" t="s">
        <v>176</v>
      </c>
      <c r="D220" s="61" t="s">
        <v>3452</v>
      </c>
      <c r="E220" s="11" t="str">
        <f>HYPERLINK("https://youtu.be/O6Pz40eFGW4?t=8411","channel 4")</f>
        <v>channel 4</v>
      </c>
    </row>
    <row r="221">
      <c r="B221" s="96" t="s">
        <v>2166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2100</v>
      </c>
      <c r="C223" s="57" t="s">
        <v>173</v>
      </c>
      <c r="D223" s="62" t="s">
        <v>3453</v>
      </c>
      <c r="E223" s="11" t="str">
        <f>HYPERLINK("https://youtu.be/6DlfRgQb_UA","channel 1")</f>
        <v>channel 1</v>
      </c>
    </row>
    <row r="224">
      <c r="B224" s="62" t="s">
        <v>3454</v>
      </c>
      <c r="C224" s="57" t="s">
        <v>354</v>
      </c>
      <c r="D224" s="61" t="s">
        <v>2797</v>
      </c>
      <c r="E224" s="11" t="str">
        <f>HYPERLINK("https://youtu.be/7B_nAE9k4Sc","channel 2")</f>
        <v>channel 2</v>
      </c>
    </row>
    <row r="225">
      <c r="B225" s="62" t="s">
        <v>3455</v>
      </c>
      <c r="C225" s="57" t="s">
        <v>220</v>
      </c>
      <c r="D225" s="62" t="s">
        <v>2100</v>
      </c>
      <c r="E225" s="11" t="str">
        <f>HYPERLINK("https://youtu.be/6DlfRgQb_UA?t=687","channel 1")</f>
        <v>channel 1</v>
      </c>
    </row>
    <row r="226">
      <c r="B226" s="62" t="s">
        <v>3454</v>
      </c>
      <c r="C226" s="57" t="s">
        <v>380</v>
      </c>
      <c r="D226" s="62" t="s">
        <v>3453</v>
      </c>
      <c r="E226" s="11" t="str">
        <f>HYPERLINK("https://youtu.be/7B_nAE9k4Sc?t=1097","channel 2")</f>
        <v>channel 2</v>
      </c>
    </row>
    <row r="227">
      <c r="B227" s="62" t="s">
        <v>3455</v>
      </c>
      <c r="C227" s="57" t="s">
        <v>20</v>
      </c>
      <c r="D227" s="61" t="s">
        <v>2797</v>
      </c>
      <c r="E227" s="11" t="str">
        <f>HYPERLINK("https://youtu.be/6DlfRgQb_UA?t=1617","channel 1")</f>
        <v>channel 1</v>
      </c>
    </row>
    <row r="228">
      <c r="B228" s="62" t="s">
        <v>3454</v>
      </c>
      <c r="C228" s="57" t="s">
        <v>218</v>
      </c>
      <c r="D228" s="62" t="s">
        <v>2100</v>
      </c>
      <c r="E228" s="11" t="str">
        <f>HYPERLINK("https://youtu.be/7B_nAE9k4Sc?t=2043","channel 2")</f>
        <v>channel 2</v>
      </c>
    </row>
    <row r="229">
      <c r="B229" s="62" t="s">
        <v>3455</v>
      </c>
      <c r="C229" s="57" t="s">
        <v>182</v>
      </c>
      <c r="D229" s="62" t="s">
        <v>3453</v>
      </c>
      <c r="E229" s="11" t="str">
        <f>HYPERLINK("https://youtu.be/6DlfRgQb_UA?t=2602","channel 1")</f>
        <v>channel 1</v>
      </c>
    </row>
    <row r="230">
      <c r="B230" s="61" t="s">
        <v>2797</v>
      </c>
      <c r="C230" s="57" t="s">
        <v>7</v>
      </c>
      <c r="D230" s="62" t="s">
        <v>2100</v>
      </c>
      <c r="E230" s="11" t="str">
        <f>HYPERLINK("https://youtu.be/7B_nAE9k4Sc?t=3028","channel 2")</f>
        <v>channel 2</v>
      </c>
    </row>
    <row r="231">
      <c r="B231" s="62" t="s">
        <v>3455</v>
      </c>
      <c r="C231" s="57" t="s">
        <v>233</v>
      </c>
      <c r="D231" s="62" t="s">
        <v>3454</v>
      </c>
      <c r="E231" s="11" t="str">
        <f>HYPERLINK("https://youtu.be/6DlfRgQb_UA?t=3606","channel 1")</f>
        <v>channel 1</v>
      </c>
    </row>
    <row r="232">
      <c r="B232" s="61" t="s">
        <v>2797</v>
      </c>
      <c r="C232" s="57" t="s">
        <v>534</v>
      </c>
      <c r="D232" s="62" t="s">
        <v>3453</v>
      </c>
      <c r="E232" s="11" t="str">
        <f>HYPERLINK("https://youtu.be/7B_nAE9k4Sc?t=4031","channel 2")</f>
        <v>channel 2</v>
      </c>
    </row>
    <row r="233">
      <c r="B233" s="62" t="s">
        <v>3453</v>
      </c>
      <c r="C233" s="57" t="s">
        <v>44</v>
      </c>
      <c r="D233" s="62" t="s">
        <v>2100</v>
      </c>
      <c r="E233" s="11" t="str">
        <f>HYPERLINK("https://youtu.be/6DlfRgQb_UA?t=4519","channel 1")</f>
        <v>channel 1</v>
      </c>
    </row>
    <row r="234">
      <c r="B234" s="61" t="s">
        <v>2797</v>
      </c>
      <c r="C234" s="57" t="s">
        <v>433</v>
      </c>
      <c r="D234" s="62" t="s">
        <v>3454</v>
      </c>
      <c r="E234" s="11" t="str">
        <f>HYPERLINK("https://youtu.be/7B_nAE9k4Sc?t=4963","channel 2")</f>
        <v>channel 2</v>
      </c>
    </row>
    <row r="235">
      <c r="B235" s="62" t="s">
        <v>2100</v>
      </c>
      <c r="C235" s="45" t="s">
        <v>7</v>
      </c>
      <c r="D235" s="62" t="s">
        <v>3455</v>
      </c>
      <c r="E235" s="11" t="str">
        <f>HYPERLINK("https://youtu.be/6DlfRgQb_UA?t=5510","channel 1")</f>
        <v>channel 1</v>
      </c>
    </row>
    <row r="236">
      <c r="B236" s="62" t="s">
        <v>3453</v>
      </c>
      <c r="C236" s="45" t="s">
        <v>515</v>
      </c>
      <c r="D236" s="62" t="s">
        <v>3454</v>
      </c>
      <c r="E236" s="11" t="str">
        <f>HYPERLINK("https://youtu.be/7B_nAE9k4Sc?t=5955","channel 2")</f>
        <v>channel 2</v>
      </c>
    </row>
    <row r="237">
      <c r="B237" s="61" t="s">
        <v>2797</v>
      </c>
      <c r="C237" s="45" t="s">
        <v>248</v>
      </c>
      <c r="D237" s="62" t="s">
        <v>3455</v>
      </c>
      <c r="E237" s="11" t="str">
        <f>HYPERLINK("https://youtu.be/6DlfRgQb_UA?t=6441","channel 1")</f>
        <v>channel 1</v>
      </c>
    </row>
    <row r="238">
      <c r="B238" s="62" t="s">
        <v>2100</v>
      </c>
      <c r="C238" s="45" t="s">
        <v>16</v>
      </c>
      <c r="D238" s="62" t="s">
        <v>3454</v>
      </c>
      <c r="E238" s="11" t="str">
        <f>HYPERLINK("https://youtu.be/7B_nAE9k4Sc?t=6858","channel 2")</f>
        <v>channel 2</v>
      </c>
    </row>
    <row r="239">
      <c r="B239" s="62" t="s">
        <v>3453</v>
      </c>
      <c r="C239" s="45" t="s">
        <v>14</v>
      </c>
      <c r="D239" s="62" t="s">
        <v>3455</v>
      </c>
      <c r="E239" s="11" t="str">
        <f>HYPERLINK("https://youtu.be/6DlfRgQb_UA?t=7384","channel 1")</f>
        <v>channel 1</v>
      </c>
    </row>
    <row r="240">
      <c r="B240" s="62" t="s">
        <v>2100</v>
      </c>
      <c r="C240" s="45" t="s">
        <v>23</v>
      </c>
      <c r="D240" s="61" t="s">
        <v>2797</v>
      </c>
      <c r="E240" s="11" t="str">
        <f>HYPERLINK("https://youtu.be/7B_nAE9k4Sc?t=7771","channel 2")</f>
        <v>channel 2</v>
      </c>
    </row>
    <row r="241">
      <c r="B241" s="62" t="s">
        <v>3454</v>
      </c>
      <c r="C241" s="45" t="s">
        <v>327</v>
      </c>
      <c r="D241" s="62" t="s">
        <v>3455</v>
      </c>
      <c r="E241" s="11" t="str">
        <f>HYPERLINK("https://youtu.be/6DlfRgQb_UA?t=8268","channel 1")</f>
        <v>channel 1</v>
      </c>
    </row>
    <row r="242">
      <c r="B242" s="62" t="s">
        <v>3453</v>
      </c>
      <c r="C242" s="45" t="s">
        <v>18</v>
      </c>
      <c r="D242" s="61" t="s">
        <v>2797</v>
      </c>
      <c r="E242" s="11" t="str">
        <f>HYPERLINK("https://youtu.be/7B_nAE9k4Sc?t=8680","channel 2")</f>
        <v>channel 2</v>
      </c>
    </row>
    <row r="243">
      <c r="B243" s="96" t="s">
        <v>2910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805</v>
      </c>
      <c r="C245" s="57" t="s">
        <v>440</v>
      </c>
      <c r="D245" s="62" t="s">
        <v>3456</v>
      </c>
      <c r="E245" s="11" t="str">
        <f>HYPERLINK("https://youtu.be/MPSWTK6arpY","channel 1")</f>
        <v>channel 1</v>
      </c>
    </row>
    <row r="246">
      <c r="B246" s="62" t="s">
        <v>2322</v>
      </c>
      <c r="C246" s="57" t="s">
        <v>250</v>
      </c>
      <c r="D246" s="61" t="s">
        <v>1883</v>
      </c>
      <c r="E246" s="11" t="str">
        <f>HYPERLINK("https://youtu.be/zFNV2Hh4Aw0","channel 2")</f>
        <v>channel 2</v>
      </c>
    </row>
    <row r="247">
      <c r="B247" s="62" t="s">
        <v>3457</v>
      </c>
      <c r="C247" s="57" t="s">
        <v>162</v>
      </c>
      <c r="D247" s="62" t="s">
        <v>805</v>
      </c>
      <c r="E247" s="11" t="str">
        <f>HYPERLINK("https://youtu.be/MPSWTK6arpY?t=981","channel 1")</f>
        <v>channel 1</v>
      </c>
    </row>
    <row r="248">
      <c r="B248" s="62" t="s">
        <v>2322</v>
      </c>
      <c r="C248" s="57" t="s">
        <v>439</v>
      </c>
      <c r="D248" s="62" t="s">
        <v>3456</v>
      </c>
      <c r="E248" s="11" t="str">
        <f>HYPERLINK("https://youtu.be/zFNV2Hh4Aw0?t=1046","channel 2")</f>
        <v>channel 2</v>
      </c>
    </row>
    <row r="249">
      <c r="B249" s="62" t="s">
        <v>3457</v>
      </c>
      <c r="C249" s="57" t="s">
        <v>225</v>
      </c>
      <c r="D249" s="61" t="s">
        <v>1883</v>
      </c>
      <c r="E249" s="11" t="str">
        <f>HYPERLINK("https://youtu.be/MPSWTK6arpY?t=1939","channel 1")</f>
        <v>channel 1</v>
      </c>
    </row>
    <row r="250">
      <c r="B250" s="62" t="s">
        <v>2322</v>
      </c>
      <c r="C250" s="57" t="s">
        <v>856</v>
      </c>
      <c r="D250" s="62" t="s">
        <v>805</v>
      </c>
      <c r="E250" s="11" t="str">
        <f>HYPERLINK("https://youtu.be/zFNV2Hh4Aw0?t=2020","channel 2")</f>
        <v>channel 2</v>
      </c>
    </row>
    <row r="251">
      <c r="B251" s="62" t="s">
        <v>3457</v>
      </c>
      <c r="C251" s="57" t="s">
        <v>556</v>
      </c>
      <c r="D251" s="62" t="s">
        <v>3456</v>
      </c>
      <c r="E251" s="11" t="str">
        <f>HYPERLINK("https://youtu.be/MPSWTK6arpY?t=2889","channel 1")</f>
        <v>channel 1</v>
      </c>
    </row>
    <row r="252">
      <c r="B252" s="61" t="s">
        <v>1883</v>
      </c>
      <c r="C252" s="57" t="s">
        <v>157</v>
      </c>
      <c r="D252" s="62" t="s">
        <v>805</v>
      </c>
      <c r="E252" s="11" t="str">
        <f>HYPERLINK("https://youtu.be/zFNV2Hh4Aw0?t=2979","channel 2")</f>
        <v>channel 2</v>
      </c>
    </row>
    <row r="253">
      <c r="B253" s="62" t="s">
        <v>3457</v>
      </c>
      <c r="C253" s="57" t="s">
        <v>315</v>
      </c>
      <c r="D253" s="62" t="s">
        <v>2322</v>
      </c>
      <c r="E253" s="11" t="str">
        <f>HYPERLINK("https://youtu.be/MPSWTK6arpY?t=3906","channel 1")</f>
        <v>channel 1</v>
      </c>
    </row>
    <row r="254">
      <c r="B254" s="61" t="s">
        <v>1883</v>
      </c>
      <c r="C254" s="57" t="s">
        <v>209</v>
      </c>
      <c r="D254" s="62" t="s">
        <v>3456</v>
      </c>
      <c r="E254" s="11" t="str">
        <f>HYPERLINK("https://youtu.be/zFNV2Hh4Aw0?t=3991","channel 2")</f>
        <v>channel 2</v>
      </c>
    </row>
    <row r="255">
      <c r="B255" s="62" t="s">
        <v>3456</v>
      </c>
      <c r="C255" s="57" t="s">
        <v>3458</v>
      </c>
      <c r="D255" s="62" t="s">
        <v>805</v>
      </c>
      <c r="E255" s="11" t="str">
        <f>HYPERLINK("https://youtu.be/MPSWTK6arpY?t=4851","channel 1")</f>
        <v>channel 1</v>
      </c>
    </row>
    <row r="256">
      <c r="B256" s="61" t="s">
        <v>1883</v>
      </c>
      <c r="C256" s="57" t="s">
        <v>43</v>
      </c>
      <c r="D256" s="62" t="s">
        <v>2322</v>
      </c>
      <c r="E256" s="11" t="str">
        <f>HYPERLINK("https://youtu.be/zFNV2Hh4Aw0?t=4941","channel 2")</f>
        <v>channel 2</v>
      </c>
    </row>
    <row r="257">
      <c r="B257" s="62" t="s">
        <v>805</v>
      </c>
      <c r="C257" s="45" t="s">
        <v>1265</v>
      </c>
      <c r="D257" s="62" t="s">
        <v>3457</v>
      </c>
      <c r="E257" s="11" t="str">
        <f>HYPERLINK("https://youtu.be/MPSWTK6arpY?t=5803","channel 1")</f>
        <v>channel 1</v>
      </c>
    </row>
    <row r="258">
      <c r="B258" s="62" t="s">
        <v>3456</v>
      </c>
      <c r="C258" s="45" t="s">
        <v>216</v>
      </c>
      <c r="D258" s="62" t="s">
        <v>2322</v>
      </c>
      <c r="E258" s="11" t="str">
        <f>HYPERLINK("https://youtu.be/zFNV2Hh4Aw0?t=5863","channel 2")</f>
        <v>channel 2</v>
      </c>
    </row>
    <row r="259">
      <c r="B259" s="61" t="s">
        <v>1883</v>
      </c>
      <c r="C259" s="45" t="s">
        <v>41</v>
      </c>
      <c r="D259" s="62" t="s">
        <v>3457</v>
      </c>
      <c r="E259" s="11" t="str">
        <f>HYPERLINK("https://youtu.be/MPSWTK6arpY?t=6746","channel 1")</f>
        <v>channel 1</v>
      </c>
    </row>
    <row r="260">
      <c r="B260" s="62" t="s">
        <v>805</v>
      </c>
      <c r="C260" s="45" t="s">
        <v>182</v>
      </c>
      <c r="D260" s="62" t="s">
        <v>2322</v>
      </c>
      <c r="E260" s="11" t="str">
        <f>HYPERLINK("https://youtu.be/zFNV2Hh4Aw0?t=6796","channel 2")</f>
        <v>channel 2</v>
      </c>
    </row>
    <row r="261">
      <c r="B261" s="62" t="s">
        <v>3456</v>
      </c>
      <c r="C261" s="45" t="s">
        <v>7</v>
      </c>
      <c r="D261" s="62" t="s">
        <v>3457</v>
      </c>
      <c r="E261" s="11" t="str">
        <f>HYPERLINK("https://youtu.be/MPSWTK6arpY?t=7632","channel 1")</f>
        <v>channel 1</v>
      </c>
    </row>
    <row r="262">
      <c r="B262" s="62" t="s">
        <v>805</v>
      </c>
      <c r="C262" s="45" t="s">
        <v>210</v>
      </c>
      <c r="D262" s="61" t="s">
        <v>1883</v>
      </c>
      <c r="E262" s="11" t="str">
        <f>HYPERLINK("https://youtu.be/zFNV2Hh4Aw0?t=7672","channel 2")</f>
        <v>channel 2</v>
      </c>
    </row>
    <row r="263">
      <c r="B263" s="62" t="s">
        <v>2322</v>
      </c>
      <c r="C263" s="45" t="s">
        <v>193</v>
      </c>
      <c r="D263" s="62" t="s">
        <v>3457</v>
      </c>
      <c r="E263" s="11" t="str">
        <f>HYPERLINK("https://youtu.be/MPSWTK6arpY?t=8553","channel 1")</f>
        <v>channel 1</v>
      </c>
    </row>
    <row r="264">
      <c r="B264" s="62" t="s">
        <v>3456</v>
      </c>
      <c r="C264" s="45" t="s">
        <v>335</v>
      </c>
      <c r="D264" s="61" t="s">
        <v>1883</v>
      </c>
      <c r="E264" s="11" t="str">
        <f>HYPERLINK("https://youtu.be/zFNV2Hh4Aw0?t=8599","channel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3040</v>
      </c>
      <c r="C1" s="2"/>
      <c r="D1" s="3"/>
      <c r="E1" s="53"/>
    </row>
    <row r="2">
      <c r="A2" s="90"/>
      <c r="B2" s="6" t="s">
        <v>2</v>
      </c>
      <c r="C2" s="6" t="s">
        <v>3</v>
      </c>
      <c r="D2" s="6" t="s">
        <v>4</v>
      </c>
      <c r="E2" s="6" t="s">
        <v>5</v>
      </c>
    </row>
    <row r="3">
      <c r="A3" s="90"/>
      <c r="B3" s="62" t="s">
        <v>3459</v>
      </c>
      <c r="C3" s="57" t="s">
        <v>20</v>
      </c>
      <c r="D3" s="61" t="s">
        <v>3460</v>
      </c>
      <c r="E3" s="11" t="str">
        <f>HYPERLINK("https://youtu.be/WFZdQ1pV2sw","channel 1")</f>
        <v>channel 1</v>
      </c>
    </row>
    <row r="4">
      <c r="A4" s="90"/>
      <c r="B4" s="129" t="s">
        <v>3461</v>
      </c>
      <c r="C4" s="57" t="s">
        <v>17</v>
      </c>
      <c r="D4" s="62" t="s">
        <v>3462</v>
      </c>
      <c r="E4" s="11" t="str">
        <f>HYPERLINK("https://youtu.be/hSl6eGPJKfo","channel 2")</f>
        <v>channel 2</v>
      </c>
    </row>
    <row r="5">
      <c r="A5" s="90"/>
      <c r="B5" s="62" t="s">
        <v>3463</v>
      </c>
      <c r="C5" s="57" t="s">
        <v>41</v>
      </c>
      <c r="D5" s="62" t="s">
        <v>3459</v>
      </c>
      <c r="E5" s="11" t="str">
        <f>HYPERLINK("https://youtu.be/WFZdQ1pV2sw?t=967","channel 1")</f>
        <v>channel 1</v>
      </c>
    </row>
    <row r="6">
      <c r="A6" s="90"/>
      <c r="B6" s="129" t="s">
        <v>3461</v>
      </c>
      <c r="C6" s="57" t="s">
        <v>18</v>
      </c>
      <c r="D6" s="61" t="s">
        <v>3460</v>
      </c>
      <c r="E6" s="11" t="str">
        <f>HYPERLINK("https://youtu.be/hSl6eGPJKfo?t=1216","channel 2")</f>
        <v>channel 2</v>
      </c>
    </row>
    <row r="7">
      <c r="A7" s="90"/>
      <c r="B7" s="62" t="s">
        <v>3463</v>
      </c>
      <c r="C7" s="57" t="s">
        <v>218</v>
      </c>
      <c r="D7" s="62" t="s">
        <v>3462</v>
      </c>
      <c r="E7" s="11" t="str">
        <f>HYPERLINK("https://youtu.be/WFZdQ1pV2sw?t=1945","channel 1")</f>
        <v>channel 1</v>
      </c>
    </row>
    <row r="8">
      <c r="A8" s="90"/>
      <c r="B8" s="129" t="s">
        <v>3461</v>
      </c>
      <c r="C8" s="57" t="s">
        <v>549</v>
      </c>
      <c r="D8" s="62" t="s">
        <v>3459</v>
      </c>
      <c r="E8" s="11" t="str">
        <f>HYPERLINK("https://youtu.be/hSl6eGPJKfo?t=2181","channel 2")</f>
        <v>channel 2</v>
      </c>
    </row>
    <row r="9">
      <c r="A9" s="90"/>
      <c r="B9" s="62" t="s">
        <v>3463</v>
      </c>
      <c r="C9" s="57" t="s">
        <v>184</v>
      </c>
      <c r="D9" s="61" t="s">
        <v>3460</v>
      </c>
      <c r="E9" s="11" t="str">
        <f>HYPERLINK("https://youtu.be/WFZdQ1pV2sw?t=2925","channel 1")</f>
        <v>channel 1</v>
      </c>
    </row>
    <row r="10">
      <c r="A10" s="90"/>
      <c r="B10" s="62" t="s">
        <v>3462</v>
      </c>
      <c r="C10" s="57" t="s">
        <v>220</v>
      </c>
      <c r="D10" s="62" t="s">
        <v>3459</v>
      </c>
      <c r="E10" s="11" t="str">
        <f>HYPERLINK("https://youtu.be/hSl6eGPJKfo?t=3115","channel 2")</f>
        <v>channel 2</v>
      </c>
    </row>
    <row r="11">
      <c r="A11" s="90"/>
      <c r="B11" s="62" t="s">
        <v>3463</v>
      </c>
      <c r="C11" s="57" t="s">
        <v>155</v>
      </c>
      <c r="D11" s="129" t="s">
        <v>3461</v>
      </c>
      <c r="E11" s="11" t="str">
        <f>HYPERLINK("https://youtu.be/WFZdQ1pV2sw?t=3890","channel 1")</f>
        <v>channel 1</v>
      </c>
    </row>
    <row r="12">
      <c r="A12" s="90"/>
      <c r="B12" s="62" t="s">
        <v>3462</v>
      </c>
      <c r="C12" s="57" t="s">
        <v>43</v>
      </c>
      <c r="D12" s="61" t="s">
        <v>3460</v>
      </c>
      <c r="E12" s="11" t="str">
        <f>HYPERLINK("https://youtu.be/hSl6eGPJKfo?t=4184","channel 2")</f>
        <v>channel 2</v>
      </c>
    </row>
    <row r="13">
      <c r="A13" s="90"/>
      <c r="B13" s="61" t="s">
        <v>3460</v>
      </c>
      <c r="C13" s="57" t="s">
        <v>3464</v>
      </c>
      <c r="D13" s="62" t="s">
        <v>3459</v>
      </c>
      <c r="E13" s="11" t="str">
        <f>HYPERLINK("https://youtu.be/WFZdQ1pV2sw?t=4895","channel 1")</f>
        <v>channel 1</v>
      </c>
    </row>
    <row r="14">
      <c r="A14" s="90"/>
      <c r="B14" s="62" t="s">
        <v>3462</v>
      </c>
      <c r="C14" s="57" t="s">
        <v>19</v>
      </c>
      <c r="D14" s="129" t="s">
        <v>3461</v>
      </c>
      <c r="E14" s="11" t="str">
        <f>HYPERLINK("https://youtu.be/hSl6eGPJKfo?t=5178","channel 2")</f>
        <v>channel 2</v>
      </c>
    </row>
    <row r="15">
      <c r="A15" s="90"/>
      <c r="B15" s="62" t="s">
        <v>3459</v>
      </c>
      <c r="C15" s="57" t="s">
        <v>3465</v>
      </c>
      <c r="D15" s="62" t="s">
        <v>3463</v>
      </c>
      <c r="E15" s="11" t="str">
        <f>HYPERLINK("https://youtu.be/WFZdQ1pV2sw?t=5777","channel 1")</f>
        <v>channel 1</v>
      </c>
    </row>
    <row r="16">
      <c r="A16" s="90"/>
      <c r="B16" s="61" t="s">
        <v>3460</v>
      </c>
      <c r="C16" s="45" t="s">
        <v>3466</v>
      </c>
      <c r="D16" s="129" t="s">
        <v>3461</v>
      </c>
      <c r="E16" s="11" t="str">
        <f>HYPERLINK("https://youtu.be/hSl6eGPJKfo?t=6141","channel 2")</f>
        <v>channel 2</v>
      </c>
    </row>
    <row r="17">
      <c r="A17" s="90"/>
      <c r="B17" s="62" t="s">
        <v>3462</v>
      </c>
      <c r="C17" s="45" t="s">
        <v>245</v>
      </c>
      <c r="D17" s="62" t="s">
        <v>3463</v>
      </c>
      <c r="E17" s="11" t="str">
        <f>HYPERLINK("https://youtu.be/WFZdQ1pV2sw?t=6678","channel 1")</f>
        <v>channel 1</v>
      </c>
    </row>
    <row r="18">
      <c r="A18" s="90"/>
      <c r="B18" s="62" t="s">
        <v>3459</v>
      </c>
      <c r="C18" s="57" t="s">
        <v>209</v>
      </c>
      <c r="D18" s="129" t="s">
        <v>3461</v>
      </c>
      <c r="E18" s="11" t="str">
        <f>HYPERLINK("https://youtu.be/hSl6eGPJKfo?t=6996","channel 2")</f>
        <v>channel 2</v>
      </c>
    </row>
    <row r="19">
      <c r="A19" s="90"/>
      <c r="B19" s="61" t="s">
        <v>3460</v>
      </c>
      <c r="C19" s="45" t="s">
        <v>3467</v>
      </c>
      <c r="D19" s="62" t="s">
        <v>3463</v>
      </c>
      <c r="E19" s="11" t="str">
        <f>HYPERLINK("https://youtu.be/WFZdQ1pV2sw?t=7564","channel 1")</f>
        <v>channel 1</v>
      </c>
    </row>
    <row r="20">
      <c r="A20" s="90"/>
      <c r="B20" s="62" t="s">
        <v>3459</v>
      </c>
      <c r="C20" s="57" t="s">
        <v>271</v>
      </c>
      <c r="D20" s="62" t="s">
        <v>3462</v>
      </c>
      <c r="E20" s="11" t="str">
        <f>HYPERLINK("https://youtu.be/hSl6eGPJKfo?t=7859","channel 2")</f>
        <v>channel 2</v>
      </c>
    </row>
    <row r="21">
      <c r="A21" s="90"/>
      <c r="B21" s="129" t="s">
        <v>3461</v>
      </c>
      <c r="C21" s="45" t="s">
        <v>219</v>
      </c>
      <c r="D21" s="62" t="s">
        <v>3463</v>
      </c>
      <c r="E21" s="11" t="str">
        <f>HYPERLINK("https://youtu.be/WFZdQ1pV2sw?t=8493","channel 1")</f>
        <v>channel 1</v>
      </c>
    </row>
    <row r="22">
      <c r="A22" s="90"/>
      <c r="B22" s="61" t="s">
        <v>3460</v>
      </c>
      <c r="C22" s="45" t="s">
        <v>233</v>
      </c>
      <c r="D22" s="62" t="s">
        <v>3462</v>
      </c>
      <c r="E22" s="11" t="str">
        <f>HYPERLINK("https://youtu.be/hSl6eGPJKfo?t=8750","channel 2")</f>
        <v>channel 2</v>
      </c>
    </row>
    <row r="23">
      <c r="A23" s="90"/>
      <c r="B23" s="96" t="s">
        <v>2410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60</v>
      </c>
      <c r="C25" s="76" t="s">
        <v>41</v>
      </c>
      <c r="D25" s="61" t="s">
        <v>3340</v>
      </c>
      <c r="E25" s="11" t="str">
        <f>HYPERLINK("https://youtu.be/qLbulwwYh1E","channel 1")</f>
        <v>channel 1</v>
      </c>
    </row>
    <row r="26">
      <c r="A26" s="90"/>
      <c r="B26" s="62" t="s">
        <v>3468</v>
      </c>
      <c r="C26" s="76" t="s">
        <v>194</v>
      </c>
      <c r="D26" s="62" t="s">
        <v>3275</v>
      </c>
      <c r="E26" s="11" t="str">
        <f>HYPERLINK("https://youtu.be/Zv9ZDTCyHcI?t=186","channel 2")</f>
        <v>channel 2</v>
      </c>
    </row>
    <row r="27">
      <c r="A27" s="90"/>
      <c r="B27" s="62" t="s">
        <v>3469</v>
      </c>
      <c r="C27" s="76" t="s">
        <v>525</v>
      </c>
      <c r="D27" s="62" t="s">
        <v>60</v>
      </c>
      <c r="E27" s="11" t="str">
        <f>HYPERLINK("https://youtu.be/qLbulwwYh1E?t=1014","channel 1")</f>
        <v>channel 1</v>
      </c>
    </row>
    <row r="28">
      <c r="A28" s="90"/>
      <c r="B28" s="62" t="s">
        <v>3468</v>
      </c>
      <c r="C28" s="76" t="s">
        <v>43</v>
      </c>
      <c r="D28" s="61" t="s">
        <v>3340</v>
      </c>
      <c r="E28" s="11" t="str">
        <f>HYPERLINK("https://youtu.be/Zv9ZDTCyHcI?t=1146","channel 2")</f>
        <v>channel 2</v>
      </c>
    </row>
    <row r="29">
      <c r="A29" s="90"/>
      <c r="B29" s="62" t="s">
        <v>3469</v>
      </c>
      <c r="C29" s="76" t="s">
        <v>304</v>
      </c>
      <c r="D29" s="62" t="s">
        <v>3275</v>
      </c>
      <c r="E29" s="11" t="str">
        <f>HYPERLINK("https://youtu.be/qLbulwwYh1E?t=1968","channel 1")</f>
        <v>channel 1</v>
      </c>
    </row>
    <row r="30">
      <c r="A30" s="90"/>
      <c r="B30" s="62" t="s">
        <v>3468</v>
      </c>
      <c r="C30" s="76" t="s">
        <v>256</v>
      </c>
      <c r="D30" s="62" t="s">
        <v>60</v>
      </c>
      <c r="E30" s="11" t="str">
        <f>HYPERLINK("https://youtu.be/Zv9ZDTCyHcI?t=2077","channel 2")</f>
        <v>channel 2</v>
      </c>
    </row>
    <row r="31">
      <c r="A31" s="90"/>
      <c r="B31" s="62" t="s">
        <v>3469</v>
      </c>
      <c r="C31" s="76" t="s">
        <v>651</v>
      </c>
      <c r="D31" s="61" t="s">
        <v>3340</v>
      </c>
      <c r="E31" s="11" t="str">
        <f>HYPERLINK("https://youtu.be/qLbulwwYh1E?t=2937","channel 1")</f>
        <v>channel 1</v>
      </c>
    </row>
    <row r="32">
      <c r="A32" s="90"/>
      <c r="B32" s="62" t="s">
        <v>3275</v>
      </c>
      <c r="C32" s="76" t="s">
        <v>21</v>
      </c>
      <c r="D32" s="62" t="s">
        <v>60</v>
      </c>
      <c r="E32" s="11" t="str">
        <f>HYPERLINK("https://youtu.be/Zv9ZDTCyHcI?t=3027","channel 2")</f>
        <v>channel 2</v>
      </c>
    </row>
    <row r="33">
      <c r="A33" s="90"/>
      <c r="B33" s="62" t="s">
        <v>3469</v>
      </c>
      <c r="C33" s="76" t="s">
        <v>233</v>
      </c>
      <c r="D33" s="62" t="s">
        <v>3468</v>
      </c>
      <c r="E33" s="11" t="str">
        <f>HYPERLINK("https://youtu.be/qLbulwwYh1E?t=3853","channel 1")</f>
        <v>channel 1</v>
      </c>
    </row>
    <row r="34">
      <c r="A34" s="90"/>
      <c r="B34" s="62" t="s">
        <v>3275</v>
      </c>
      <c r="C34" s="76" t="s">
        <v>193</v>
      </c>
      <c r="D34" s="61" t="s">
        <v>3340</v>
      </c>
      <c r="E34" s="11" t="str">
        <f>HYPERLINK("https://youtu.be/Zv9ZDTCyHcI?t=4011","channel 2")</f>
        <v>channel 2</v>
      </c>
    </row>
    <row r="35">
      <c r="A35" s="90"/>
      <c r="B35" s="61" t="s">
        <v>3340</v>
      </c>
      <c r="C35" s="76" t="s">
        <v>17</v>
      </c>
      <c r="D35" s="62" t="s">
        <v>60</v>
      </c>
      <c r="E35" s="11" t="str">
        <f>HYPERLINK("https://youtu.be/qLbulwwYh1E?t=4830","channel 1")</f>
        <v>channel 1</v>
      </c>
    </row>
    <row r="36">
      <c r="A36" s="90"/>
      <c r="B36" s="62" t="s">
        <v>3275</v>
      </c>
      <c r="C36" s="76" t="s">
        <v>157</v>
      </c>
      <c r="D36" s="62" t="s">
        <v>3468</v>
      </c>
      <c r="E36" s="11" t="str">
        <f>HYPERLINK("https://youtu.be/Zv9ZDTCyHcI?t=5049","channel 2")</f>
        <v>channel 2</v>
      </c>
    </row>
    <row r="37">
      <c r="A37" s="90"/>
      <c r="B37" s="62" t="s">
        <v>60</v>
      </c>
      <c r="C37" s="76" t="s">
        <v>195</v>
      </c>
      <c r="D37" s="62" t="s">
        <v>3469</v>
      </c>
      <c r="E37" s="11" t="str">
        <f>HYPERLINK("https://youtu.be/qLbulwwYh1E?t=5710","channel 1")</f>
        <v>channel 1</v>
      </c>
    </row>
    <row r="38">
      <c r="A38" s="90"/>
      <c r="B38" s="61" t="s">
        <v>3340</v>
      </c>
      <c r="C38" s="79" t="s">
        <v>208</v>
      </c>
      <c r="D38" s="62" t="s">
        <v>3468</v>
      </c>
      <c r="E38" s="11" t="str">
        <f>HYPERLINK("https://youtu.be/Zv9ZDTCyHcI?t=5952","channel 2")</f>
        <v>channel 2</v>
      </c>
    </row>
    <row r="39">
      <c r="A39" s="90"/>
      <c r="B39" s="62" t="s">
        <v>3275</v>
      </c>
      <c r="C39" s="79" t="s">
        <v>41</v>
      </c>
      <c r="D39" s="62" t="s">
        <v>3469</v>
      </c>
      <c r="E39" s="11" t="str">
        <f>HYPERLINK("https://youtu.be/qLbulwwYh1E?t=6602","channel 1")</f>
        <v>channel 1</v>
      </c>
    </row>
    <row r="40">
      <c r="A40" s="90"/>
      <c r="B40" s="62" t="s">
        <v>60</v>
      </c>
      <c r="C40" s="76" t="s">
        <v>271</v>
      </c>
      <c r="D40" s="62" t="s">
        <v>3468</v>
      </c>
      <c r="E40" s="11" t="str">
        <f>HYPERLINK("https://youtu.be/Zv9ZDTCyHcI?t=6842","channel 2")</f>
        <v>channel 2</v>
      </c>
    </row>
    <row r="41">
      <c r="A41" s="90"/>
      <c r="B41" s="61" t="s">
        <v>3340</v>
      </c>
      <c r="C41" s="79" t="s">
        <v>271</v>
      </c>
      <c r="D41" s="62" t="s">
        <v>3469</v>
      </c>
      <c r="E41" s="11" t="str">
        <f>HYPERLINK("https://youtu.be/qLbulwwYh1E?t=7511","channel 1")</f>
        <v>channel 1</v>
      </c>
    </row>
    <row r="42">
      <c r="A42" s="90"/>
      <c r="B42" s="62" t="s">
        <v>60</v>
      </c>
      <c r="C42" s="76" t="s">
        <v>344</v>
      </c>
      <c r="D42" s="62" t="s">
        <v>3275</v>
      </c>
      <c r="E42" s="11" t="str">
        <f>HYPERLINK("https://youtu.be/Zv9ZDTCyHcI?t=7737","channel 2")</f>
        <v>channel 2</v>
      </c>
    </row>
    <row r="43">
      <c r="A43" s="90"/>
      <c r="B43" s="62" t="s">
        <v>3468</v>
      </c>
      <c r="C43" s="79" t="s">
        <v>38</v>
      </c>
      <c r="D43" s="62" t="s">
        <v>3469</v>
      </c>
      <c r="E43" s="11" t="str">
        <f>HYPERLINK("https://youtu.be/qLbulwwYh1E?t=8403","channel 1")</f>
        <v>channel 1</v>
      </c>
    </row>
    <row r="44">
      <c r="A44" s="91"/>
      <c r="B44" s="61" t="s">
        <v>3340</v>
      </c>
      <c r="C44" s="79" t="s">
        <v>324</v>
      </c>
      <c r="D44" s="62" t="s">
        <v>3275</v>
      </c>
      <c r="E44" s="11" t="str">
        <f>HYPERLINK("https://youtu.be/Zv9ZDTCyHcI?t=8659","channel 2")</f>
        <v>channel 2</v>
      </c>
    </row>
    <row r="45">
      <c r="B45" s="96" t="s">
        <v>3261</v>
      </c>
      <c r="C45" s="2"/>
      <c r="D45" s="3"/>
      <c r="E45" s="4"/>
    </row>
    <row r="46">
      <c r="B46" s="21" t="s">
        <v>2</v>
      </c>
      <c r="C46" s="21" t="s">
        <v>3</v>
      </c>
      <c r="D46" s="21" t="s">
        <v>4</v>
      </c>
      <c r="E46" s="6" t="s">
        <v>5</v>
      </c>
    </row>
    <row r="47">
      <c r="B47" s="61" t="s">
        <v>3188</v>
      </c>
      <c r="C47" s="94" t="s">
        <v>265</v>
      </c>
      <c r="D47" s="61" t="s">
        <v>2738</v>
      </c>
      <c r="E47" s="11" t="str">
        <f>HYPERLINK("https://youtu.be/8t-gYHUQIXQ","channel 3")</f>
        <v>channel 3</v>
      </c>
    </row>
    <row r="48">
      <c r="B48" s="61" t="s">
        <v>1904</v>
      </c>
      <c r="C48" s="94" t="s">
        <v>155</v>
      </c>
      <c r="D48" s="61" t="s">
        <v>2500</v>
      </c>
      <c r="E48" s="11" t="str">
        <f>HYPERLINK("https://youtu.be/74sn_lafux0","channel 4")</f>
        <v>channel 4</v>
      </c>
    </row>
    <row r="49">
      <c r="B49" s="61" t="s">
        <v>2199</v>
      </c>
      <c r="C49" s="94" t="s">
        <v>357</v>
      </c>
      <c r="D49" s="61" t="s">
        <v>3188</v>
      </c>
      <c r="E49" s="11" t="str">
        <f>HYPERLINK("https://youtu.be/8t-gYHUQIXQ?t=982","channel 3")</f>
        <v>channel 3</v>
      </c>
    </row>
    <row r="50">
      <c r="B50" s="61" t="s">
        <v>1904</v>
      </c>
      <c r="C50" s="94" t="s">
        <v>7</v>
      </c>
      <c r="D50" s="61" t="s">
        <v>2738</v>
      </c>
      <c r="E50" s="11" t="str">
        <f>HYPERLINK("https://youtu.be/74sn_lafux0?t=902","channel 4")</f>
        <v>channel 4</v>
      </c>
    </row>
    <row r="51">
      <c r="B51" s="61" t="s">
        <v>2199</v>
      </c>
      <c r="C51" s="94" t="s">
        <v>7</v>
      </c>
      <c r="D51" s="61" t="s">
        <v>2500</v>
      </c>
      <c r="E51" s="11" t="str">
        <f>HYPERLINK("https://youtu.be/8t-gYHUQIXQ?t=1929","channel 3")</f>
        <v>channel 3</v>
      </c>
    </row>
    <row r="52">
      <c r="B52" s="114" t="s">
        <v>1904</v>
      </c>
      <c r="C52" s="94" t="s">
        <v>696</v>
      </c>
      <c r="D52" s="114" t="s">
        <v>3188</v>
      </c>
      <c r="E52" s="11" t="str">
        <f>HYPERLINK("https://youtu.be/74sn_lafux0?t=1883","channel 4")</f>
        <v>channel 4</v>
      </c>
    </row>
    <row r="53">
      <c r="B53" s="61" t="s">
        <v>2199</v>
      </c>
      <c r="C53" s="94" t="s">
        <v>911</v>
      </c>
      <c r="D53" s="61" t="s">
        <v>2738</v>
      </c>
      <c r="E53" s="11" t="str">
        <f>HYPERLINK("https://youtu.be/8t-gYHUQIXQ?t=2887","channel 3")</f>
        <v>channel 3</v>
      </c>
    </row>
    <row r="54">
      <c r="B54" s="114" t="s">
        <v>2500</v>
      </c>
      <c r="C54" s="94" t="s">
        <v>324</v>
      </c>
      <c r="D54" s="114" t="s">
        <v>3188</v>
      </c>
      <c r="E54" s="11" t="str">
        <f>HYPERLINK("https://youtu.be/74sn_lafux0?t=2793","channel 4")</f>
        <v>channel 4</v>
      </c>
    </row>
    <row r="55">
      <c r="B55" s="61" t="s">
        <v>2199</v>
      </c>
      <c r="C55" s="94" t="s">
        <v>336</v>
      </c>
      <c r="D55" s="61" t="s">
        <v>1904</v>
      </c>
      <c r="E55" s="11" t="str">
        <f>HYPERLINK("https://youtu.be/8t-gYHUQIXQ?t=3846","channel 3")</f>
        <v>channel 3</v>
      </c>
    </row>
    <row r="56">
      <c r="B56" s="61" t="s">
        <v>2500</v>
      </c>
      <c r="C56" s="94" t="s">
        <v>433</v>
      </c>
      <c r="D56" s="61" t="s">
        <v>2738</v>
      </c>
      <c r="E56" s="11" t="str">
        <f>HYPERLINK("https://youtu.be/74sn_lafux0?t=3651","channel 4")</f>
        <v>channel 4</v>
      </c>
    </row>
    <row r="57">
      <c r="B57" s="61" t="s">
        <v>2738</v>
      </c>
      <c r="C57" s="94" t="s">
        <v>173</v>
      </c>
      <c r="D57" s="61" t="s">
        <v>3188</v>
      </c>
      <c r="E57" s="11" t="str">
        <f>HYPERLINK("https://youtu.be/8t-gYHUQIXQ?t=4785","channel 3")</f>
        <v>channel 3</v>
      </c>
    </row>
    <row r="58">
      <c r="B58" s="114" t="s">
        <v>2500</v>
      </c>
      <c r="C58" s="94" t="s">
        <v>825</v>
      </c>
      <c r="D58" s="114" t="s">
        <v>1904</v>
      </c>
      <c r="E58" s="11" t="str">
        <f>HYPERLINK("https://youtu.be/74sn_lafux0?t=4591","channel 4")</f>
        <v>channel 4</v>
      </c>
    </row>
    <row r="59">
      <c r="B59" s="61" t="s">
        <v>3188</v>
      </c>
      <c r="C59" s="94" t="s">
        <v>696</v>
      </c>
      <c r="D59" s="61" t="s">
        <v>2199</v>
      </c>
      <c r="E59" s="11" t="str">
        <f>HYPERLINK("https://youtu.be/8t-gYHUQIXQ?t=5697","channel 3")</f>
        <v>channel 3</v>
      </c>
    </row>
    <row r="60">
      <c r="B60" s="61" t="s">
        <v>2738</v>
      </c>
      <c r="C60" s="94" t="s">
        <v>159</v>
      </c>
      <c r="D60" s="61" t="s">
        <v>1904</v>
      </c>
      <c r="E60" s="11" t="str">
        <f>HYPERLINK("https://youtu.be/74sn_lafux0?t=5604","channel 4")</f>
        <v>channel 4</v>
      </c>
    </row>
    <row r="61">
      <c r="B61" s="61" t="s">
        <v>2500</v>
      </c>
      <c r="C61" s="94" t="s">
        <v>573</v>
      </c>
      <c r="D61" s="61" t="s">
        <v>2199</v>
      </c>
      <c r="E61" s="11" t="str">
        <f>HYPERLINK("https://youtu.be/8t-gYHUQIXQ?t=6641","channel 3")</f>
        <v>channel 3</v>
      </c>
    </row>
    <row r="62">
      <c r="B62" s="61" t="s">
        <v>3188</v>
      </c>
      <c r="C62" s="94" t="s">
        <v>177</v>
      </c>
      <c r="D62" s="61" t="s">
        <v>1904</v>
      </c>
      <c r="E62" s="11" t="str">
        <f>HYPERLINK("https://youtu.be/74sn_lafux0?t=6507","channel 4")</f>
        <v>channel 4</v>
      </c>
    </row>
    <row r="63">
      <c r="B63" s="61" t="s">
        <v>2738</v>
      </c>
      <c r="C63" s="94" t="s">
        <v>250</v>
      </c>
      <c r="D63" s="61" t="s">
        <v>2199</v>
      </c>
      <c r="E63" s="11" t="str">
        <f>HYPERLINK("https://youtu.be/8t-gYHUQIXQ?t=7599","channel 3")</f>
        <v>channel 3</v>
      </c>
    </row>
    <row r="64">
      <c r="B64" s="61" t="s">
        <v>3188</v>
      </c>
      <c r="C64" s="94" t="s">
        <v>193</v>
      </c>
      <c r="D64" s="61" t="s">
        <v>2500</v>
      </c>
      <c r="E64" s="11" t="str">
        <f>HYPERLINK("https://youtu.be/74sn_lafux0?t=7465","channel 4")</f>
        <v>channel 4</v>
      </c>
    </row>
    <row r="65">
      <c r="B65" s="61" t="s">
        <v>1904</v>
      </c>
      <c r="C65" s="94" t="s">
        <v>1108</v>
      </c>
      <c r="D65" s="61" t="s">
        <v>2199</v>
      </c>
      <c r="E65" s="11" t="str">
        <f>HYPERLINK("https://youtu.be/8t-gYHUQIXQ?t=8544","channel 3")</f>
        <v>channel 3</v>
      </c>
    </row>
    <row r="66">
      <c r="B66" s="61" t="s">
        <v>2738</v>
      </c>
      <c r="C66" s="94" t="s">
        <v>2793</v>
      </c>
      <c r="D66" s="61" t="s">
        <v>2500</v>
      </c>
      <c r="E66" s="11" t="str">
        <f>HYPERLINK("https://youtu.be/74sn_lafux0?t=8402","channel 4")</f>
        <v>channel 4</v>
      </c>
    </row>
    <row r="67">
      <c r="B67" s="96" t="s">
        <v>2741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6" t="s">
        <v>5</v>
      </c>
    </row>
    <row r="69">
      <c r="B69" s="61" t="s">
        <v>3419</v>
      </c>
      <c r="C69" s="94" t="s">
        <v>166</v>
      </c>
      <c r="D69" s="61" t="s">
        <v>1956</v>
      </c>
      <c r="E69" s="11" t="str">
        <f>HYPERLINK("https://youtu.be/2KC1OyCfgLw","channel 3")</f>
        <v>channel 3</v>
      </c>
    </row>
    <row r="70">
      <c r="B70" s="61" t="s">
        <v>2851</v>
      </c>
      <c r="C70" s="94" t="s">
        <v>18</v>
      </c>
      <c r="D70" s="61" t="s">
        <v>2061</v>
      </c>
      <c r="E70" s="11" t="str">
        <f>HYPERLINK("https://youtu.be/1FLIiEj6N90","channel 4")</f>
        <v>channel 4</v>
      </c>
    </row>
    <row r="71">
      <c r="B71" s="61" t="s">
        <v>3470</v>
      </c>
      <c r="C71" s="94" t="s">
        <v>177</v>
      </c>
      <c r="D71" s="61" t="s">
        <v>3419</v>
      </c>
      <c r="E71" s="11" t="str">
        <f>HYPERLINK("https://youtu.be/2KC1OyCfgLw?t=968","channel 3")</f>
        <v>channel 3</v>
      </c>
    </row>
    <row r="72">
      <c r="B72" s="61" t="s">
        <v>2851</v>
      </c>
      <c r="C72" s="94" t="s">
        <v>251</v>
      </c>
      <c r="D72" s="61" t="s">
        <v>1956</v>
      </c>
      <c r="E72" s="11" t="str">
        <f>HYPERLINK("https://youtu.be/1FLIiEj6N90?t=1007","channel 4")</f>
        <v>channel 4</v>
      </c>
    </row>
    <row r="73">
      <c r="B73" s="61" t="s">
        <v>3470</v>
      </c>
      <c r="C73" s="94" t="s">
        <v>161</v>
      </c>
      <c r="D73" s="61" t="s">
        <v>2061</v>
      </c>
      <c r="E73" s="11" t="str">
        <f>HYPERLINK("https://youtu.be/2KC1OyCfgLw?t=1917","channel 3")</f>
        <v>channel 3</v>
      </c>
    </row>
    <row r="74">
      <c r="B74" s="114" t="s">
        <v>2851</v>
      </c>
      <c r="C74" s="81" t="s">
        <v>668</v>
      </c>
      <c r="D74" s="114" t="s">
        <v>3419</v>
      </c>
      <c r="E74" s="125" t="s">
        <v>33</v>
      </c>
    </row>
    <row r="75">
      <c r="B75" s="61" t="s">
        <v>3470</v>
      </c>
      <c r="C75" s="94" t="s">
        <v>176</v>
      </c>
      <c r="D75" s="61" t="s">
        <v>1956</v>
      </c>
      <c r="E75" s="11" t="str">
        <f>HYPERLINK("https://youtu.be/2KC1OyCfgLw?t=2927","channel 3")</f>
        <v>channel 3</v>
      </c>
    </row>
    <row r="76">
      <c r="B76" s="114" t="s">
        <v>2061</v>
      </c>
      <c r="C76" s="94" t="s">
        <v>163</v>
      </c>
      <c r="D76" s="114" t="s">
        <v>3419</v>
      </c>
      <c r="E76" s="11" t="str">
        <f>HYPERLINK("https://youtu.be/1FLIiEj6N90?t=2977","channel 4")</f>
        <v>channel 4</v>
      </c>
    </row>
    <row r="77">
      <c r="B77" s="61" t="s">
        <v>3470</v>
      </c>
      <c r="C77" s="81" t="s">
        <v>668</v>
      </c>
      <c r="D77" s="61" t="s">
        <v>2851</v>
      </c>
      <c r="E77" s="125" t="s">
        <v>29</v>
      </c>
    </row>
    <row r="78">
      <c r="B78" s="61" t="s">
        <v>2061</v>
      </c>
      <c r="C78" s="81" t="s">
        <v>668</v>
      </c>
      <c r="D78" s="61" t="s">
        <v>1956</v>
      </c>
      <c r="E78" s="125" t="s">
        <v>33</v>
      </c>
    </row>
    <row r="79">
      <c r="B79" s="61" t="s">
        <v>1956</v>
      </c>
      <c r="C79" s="81" t="s">
        <v>668</v>
      </c>
      <c r="D79" s="61" t="s">
        <v>3419</v>
      </c>
      <c r="E79" s="125" t="s">
        <v>29</v>
      </c>
    </row>
    <row r="80">
      <c r="B80" s="114" t="s">
        <v>2061</v>
      </c>
      <c r="C80" s="81" t="s">
        <v>668</v>
      </c>
      <c r="D80" s="114" t="s">
        <v>2851</v>
      </c>
      <c r="E80" s="125" t="s">
        <v>33</v>
      </c>
    </row>
    <row r="81">
      <c r="B81" s="61" t="s">
        <v>3419</v>
      </c>
      <c r="C81" s="81" t="s">
        <v>668</v>
      </c>
      <c r="D81" s="61" t="s">
        <v>3470</v>
      </c>
      <c r="E81" s="125" t="s">
        <v>29</v>
      </c>
    </row>
    <row r="82">
      <c r="B82" s="61" t="s">
        <v>1956</v>
      </c>
      <c r="C82" s="81" t="s">
        <v>668</v>
      </c>
      <c r="D82" s="61" t="s">
        <v>2851</v>
      </c>
      <c r="E82" s="125" t="s">
        <v>33</v>
      </c>
    </row>
    <row r="83">
      <c r="B83" s="61" t="s">
        <v>2061</v>
      </c>
      <c r="C83" s="94" t="s">
        <v>16</v>
      </c>
      <c r="D83" s="61" t="s">
        <v>3470</v>
      </c>
      <c r="E83" s="11" t="str">
        <f>HYPERLINK("https://youtu.be/2KC1OyCfgLw?t=6615","channel 3")</f>
        <v>channel 3</v>
      </c>
    </row>
    <row r="84">
      <c r="B84" s="61" t="s">
        <v>3419</v>
      </c>
      <c r="C84" s="81" t="s">
        <v>668</v>
      </c>
      <c r="D84" s="61" t="s">
        <v>2851</v>
      </c>
      <c r="E84" s="125" t="s">
        <v>33</v>
      </c>
    </row>
    <row r="85">
      <c r="B85" s="61" t="s">
        <v>1956</v>
      </c>
      <c r="C85" s="94" t="s">
        <v>271</v>
      </c>
      <c r="D85" s="61" t="s">
        <v>3470</v>
      </c>
      <c r="E85" s="11" t="str">
        <f>HYPERLINK("https://youtu.be/2KC1OyCfgLw?t=7536","channel 3")</f>
        <v>channel 3</v>
      </c>
    </row>
    <row r="86">
      <c r="B86" s="61" t="s">
        <v>3419</v>
      </c>
      <c r="C86" s="94" t="s">
        <v>19</v>
      </c>
      <c r="D86" s="61" t="s">
        <v>2061</v>
      </c>
      <c r="E86" s="11" t="str">
        <f>HYPERLINK("https://youtu.be/1FLIiEj6N90?t=7650","channel 4")</f>
        <v>channel 4</v>
      </c>
    </row>
    <row r="87">
      <c r="B87" s="61" t="s">
        <v>2851</v>
      </c>
      <c r="C87" s="81" t="s">
        <v>668</v>
      </c>
      <c r="D87" s="61" t="s">
        <v>3470</v>
      </c>
      <c r="E87" s="125" t="s">
        <v>29</v>
      </c>
    </row>
    <row r="88">
      <c r="B88" s="61" t="s">
        <v>1956</v>
      </c>
      <c r="C88" s="94" t="s">
        <v>7</v>
      </c>
      <c r="D88" s="61" t="s">
        <v>2061</v>
      </c>
      <c r="E88" s="11" t="str">
        <f>HYPERLINK("https://youtu.be/1FLIiEj6N90?t=8580","channel 4")</f>
        <v>channel 4</v>
      </c>
    </row>
    <row r="89">
      <c r="B89" s="96" t="s">
        <v>1544</v>
      </c>
      <c r="C89" s="2"/>
      <c r="D89" s="3"/>
      <c r="E89" s="53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30" t="s">
        <v>3471</v>
      </c>
      <c r="C91" s="57" t="s">
        <v>189</v>
      </c>
      <c r="D91" s="61" t="s">
        <v>435</v>
      </c>
      <c r="E91" s="11" t="str">
        <f>HYPERLINK("https://youtu.be/uTjzdNJOCYY","channel 1")</f>
        <v>channel 1</v>
      </c>
    </row>
    <row r="92">
      <c r="B92" s="62" t="s">
        <v>3268</v>
      </c>
      <c r="C92" s="57" t="s">
        <v>222</v>
      </c>
      <c r="D92" s="61" t="s">
        <v>3472</v>
      </c>
      <c r="E92" s="11" t="str">
        <f>HYPERLINK("https://youtu.be/0gdpipYHry8","channel 2")</f>
        <v>channel 2</v>
      </c>
    </row>
    <row r="93">
      <c r="B93" s="62" t="s">
        <v>3473</v>
      </c>
      <c r="C93" s="57" t="s">
        <v>210</v>
      </c>
      <c r="D93" s="62" t="s">
        <v>3471</v>
      </c>
      <c r="E93" s="11" t="str">
        <f>HYPERLINK("https://youtu.be/uTjzdNJOCYY?t=1054","channel 1")</f>
        <v>channel 1</v>
      </c>
    </row>
    <row r="94">
      <c r="B94" s="62" t="s">
        <v>3268</v>
      </c>
      <c r="C94" s="57" t="s">
        <v>195</v>
      </c>
      <c r="D94" s="61" t="s">
        <v>435</v>
      </c>
      <c r="E94" s="11" t="str">
        <f>HYPERLINK("https://youtu.be/0gdpipYHry8?t=906","channel 2")</f>
        <v>channel 2</v>
      </c>
    </row>
    <row r="95">
      <c r="B95" s="62" t="s">
        <v>3473</v>
      </c>
      <c r="C95" s="57" t="s">
        <v>1153</v>
      </c>
      <c r="D95" s="61" t="s">
        <v>3472</v>
      </c>
      <c r="E95" s="11" t="str">
        <f>HYPERLINK("https://youtu.be/uTjzdNJOCYY?t=2000","channel 1")</f>
        <v>channel 1</v>
      </c>
    </row>
    <row r="96">
      <c r="B96" s="62" t="s">
        <v>3268</v>
      </c>
      <c r="C96" s="57" t="s">
        <v>218</v>
      </c>
      <c r="D96" s="62" t="s">
        <v>3471</v>
      </c>
      <c r="E96" s="11" t="str">
        <f>HYPERLINK("https://youtu.be/0gdpipYHry8?t=1857","channel 2")</f>
        <v>channel 2</v>
      </c>
    </row>
    <row r="97">
      <c r="B97" s="62" t="s">
        <v>3473</v>
      </c>
      <c r="C97" s="57" t="s">
        <v>507</v>
      </c>
      <c r="D97" s="61" t="s">
        <v>435</v>
      </c>
      <c r="E97" s="11" t="str">
        <f>HYPERLINK("https://youtu.be/uTjzdNJOCYY?t=2931","channel 1")</f>
        <v>channel 1</v>
      </c>
    </row>
    <row r="98">
      <c r="B98" s="61" t="s">
        <v>3472</v>
      </c>
      <c r="C98" s="57" t="s">
        <v>354</v>
      </c>
      <c r="D98" s="62" t="s">
        <v>3471</v>
      </c>
      <c r="E98" s="11" t="str">
        <f>HYPERLINK("https://youtu.be/0gdpipYHry8?t=2782","channel 2")</f>
        <v>channel 2</v>
      </c>
    </row>
    <row r="99">
      <c r="B99" s="62" t="s">
        <v>3473</v>
      </c>
      <c r="C99" s="57" t="s">
        <v>14</v>
      </c>
      <c r="D99" s="62" t="s">
        <v>3268</v>
      </c>
      <c r="E99" s="11" t="str">
        <f>HYPERLINK("https://youtu.be/uTjzdNJOCYY?t=3920","channel 1")</f>
        <v>channel 1</v>
      </c>
    </row>
    <row r="100">
      <c r="B100" s="61" t="s">
        <v>3472</v>
      </c>
      <c r="C100" s="57" t="s">
        <v>184</v>
      </c>
      <c r="D100" s="61" t="s">
        <v>435</v>
      </c>
      <c r="E100" s="11" t="str">
        <f>HYPERLINK("https://youtu.be/0gdpipYHry8?t=3715","channel 2")</f>
        <v>channel 2</v>
      </c>
    </row>
    <row r="101">
      <c r="B101" s="61" t="s">
        <v>435</v>
      </c>
      <c r="C101" s="57" t="s">
        <v>351</v>
      </c>
      <c r="D101" s="62" t="s">
        <v>3471</v>
      </c>
      <c r="E101" s="11" t="str">
        <f>HYPERLINK("https://youtu.be/uTjzdNJOCYY?t=4909","channel 1")</f>
        <v>channel 1</v>
      </c>
    </row>
    <row r="102">
      <c r="B102" s="61" t="s">
        <v>3472</v>
      </c>
      <c r="C102" s="57" t="s">
        <v>43</v>
      </c>
      <c r="D102" s="62" t="s">
        <v>3268</v>
      </c>
      <c r="E102" s="11" t="str">
        <f>HYPERLINK("https://youtu.be/0gdpipYHry8?t=4737","channel 2")</f>
        <v>channel 2</v>
      </c>
    </row>
    <row r="103">
      <c r="B103" s="62" t="s">
        <v>3471</v>
      </c>
      <c r="C103" s="45" t="s">
        <v>158</v>
      </c>
      <c r="D103" s="62" t="s">
        <v>3473</v>
      </c>
      <c r="E103" s="11" t="str">
        <f>HYPERLINK("https://youtu.be/uTjzdNJOCYY?t=5924","channel 1")</f>
        <v>channel 1</v>
      </c>
    </row>
    <row r="104">
      <c r="B104" s="61" t="s">
        <v>435</v>
      </c>
      <c r="C104" s="45" t="s">
        <v>248</v>
      </c>
      <c r="D104" s="62" t="s">
        <v>3268</v>
      </c>
      <c r="E104" s="11" t="str">
        <f>HYPERLINK("https://youtu.be/0gdpipYHry8?t=5644","channel 2")</f>
        <v>channel 2</v>
      </c>
    </row>
    <row r="105">
      <c r="B105" s="61" t="s">
        <v>3472</v>
      </c>
      <c r="C105" s="131" t="s">
        <v>668</v>
      </c>
      <c r="D105" s="62" t="s">
        <v>3473</v>
      </c>
      <c r="E105" s="122" t="s">
        <v>9</v>
      </c>
    </row>
    <row r="106">
      <c r="B106" s="62" t="s">
        <v>3471</v>
      </c>
      <c r="C106" s="81" t="s">
        <v>668</v>
      </c>
      <c r="D106" s="62" t="s">
        <v>3268</v>
      </c>
      <c r="E106" s="122" t="s">
        <v>13</v>
      </c>
    </row>
    <row r="107">
      <c r="B107" s="61" t="s">
        <v>435</v>
      </c>
      <c r="C107" s="131" t="s">
        <v>668</v>
      </c>
      <c r="D107" s="62" t="s">
        <v>3473</v>
      </c>
      <c r="E107" s="122" t="s">
        <v>9</v>
      </c>
    </row>
    <row r="108">
      <c r="B108" s="62" t="s">
        <v>3471</v>
      </c>
      <c r="C108" s="81" t="s">
        <v>668</v>
      </c>
      <c r="D108" s="61" t="s">
        <v>3472</v>
      </c>
      <c r="E108" s="122" t="s">
        <v>13</v>
      </c>
    </row>
    <row r="109">
      <c r="B109" s="62" t="s">
        <v>3268</v>
      </c>
      <c r="C109" s="131" t="s">
        <v>668</v>
      </c>
      <c r="D109" s="62" t="s">
        <v>3473</v>
      </c>
      <c r="E109" s="122" t="s">
        <v>9</v>
      </c>
    </row>
    <row r="110">
      <c r="B110" s="61" t="s">
        <v>435</v>
      </c>
      <c r="C110" s="132" t="s">
        <v>668</v>
      </c>
      <c r="D110" s="61" t="s">
        <v>3472</v>
      </c>
      <c r="E110" s="122" t="s">
        <v>13</v>
      </c>
    </row>
    <row r="111">
      <c r="B111" s="96" t="s">
        <v>1803</v>
      </c>
      <c r="C111" s="2"/>
      <c r="D111" s="3"/>
      <c r="E111" s="53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62" t="s">
        <v>3474</v>
      </c>
      <c r="C113" s="57" t="s">
        <v>166</v>
      </c>
      <c r="D113" s="61" t="s">
        <v>3475</v>
      </c>
      <c r="E113" s="11" t="str">
        <f>HYPERLINK("https://youtu.be/zQWEt6JK7IQ","channel 1")</f>
        <v>channel 1</v>
      </c>
    </row>
    <row r="114">
      <c r="B114" s="62" t="s">
        <v>755</v>
      </c>
      <c r="C114" s="57" t="s">
        <v>209</v>
      </c>
      <c r="D114" s="61" t="s">
        <v>3443</v>
      </c>
      <c r="E114" s="11" t="str">
        <f>HYPERLINK("https://youtu.be/TRg5-Ok08tg","channel 2")</f>
        <v>channel 2</v>
      </c>
    </row>
    <row r="115">
      <c r="B115" s="62" t="s">
        <v>3476</v>
      </c>
      <c r="C115" s="57" t="s">
        <v>233</v>
      </c>
      <c r="D115" s="62" t="s">
        <v>3474</v>
      </c>
      <c r="E115" s="11" t="str">
        <f>HYPERLINK("https://youtu.be/zQWEt6JK7IQ?t=1605","channel 1")</f>
        <v>channel 1</v>
      </c>
    </row>
    <row r="116">
      <c r="B116" s="62" t="s">
        <v>755</v>
      </c>
      <c r="C116" s="57" t="s">
        <v>196</v>
      </c>
      <c r="D116" s="61" t="s">
        <v>3475</v>
      </c>
      <c r="E116" s="11" t="str">
        <f>HYPERLINK("https://youtu.be/TRg5-Ok08tg?t=832","channel 2")</f>
        <v>channel 2</v>
      </c>
    </row>
    <row r="117">
      <c r="B117" s="62" t="s">
        <v>3476</v>
      </c>
      <c r="C117" s="57" t="s">
        <v>31</v>
      </c>
      <c r="D117" s="61" t="s">
        <v>3443</v>
      </c>
      <c r="E117" s="11" t="str">
        <f>HYPERLINK("https://youtu.be/zQWEt6JK7IQ?t=2620","channel 1")</f>
        <v>channel 1</v>
      </c>
    </row>
    <row r="118">
      <c r="B118" s="62" t="s">
        <v>755</v>
      </c>
      <c r="C118" s="57" t="s">
        <v>158</v>
      </c>
      <c r="D118" s="62" t="s">
        <v>3474</v>
      </c>
      <c r="E118" s="11" t="str">
        <f>HYPERLINK("https://youtu.be/TRg5-Ok08tg?t=1749","channel 2")</f>
        <v>channel 2</v>
      </c>
    </row>
    <row r="119">
      <c r="B119" s="62" t="s">
        <v>3476</v>
      </c>
      <c r="C119" s="57" t="s">
        <v>502</v>
      </c>
      <c r="D119" s="61" t="s">
        <v>3475</v>
      </c>
      <c r="E119" s="11" t="str">
        <f>HYPERLINK("https://youtu.be/zQWEt6JK7IQ?t=3546","channel 1")</f>
        <v>channel 1</v>
      </c>
    </row>
    <row r="120">
      <c r="B120" s="61" t="s">
        <v>3443</v>
      </c>
      <c r="C120" s="57" t="s">
        <v>302</v>
      </c>
      <c r="D120" s="62" t="s">
        <v>3474</v>
      </c>
      <c r="E120" s="11" t="str">
        <f>HYPERLINK("https://youtu.be/TRg5-Ok08tg?t=2698","channel 2")</f>
        <v>channel 2</v>
      </c>
    </row>
    <row r="121">
      <c r="B121" s="62" t="s">
        <v>3476</v>
      </c>
      <c r="C121" s="57" t="s">
        <v>1188</v>
      </c>
      <c r="D121" s="62" t="s">
        <v>755</v>
      </c>
      <c r="E121" s="11" t="str">
        <f>HYPERLINK("https://youtu.be/zQWEt6JK7IQ?t=4427","channel 1")</f>
        <v>channel 1</v>
      </c>
    </row>
    <row r="122">
      <c r="B122" s="61" t="s">
        <v>3443</v>
      </c>
      <c r="C122" s="57" t="s">
        <v>43</v>
      </c>
      <c r="D122" s="61" t="s">
        <v>3475</v>
      </c>
      <c r="E122" s="11" t="str">
        <f>HYPERLINK("https://youtu.be/TRg5-Ok08tg?t=3740","channel 2")</f>
        <v>channel 2</v>
      </c>
    </row>
    <row r="123">
      <c r="B123" s="61" t="s">
        <v>3475</v>
      </c>
      <c r="C123" s="57" t="s">
        <v>181</v>
      </c>
      <c r="D123" s="62" t="s">
        <v>3474</v>
      </c>
      <c r="E123" s="11" t="str">
        <f>HYPERLINK("https://youtu.be/zQWEt6JK7IQ?t=5360","channel 1")</f>
        <v>channel 1</v>
      </c>
    </row>
    <row r="124">
      <c r="B124" s="61" t="s">
        <v>3443</v>
      </c>
      <c r="C124" s="57" t="s">
        <v>20</v>
      </c>
      <c r="D124" s="62" t="s">
        <v>755</v>
      </c>
      <c r="E124" s="11" t="str">
        <f>HYPERLINK("https://youtu.be/TRg5-Ok08tg?t=4605","channel 2")</f>
        <v>channel 2</v>
      </c>
    </row>
    <row r="125">
      <c r="B125" s="62" t="s">
        <v>3474</v>
      </c>
      <c r="C125" s="45" t="s">
        <v>203</v>
      </c>
      <c r="D125" s="62" t="s">
        <v>3476</v>
      </c>
      <c r="E125" s="11" t="str">
        <f>HYPERLINK("https://youtu.be/zQWEt6JK7IQ?t=6323","channel 1")</f>
        <v>channel 1</v>
      </c>
    </row>
    <row r="126">
      <c r="B126" s="61" t="s">
        <v>3475</v>
      </c>
      <c r="C126" s="45" t="s">
        <v>17</v>
      </c>
      <c r="D126" s="62" t="s">
        <v>755</v>
      </c>
      <c r="E126" s="11" t="str">
        <f>HYPERLINK("https://youtu.be/TRg5-Ok08tg?t=5614","channel 2")</f>
        <v>channel 2</v>
      </c>
    </row>
    <row r="127">
      <c r="B127" s="61" t="s">
        <v>3443</v>
      </c>
      <c r="C127" s="45" t="s">
        <v>335</v>
      </c>
      <c r="D127" s="62" t="s">
        <v>3476</v>
      </c>
      <c r="E127" s="11" t="str">
        <f>HYPERLINK("https://youtu.be/zQWEt6JK7IQ?t=7272","channel 1")</f>
        <v>channel 1</v>
      </c>
    </row>
    <row r="128">
      <c r="B128" s="62" t="s">
        <v>3474</v>
      </c>
      <c r="C128" s="45" t="s">
        <v>549</v>
      </c>
      <c r="D128" s="62" t="s">
        <v>755</v>
      </c>
      <c r="E128" s="11" t="str">
        <f>HYPERLINK("https://youtu.be/TRg5-Ok08tg?t=6527","channel 2")</f>
        <v>channel 2</v>
      </c>
    </row>
    <row r="129">
      <c r="B129" s="61" t="s">
        <v>3475</v>
      </c>
      <c r="C129" s="45" t="s">
        <v>196</v>
      </c>
      <c r="D129" s="62" t="s">
        <v>3476</v>
      </c>
      <c r="E129" s="11" t="str">
        <f>HYPERLINK("https://youtu.be/zQWEt6JK7IQ?t=8242","channel 1")</f>
        <v>channel 1</v>
      </c>
    </row>
    <row r="130">
      <c r="B130" s="62" t="s">
        <v>3474</v>
      </c>
      <c r="C130" s="45" t="s">
        <v>220</v>
      </c>
      <c r="D130" s="61" t="s">
        <v>3443</v>
      </c>
      <c r="E130" s="11" t="str">
        <f>HYPERLINK("https://youtu.be/TRg5-Ok08tg?t=7561","channel 2")</f>
        <v>channel 2</v>
      </c>
    </row>
    <row r="131">
      <c r="B131" s="62" t="s">
        <v>755</v>
      </c>
      <c r="C131" s="45" t="s">
        <v>23</v>
      </c>
      <c r="D131" s="62" t="s">
        <v>3476</v>
      </c>
      <c r="E131" s="11" t="str">
        <f>HYPERLINK("https://youtu.be/zQWEt6JK7IQ?t=9228","channel 1")</f>
        <v>channel 1</v>
      </c>
    </row>
    <row r="132">
      <c r="B132" s="61" t="s">
        <v>3475</v>
      </c>
      <c r="C132" s="45" t="s">
        <v>440</v>
      </c>
      <c r="D132" s="61" t="s">
        <v>3443</v>
      </c>
      <c r="E132" s="11" t="str">
        <f>HYPERLINK("https://youtu.be/TRg5-Ok08tg?t=8398","channel 2")</f>
        <v>channel 2</v>
      </c>
    </row>
    <row r="133">
      <c r="B133" s="96" t="s">
        <v>3477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6" t="s">
        <v>5</v>
      </c>
    </row>
    <row r="135">
      <c r="B135" s="61" t="s">
        <v>2871</v>
      </c>
      <c r="C135" s="94" t="s">
        <v>439</v>
      </c>
      <c r="D135" s="61" t="s">
        <v>3478</v>
      </c>
      <c r="E135" s="11" t="str">
        <f>HYPERLINK("https://youtu.be/eowXakwVvyk","channel 3")</f>
        <v>channel 3</v>
      </c>
    </row>
    <row r="136">
      <c r="B136" s="61" t="s">
        <v>2220</v>
      </c>
      <c r="C136" s="94" t="s">
        <v>251</v>
      </c>
      <c r="D136" s="61" t="s">
        <v>1491</v>
      </c>
      <c r="E136" s="11" t="str">
        <f>HYPERLINK("https://youtu.be/FYILdZ_IkeQ","channel 4")</f>
        <v>channel 4</v>
      </c>
    </row>
    <row r="137">
      <c r="B137" s="61" t="s">
        <v>3479</v>
      </c>
      <c r="C137" s="94" t="s">
        <v>198</v>
      </c>
      <c r="D137" s="61" t="s">
        <v>2871</v>
      </c>
      <c r="E137" s="11" t="str">
        <f>HYPERLINK("https://youtu.be/eowXakwVvyk?t=1046","channel 3")</f>
        <v>channel 3</v>
      </c>
    </row>
    <row r="138">
      <c r="B138" s="61" t="s">
        <v>2220</v>
      </c>
      <c r="C138" s="132" t="s">
        <v>668</v>
      </c>
      <c r="D138" s="61" t="s">
        <v>3478</v>
      </c>
      <c r="E138" s="125" t="s">
        <v>33</v>
      </c>
    </row>
    <row r="139">
      <c r="B139" s="61" t="s">
        <v>3479</v>
      </c>
      <c r="C139" s="94" t="s">
        <v>17</v>
      </c>
      <c r="D139" s="61" t="s">
        <v>1491</v>
      </c>
      <c r="E139" s="11" t="str">
        <f>HYPERLINK("https://youtu.be/eowXakwVvyk?t=1993","channel 3")</f>
        <v>channel 3</v>
      </c>
    </row>
    <row r="140">
      <c r="B140" s="114" t="s">
        <v>2220</v>
      </c>
      <c r="C140" s="94" t="s">
        <v>774</v>
      </c>
      <c r="D140" s="114" t="s">
        <v>2871</v>
      </c>
      <c r="E140" s="11" t="str">
        <f>HYPERLINK("https://youtu.be/FYILdZ_IkeQ?t=2275","channel 4")</f>
        <v>channel 4</v>
      </c>
    </row>
    <row r="141">
      <c r="B141" s="61" t="s">
        <v>3479</v>
      </c>
      <c r="C141" s="94" t="s">
        <v>195</v>
      </c>
      <c r="D141" s="61" t="s">
        <v>3478</v>
      </c>
      <c r="E141" s="11" t="str">
        <f>HYPERLINK("https://youtu.be/eowXakwVvyk?t=2963","channel 3")</f>
        <v>channel 3</v>
      </c>
    </row>
    <row r="142">
      <c r="B142" s="114" t="s">
        <v>1491</v>
      </c>
      <c r="C142" s="94" t="s">
        <v>14</v>
      </c>
      <c r="D142" s="114" t="s">
        <v>2871</v>
      </c>
      <c r="E142" s="11" t="str">
        <f>HYPERLINK("https://youtu.be/FYILdZ_IkeQ?t=3156","channel 4")</f>
        <v>channel 4</v>
      </c>
    </row>
    <row r="143">
      <c r="B143" s="61" t="s">
        <v>3479</v>
      </c>
      <c r="C143" s="94" t="s">
        <v>38</v>
      </c>
      <c r="D143" s="61" t="s">
        <v>2220</v>
      </c>
      <c r="E143" s="11" t="str">
        <f>HYPERLINK("https://youtu.be/eowXakwVvyk?t=3925","channel 3")</f>
        <v>channel 3</v>
      </c>
    </row>
    <row r="144">
      <c r="B144" s="61" t="s">
        <v>1491</v>
      </c>
      <c r="C144" s="94" t="s">
        <v>173</v>
      </c>
      <c r="D144" s="61" t="s">
        <v>3478</v>
      </c>
      <c r="E144" s="11" t="str">
        <f>HYPERLINK("https://youtu.be/FYILdZ_IkeQ?t=4025","channel 4")</f>
        <v>channel 4</v>
      </c>
    </row>
    <row r="145">
      <c r="B145" s="61" t="s">
        <v>3478</v>
      </c>
      <c r="C145" s="94" t="s">
        <v>157</v>
      </c>
      <c r="D145" s="61" t="s">
        <v>2871</v>
      </c>
      <c r="E145" s="11" t="str">
        <f>HYPERLINK("https://youtu.be/eowXakwVvyk?t=4899","channel 3")</f>
        <v>channel 3</v>
      </c>
    </row>
    <row r="146">
      <c r="B146" s="114" t="s">
        <v>1491</v>
      </c>
      <c r="C146" s="94" t="s">
        <v>517</v>
      </c>
      <c r="D146" s="114" t="s">
        <v>2220</v>
      </c>
      <c r="E146" s="11" t="str">
        <f>HYPERLINK("https://youtu.be/FYILdZ_IkeQ?t=4880","channel 4")</f>
        <v>channel 4</v>
      </c>
    </row>
    <row r="147">
      <c r="B147" s="61" t="s">
        <v>2871</v>
      </c>
      <c r="C147" s="94" t="s">
        <v>490</v>
      </c>
      <c r="D147" s="61" t="s">
        <v>3479</v>
      </c>
      <c r="E147" s="11" t="str">
        <f>HYPERLINK("https://youtu.be/eowXakwVvyk?t=5831","channel 3")</f>
        <v>channel 3</v>
      </c>
    </row>
    <row r="148">
      <c r="B148" s="61" t="s">
        <v>3478</v>
      </c>
      <c r="C148" s="94" t="s">
        <v>640</v>
      </c>
      <c r="D148" s="61" t="s">
        <v>2220</v>
      </c>
      <c r="E148" s="11" t="str">
        <f>HYPERLINK("https://youtu.be/FYILdZ_IkeQ?t=5872","channel 4")</f>
        <v>channel 4</v>
      </c>
    </row>
    <row r="149">
      <c r="B149" s="61" t="s">
        <v>1491</v>
      </c>
      <c r="C149" s="94" t="s">
        <v>165</v>
      </c>
      <c r="D149" s="61" t="s">
        <v>3479</v>
      </c>
      <c r="E149" s="11" t="str">
        <f>HYPERLINK("https://youtu.be/eowXakwVvyk?t=6747","channel 3")</f>
        <v>channel 3</v>
      </c>
    </row>
    <row r="150">
      <c r="B150" s="61" t="s">
        <v>2871</v>
      </c>
      <c r="C150" s="94" t="s">
        <v>1120</v>
      </c>
      <c r="D150" s="61" t="s">
        <v>2220</v>
      </c>
      <c r="E150" s="11" t="str">
        <f>HYPERLINK("https://youtu.be/FYILdZ_IkeQ?t=6853","channel 4")</f>
        <v>channel 4</v>
      </c>
    </row>
    <row r="151">
      <c r="B151" s="61" t="s">
        <v>3478</v>
      </c>
      <c r="C151" s="94" t="s">
        <v>301</v>
      </c>
      <c r="D151" s="61" t="s">
        <v>3479</v>
      </c>
      <c r="E151" s="11" t="str">
        <f>HYPERLINK("https://youtu.be/eowXakwVvyk?t=7664","channel 3")</f>
        <v>channel 3</v>
      </c>
    </row>
    <row r="152">
      <c r="B152" s="61" t="s">
        <v>2871</v>
      </c>
      <c r="C152" s="94" t="s">
        <v>256</v>
      </c>
      <c r="D152" s="61" t="s">
        <v>1491</v>
      </c>
      <c r="E152" s="11" t="str">
        <f>HYPERLINK("https://youtu.be/FYILdZ_IkeQ?t=7759","channel 4")</f>
        <v>channel 4</v>
      </c>
    </row>
    <row r="153">
      <c r="B153" s="61" t="s">
        <v>2220</v>
      </c>
      <c r="C153" s="94" t="s">
        <v>566</v>
      </c>
      <c r="D153" s="61" t="s">
        <v>3479</v>
      </c>
      <c r="E153" s="11" t="str">
        <f>HYPERLINK("https://youtu.be/eowXakwVvyk?t=8553","channel 3")</f>
        <v>channel 3</v>
      </c>
    </row>
    <row r="154">
      <c r="B154" s="61" t="s">
        <v>3478</v>
      </c>
      <c r="C154" s="94" t="s">
        <v>3480</v>
      </c>
      <c r="D154" s="61" t="s">
        <v>1491</v>
      </c>
      <c r="E154" s="11" t="str">
        <f>HYPERLINK("https://youtu.be/FYILdZ_IkeQ?t=8656","channel 4")</f>
        <v>channel 4</v>
      </c>
    </row>
    <row r="155">
      <c r="B155" s="96" t="s">
        <v>3016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6" t="s">
        <v>5</v>
      </c>
    </row>
    <row r="157">
      <c r="B157" s="61" t="s">
        <v>3481</v>
      </c>
      <c r="C157" s="94" t="s">
        <v>2426</v>
      </c>
      <c r="D157" s="61" t="s">
        <v>2613</v>
      </c>
      <c r="E157" s="11" t="str">
        <f>HYPERLINK("https://youtu.be/W4YGTL8c1pU","channel 3")</f>
        <v>channel 3</v>
      </c>
    </row>
    <row r="158">
      <c r="B158" s="61" t="s">
        <v>115</v>
      </c>
      <c r="C158" s="94" t="s">
        <v>41</v>
      </c>
      <c r="D158" s="61" t="s">
        <v>2246</v>
      </c>
      <c r="E158" s="11" t="str">
        <f>HYPERLINK("https://youtu.be/PU8c3rikJQI","channel 4")</f>
        <v>channel 4</v>
      </c>
    </row>
    <row r="159">
      <c r="B159" s="61" t="s">
        <v>3482</v>
      </c>
      <c r="C159" s="94" t="s">
        <v>165</v>
      </c>
      <c r="D159" s="61" t="s">
        <v>3481</v>
      </c>
      <c r="E159" s="11" t="str">
        <f>HYPERLINK("https://youtu.be/W4YGTL8c1pU?t=962","channel 3")</f>
        <v>channel 3</v>
      </c>
    </row>
    <row r="160">
      <c r="B160" s="61" t="s">
        <v>115</v>
      </c>
      <c r="C160" s="94" t="s">
        <v>316</v>
      </c>
      <c r="D160" s="61" t="s">
        <v>2613</v>
      </c>
      <c r="E160" s="11" t="str">
        <f>HYPERLINK("https://youtu.be/PU8c3rikJQI?t=952","channel 4")</f>
        <v>channel 4</v>
      </c>
    </row>
    <row r="161">
      <c r="B161" s="61" t="s">
        <v>3482</v>
      </c>
      <c r="C161" s="94" t="s">
        <v>911</v>
      </c>
      <c r="D161" s="61" t="s">
        <v>2246</v>
      </c>
      <c r="E161" s="11" t="str">
        <f>HYPERLINK("https://youtu.be/W4YGTL8c1pU?t=1871","channel 3")</f>
        <v>channel 3</v>
      </c>
    </row>
    <row r="162">
      <c r="B162" s="114" t="s">
        <v>115</v>
      </c>
      <c r="C162" s="94" t="s">
        <v>2064</v>
      </c>
      <c r="D162" s="114" t="s">
        <v>3481</v>
      </c>
      <c r="E162" s="11" t="str">
        <f>HYPERLINK("https://youtu.be/PU8c3rikJQI?t=1867","channel 4")</f>
        <v>channel 4</v>
      </c>
    </row>
    <row r="163">
      <c r="B163" s="61" t="s">
        <v>3482</v>
      </c>
      <c r="C163" s="94" t="s">
        <v>20</v>
      </c>
      <c r="D163" s="61" t="s">
        <v>2613</v>
      </c>
      <c r="E163" s="11" t="str">
        <f>HYPERLINK("https://youtu.be/W4YGTL8c1pU?t=2787","channel 3")</f>
        <v>channel 3</v>
      </c>
    </row>
    <row r="164">
      <c r="B164" s="114" t="s">
        <v>2246</v>
      </c>
      <c r="C164" s="94" t="s">
        <v>601</v>
      </c>
      <c r="D164" s="114" t="s">
        <v>3481</v>
      </c>
      <c r="E164" s="11" t="str">
        <f>HYPERLINK("https://youtu.be/PU8c3rikJQI?t=2815","channel 4")</f>
        <v>channel 4</v>
      </c>
    </row>
    <row r="165">
      <c r="B165" s="61" t="s">
        <v>3482</v>
      </c>
      <c r="C165" s="94" t="s">
        <v>208</v>
      </c>
      <c r="D165" s="61" t="s">
        <v>115</v>
      </c>
      <c r="E165" s="11" t="str">
        <f>HYPERLINK("https://youtu.be/W4YGTL8c1pU?t=3725","channel 3")</f>
        <v>channel 3</v>
      </c>
    </row>
    <row r="166">
      <c r="B166" s="61" t="s">
        <v>2246</v>
      </c>
      <c r="C166" s="94" t="s">
        <v>34</v>
      </c>
      <c r="D166" s="61" t="s">
        <v>2613</v>
      </c>
      <c r="E166" s="11" t="str">
        <f>HYPERLINK("https://youtu.be/PU8c3rikJQI?t=3710","channel 4")</f>
        <v>channel 4</v>
      </c>
    </row>
    <row r="167">
      <c r="B167" s="61" t="s">
        <v>2613</v>
      </c>
      <c r="C167" s="94" t="s">
        <v>380</v>
      </c>
      <c r="D167" s="61" t="s">
        <v>3481</v>
      </c>
      <c r="E167" s="11" t="str">
        <f>HYPERLINK("https://youtu.be/W4YGTL8c1pU?t=4636","channel 3")</f>
        <v>channel 3</v>
      </c>
    </row>
    <row r="168">
      <c r="B168" s="114" t="s">
        <v>2246</v>
      </c>
      <c r="C168" s="94" t="s">
        <v>380</v>
      </c>
      <c r="D168" s="114" t="s">
        <v>115</v>
      </c>
      <c r="E168" s="11" t="str">
        <f>HYPERLINK("https://youtu.be/PU8c3rikJQI?t=4647","channel 4")</f>
        <v>channel 4</v>
      </c>
    </row>
    <row r="169">
      <c r="B169" s="61" t="s">
        <v>3481</v>
      </c>
      <c r="C169" s="94" t="s">
        <v>258</v>
      </c>
      <c r="D169" s="61" t="s">
        <v>3482</v>
      </c>
      <c r="E169" s="11" t="str">
        <f>HYPERLINK("https://youtu.be/W4YGTL8c1pU?t=5538","channel 3")</f>
        <v>channel 3</v>
      </c>
    </row>
    <row r="170">
      <c r="B170" s="61" t="s">
        <v>2613</v>
      </c>
      <c r="C170" s="94" t="s">
        <v>352</v>
      </c>
      <c r="D170" s="61" t="s">
        <v>115</v>
      </c>
      <c r="E170" s="11" t="str">
        <f>HYPERLINK("https://youtu.be/PU8c3rikJQI?t=5576","channel 4")</f>
        <v>channel 4</v>
      </c>
    </row>
    <row r="171">
      <c r="B171" s="61" t="s">
        <v>2246</v>
      </c>
      <c r="C171" s="94" t="s">
        <v>225</v>
      </c>
      <c r="D171" s="61" t="s">
        <v>3482</v>
      </c>
      <c r="E171" s="11" t="str">
        <f>HYPERLINK("https://youtu.be/W4YGTL8c1pU?t=6475","channel 3")</f>
        <v>channel 3</v>
      </c>
    </row>
    <row r="172">
      <c r="B172" s="61" t="s">
        <v>3481</v>
      </c>
      <c r="C172" s="94" t="s">
        <v>185</v>
      </c>
      <c r="D172" s="61" t="s">
        <v>115</v>
      </c>
      <c r="E172" s="11" t="str">
        <f>HYPERLINK("https://youtu.be/PU8c3rikJQI?t=6547","channel 4")</f>
        <v>channel 4</v>
      </c>
    </row>
    <row r="173">
      <c r="B173" s="61" t="s">
        <v>2613</v>
      </c>
      <c r="C173" s="94" t="s">
        <v>257</v>
      </c>
      <c r="D173" s="61" t="s">
        <v>3482</v>
      </c>
      <c r="E173" s="11" t="str">
        <f>HYPERLINK("https://youtu.be/W4YGTL8c1pU?t=7388","channel 3")</f>
        <v>channel 3</v>
      </c>
    </row>
    <row r="174">
      <c r="B174" s="61" t="s">
        <v>3481</v>
      </c>
      <c r="C174" s="94" t="s">
        <v>394</v>
      </c>
      <c r="D174" s="61" t="s">
        <v>2246</v>
      </c>
      <c r="E174" s="11" t="str">
        <f>HYPERLINK("https://youtu.be/PU8c3rikJQI?t=7460","channel 4")</f>
        <v>channel 4</v>
      </c>
    </row>
    <row r="175">
      <c r="B175" s="61" t="s">
        <v>115</v>
      </c>
      <c r="C175" s="94" t="s">
        <v>433</v>
      </c>
      <c r="D175" s="61" t="s">
        <v>3482</v>
      </c>
      <c r="E175" s="11" t="str">
        <f>HYPERLINK("https://youtu.be/W4YGTL8c1pU?t=8302","channel 3")</f>
        <v>channel 3</v>
      </c>
    </row>
    <row r="176">
      <c r="B176" s="61" t="s">
        <v>2613</v>
      </c>
      <c r="C176" s="94" t="s">
        <v>301</v>
      </c>
      <c r="D176" s="61" t="s">
        <v>2246</v>
      </c>
      <c r="E176" s="11" t="str">
        <f>HYPERLINK("https://youtu.be/PU8c3rikJQI?t=8364","channel 4")</f>
        <v>channel 4</v>
      </c>
    </row>
    <row r="177">
      <c r="B177" s="96" t="s">
        <v>2607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3483</v>
      </c>
      <c r="C179" s="57" t="s">
        <v>34</v>
      </c>
      <c r="D179" s="62" t="s">
        <v>3484</v>
      </c>
      <c r="E179" s="11" t="str">
        <f>HYPERLINK("https://youtu.be/GMsLOec1l2Y","channel 1")</f>
        <v>channel 1</v>
      </c>
    </row>
    <row r="180">
      <c r="B180" s="62" t="s">
        <v>3068</v>
      </c>
      <c r="C180" s="57" t="s">
        <v>162</v>
      </c>
      <c r="D180" s="62" t="s">
        <v>2146</v>
      </c>
      <c r="E180" s="11" t="str">
        <f>HYPERLINK("https://youtu.be/9qKVq8Bwo2s","channel 2")</f>
        <v>channel 2</v>
      </c>
    </row>
    <row r="181">
      <c r="B181" s="62" t="s">
        <v>2368</v>
      </c>
      <c r="C181" s="57" t="s">
        <v>23</v>
      </c>
      <c r="D181" s="62" t="s">
        <v>3483</v>
      </c>
      <c r="E181" s="11" t="str">
        <f>HYPERLINK("https://youtu.be/GMsLOec1l2Y?t=975","channel 1")</f>
        <v>channel 1</v>
      </c>
    </row>
    <row r="182">
      <c r="B182" s="62" t="s">
        <v>3068</v>
      </c>
      <c r="C182" s="57" t="s">
        <v>357</v>
      </c>
      <c r="D182" s="62" t="s">
        <v>3484</v>
      </c>
      <c r="E182" s="11" t="str">
        <f>HYPERLINK("https://youtu.be/9qKVq8Bwo2s?t=973","channel 2")</f>
        <v>channel 2</v>
      </c>
    </row>
    <row r="183">
      <c r="B183" s="62" t="s">
        <v>2368</v>
      </c>
      <c r="C183" s="57" t="s">
        <v>248</v>
      </c>
      <c r="D183" s="62" t="s">
        <v>2146</v>
      </c>
      <c r="E183" s="11" t="str">
        <f>HYPERLINK("https://youtu.be/GMsLOec1l2Y?t=1927","channel 1")</f>
        <v>channel 1</v>
      </c>
    </row>
    <row r="184">
      <c r="B184" s="62" t="s">
        <v>3068</v>
      </c>
      <c r="C184" s="57" t="s">
        <v>159</v>
      </c>
      <c r="D184" s="62" t="s">
        <v>3483</v>
      </c>
      <c r="E184" s="11" t="str">
        <f>HYPERLINK("https://youtu.be/9qKVq8Bwo2s?t=1983","channel 2")</f>
        <v>channel 2</v>
      </c>
    </row>
    <row r="185">
      <c r="B185" s="62" t="s">
        <v>2368</v>
      </c>
      <c r="C185" s="57" t="s">
        <v>2562</v>
      </c>
      <c r="D185" s="62" t="s">
        <v>3484</v>
      </c>
      <c r="E185" s="11" t="str">
        <f>HYPERLINK("https://youtu.be/GMsLOec1l2Y?t=2858","channel 1")</f>
        <v>channel 1</v>
      </c>
    </row>
    <row r="186">
      <c r="B186" s="62" t="s">
        <v>2146</v>
      </c>
      <c r="C186" s="57" t="s">
        <v>23</v>
      </c>
      <c r="D186" s="62" t="s">
        <v>3483</v>
      </c>
      <c r="E186" s="11" t="str">
        <f>HYPERLINK("https://youtu.be/9qKVq8Bwo2s?t=2923","channel 2")</f>
        <v>channel 2</v>
      </c>
    </row>
    <row r="187">
      <c r="B187" s="62" t="s">
        <v>2368</v>
      </c>
      <c r="C187" s="57" t="s">
        <v>7</v>
      </c>
      <c r="D187" s="62" t="s">
        <v>3068</v>
      </c>
      <c r="E187" s="11" t="str">
        <f>HYPERLINK("https://youtu.be/GMsLOec1l2Y?t=3776","channel 1")</f>
        <v>channel 1</v>
      </c>
    </row>
    <row r="188">
      <c r="B188" s="62" t="s">
        <v>2146</v>
      </c>
      <c r="C188" s="57" t="s">
        <v>225</v>
      </c>
      <c r="D188" s="62" t="s">
        <v>3484</v>
      </c>
      <c r="E188" s="11" t="str">
        <f>HYPERLINK("https://youtu.be/9qKVq8Bwo2s?t=3814","channel 2")</f>
        <v>channel 2</v>
      </c>
    </row>
    <row r="189">
      <c r="B189" s="62" t="s">
        <v>3484</v>
      </c>
      <c r="C189" s="57" t="s">
        <v>281</v>
      </c>
      <c r="D189" s="62" t="s">
        <v>3483</v>
      </c>
      <c r="E189" s="11" t="str">
        <f>HYPERLINK("https://youtu.be/GMsLOec1l2Y?t=4640","channel 1")</f>
        <v>channel 1</v>
      </c>
    </row>
    <row r="190">
      <c r="B190" s="62" t="s">
        <v>2146</v>
      </c>
      <c r="C190" s="57" t="s">
        <v>19</v>
      </c>
      <c r="D190" s="62" t="s">
        <v>3068</v>
      </c>
      <c r="E190" s="11" t="str">
        <f>HYPERLINK("https://youtu.be/9qKVq8Bwo2s?t=4706","channel 2")</f>
        <v>channel 2</v>
      </c>
    </row>
    <row r="191">
      <c r="B191" s="62" t="s">
        <v>3483</v>
      </c>
      <c r="C191" s="45" t="s">
        <v>155</v>
      </c>
      <c r="D191" s="62" t="s">
        <v>2368</v>
      </c>
      <c r="E191" s="11" t="str">
        <f>HYPERLINK("https://youtu.be/GMsLOec1l2Y?t=5541","channel 1")</f>
        <v>channel 1</v>
      </c>
    </row>
    <row r="192">
      <c r="B192" s="62" t="s">
        <v>3484</v>
      </c>
      <c r="C192" s="45" t="s">
        <v>507</v>
      </c>
      <c r="D192" s="62" t="s">
        <v>3068</v>
      </c>
      <c r="E192" s="11" t="str">
        <f>HYPERLINK("https://youtu.be/9qKVq8Bwo2s?t=5609","channel 2")</f>
        <v>channel 2</v>
      </c>
    </row>
    <row r="193">
      <c r="B193" s="62" t="s">
        <v>2146</v>
      </c>
      <c r="C193" s="45" t="s">
        <v>181</v>
      </c>
      <c r="D193" s="62" t="s">
        <v>2368</v>
      </c>
      <c r="E193" s="11" t="str">
        <f>HYPERLINK("https://youtu.be/GMsLOec1l2Y?t=6472","channel 1")</f>
        <v>channel 1</v>
      </c>
    </row>
    <row r="194">
      <c r="B194" s="62" t="s">
        <v>3483</v>
      </c>
      <c r="C194" s="45" t="s">
        <v>225</v>
      </c>
      <c r="D194" s="62" t="s">
        <v>3068</v>
      </c>
      <c r="E194" s="11" t="str">
        <f>HYPERLINK("https://youtu.be/9qKVq8Bwo2s?t=6475","channel 2")</f>
        <v>channel 2</v>
      </c>
    </row>
    <row r="195">
      <c r="B195" s="62" t="s">
        <v>3484</v>
      </c>
      <c r="C195" s="45" t="s">
        <v>281</v>
      </c>
      <c r="D195" s="62" t="s">
        <v>2368</v>
      </c>
      <c r="E195" s="11" t="str">
        <f>HYPERLINK("https://youtu.be/GMsLOec1l2Y?t=7346","channel 1")</f>
        <v>channel 1</v>
      </c>
    </row>
    <row r="196">
      <c r="B196" s="62" t="s">
        <v>3483</v>
      </c>
      <c r="C196" s="45" t="s">
        <v>344</v>
      </c>
      <c r="D196" s="62" t="s">
        <v>2146</v>
      </c>
      <c r="E196" s="11" t="str">
        <f>HYPERLINK("https://youtu.be/9qKVq8Bwo2s?t=7388","channel 2")</f>
        <v>channel 2</v>
      </c>
    </row>
    <row r="197">
      <c r="B197" s="62" t="s">
        <v>3068</v>
      </c>
      <c r="C197" s="45" t="s">
        <v>357</v>
      </c>
      <c r="D197" s="62" t="s">
        <v>2368</v>
      </c>
      <c r="E197" s="11" t="str">
        <f>HYPERLINK("https://youtu.be/GMsLOec1l2Y?t=8243","channel 1")</f>
        <v>channel 1</v>
      </c>
    </row>
    <row r="198">
      <c r="B198" s="62" t="s">
        <v>3484</v>
      </c>
      <c r="C198" s="45" t="s">
        <v>43</v>
      </c>
      <c r="D198" s="62" t="s">
        <v>2146</v>
      </c>
      <c r="E198" s="11" t="str">
        <f>HYPERLINK("https://youtu.be/9qKVq8Bwo2s?t=8284","channel 2")</f>
        <v>channel 2</v>
      </c>
    </row>
    <row r="199">
      <c r="B199" s="96" t="s">
        <v>2375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360</v>
      </c>
      <c r="C201" s="57" t="s">
        <v>558</v>
      </c>
      <c r="D201" s="62" t="s">
        <v>3485</v>
      </c>
      <c r="E201" s="11" t="str">
        <f>HYPERLINK("https://youtu.be/IzocV7X5mKU","channel 1")</f>
        <v>channel 1</v>
      </c>
    </row>
    <row r="202">
      <c r="B202" s="62" t="s">
        <v>2878</v>
      </c>
      <c r="C202" s="57" t="s">
        <v>195</v>
      </c>
      <c r="D202" s="62" t="s">
        <v>2215</v>
      </c>
      <c r="E202" s="11" t="str">
        <f>HYPERLINK("https://youtu.be/SDbrVkY9dSw","channel 2")</f>
        <v>channel 2</v>
      </c>
    </row>
    <row r="203">
      <c r="B203" s="62" t="s">
        <v>2755</v>
      </c>
      <c r="C203" s="57" t="s">
        <v>209</v>
      </c>
      <c r="D203" s="62" t="s">
        <v>360</v>
      </c>
      <c r="E203" s="11" t="str">
        <f>HYPERLINK("https://youtu.be/IzocV7X5mKU?t=1072","channel 1")</f>
        <v>channel 1</v>
      </c>
    </row>
    <row r="204">
      <c r="B204" s="62" t="s">
        <v>2878</v>
      </c>
      <c r="C204" s="57" t="s">
        <v>218</v>
      </c>
      <c r="D204" s="62" t="s">
        <v>3485</v>
      </c>
      <c r="E204" s="11" t="str">
        <f>HYPERLINK("https://youtu.be/SDbrVkY9dSw?t=1091","channel 2")</f>
        <v>channel 2</v>
      </c>
    </row>
    <row r="205">
      <c r="B205" s="62" t="s">
        <v>2755</v>
      </c>
      <c r="C205" s="57" t="s">
        <v>218</v>
      </c>
      <c r="D205" s="62" t="s">
        <v>2215</v>
      </c>
      <c r="E205" s="11" t="str">
        <f>HYPERLINK("https://youtu.be/IzocV7X5mKU?t=1981","channel 1")</f>
        <v>channel 1</v>
      </c>
    </row>
    <row r="206">
      <c r="B206" s="62" t="s">
        <v>2878</v>
      </c>
      <c r="C206" s="57" t="s">
        <v>1108</v>
      </c>
      <c r="D206" s="62" t="s">
        <v>360</v>
      </c>
      <c r="E206" s="11" t="str">
        <f>HYPERLINK("https://youtu.be/SDbrVkY9dSw?t=2028","channel 2")</f>
        <v>channel 2</v>
      </c>
    </row>
    <row r="207">
      <c r="B207" s="62" t="s">
        <v>2755</v>
      </c>
      <c r="C207" s="57" t="s">
        <v>257</v>
      </c>
      <c r="D207" s="62" t="s">
        <v>3485</v>
      </c>
      <c r="E207" s="11" t="str">
        <f>HYPERLINK("https://youtu.be/IzocV7X5mKU?t=2900","channel 1")</f>
        <v>channel 1</v>
      </c>
    </row>
    <row r="208">
      <c r="B208" s="62" t="s">
        <v>2215</v>
      </c>
      <c r="C208" s="57" t="s">
        <v>193</v>
      </c>
      <c r="D208" s="62" t="s">
        <v>360</v>
      </c>
      <c r="E208" s="11" t="str">
        <f>HYPERLINK("https://youtu.be/SDbrVkY9dSw?t=2924","channel 2")</f>
        <v>channel 2</v>
      </c>
    </row>
    <row r="209">
      <c r="B209" s="62" t="s">
        <v>2755</v>
      </c>
      <c r="C209" s="57" t="s">
        <v>16</v>
      </c>
      <c r="D209" s="62" t="s">
        <v>2878</v>
      </c>
      <c r="E209" s="11" t="str">
        <f>HYPERLINK("https://youtu.be/IzocV7X5mKU?t=3848","channel 1")</f>
        <v>channel 1</v>
      </c>
    </row>
    <row r="210">
      <c r="B210" s="62" t="s">
        <v>2215</v>
      </c>
      <c r="C210" s="57" t="s">
        <v>248</v>
      </c>
      <c r="D210" s="62" t="s">
        <v>3485</v>
      </c>
      <c r="E210" s="11" t="str">
        <f>HYPERLINK("https://youtu.be/SDbrVkY9dSw?t=3869","channel 2")</f>
        <v>channel 2</v>
      </c>
    </row>
    <row r="211">
      <c r="B211" s="62" t="s">
        <v>3485</v>
      </c>
      <c r="C211" s="57" t="s">
        <v>697</v>
      </c>
      <c r="D211" s="62" t="s">
        <v>360</v>
      </c>
      <c r="E211" s="11" t="str">
        <f>HYPERLINK("https://youtu.be/IzocV7X5mKU?t=4713","channel 1")</f>
        <v>channel 1</v>
      </c>
    </row>
    <row r="212">
      <c r="B212" s="62" t="s">
        <v>2215</v>
      </c>
      <c r="C212" s="57" t="s">
        <v>380</v>
      </c>
      <c r="D212" s="62" t="s">
        <v>2878</v>
      </c>
      <c r="E212" s="11" t="str">
        <f>HYPERLINK("https://youtu.be/SDbrVkY9dSw?t=4814","channel 2")</f>
        <v>channel 2</v>
      </c>
    </row>
    <row r="213">
      <c r="B213" s="62" t="s">
        <v>360</v>
      </c>
      <c r="C213" s="45" t="s">
        <v>383</v>
      </c>
      <c r="D213" s="62" t="s">
        <v>2755</v>
      </c>
      <c r="E213" s="11" t="str">
        <f>HYPERLINK("https://youtu.be/IzocV7X5mKU?t=5642","channel 1")</f>
        <v>channel 1</v>
      </c>
    </row>
    <row r="214">
      <c r="B214" s="62" t="s">
        <v>3485</v>
      </c>
      <c r="C214" s="45" t="s">
        <v>718</v>
      </c>
      <c r="D214" s="62" t="s">
        <v>2878</v>
      </c>
      <c r="E214" s="11" t="str">
        <f>HYPERLINK("https://youtu.be/SDbrVkY9dSw?t=5694","channel 2")</f>
        <v>channel 2</v>
      </c>
    </row>
    <row r="215">
      <c r="B215" s="62" t="s">
        <v>2215</v>
      </c>
      <c r="C215" s="45" t="s">
        <v>23</v>
      </c>
      <c r="D215" s="62" t="s">
        <v>2755</v>
      </c>
      <c r="E215" s="11" t="str">
        <f>HYPERLINK("https://youtu.be/IzocV7X5mKU?t=6581","channel 1")</f>
        <v>channel 1</v>
      </c>
    </row>
    <row r="216">
      <c r="B216" s="62" t="s">
        <v>360</v>
      </c>
      <c r="C216" s="45" t="s">
        <v>227</v>
      </c>
      <c r="D216" s="62" t="s">
        <v>2878</v>
      </c>
      <c r="E216" s="11" t="str">
        <f>HYPERLINK("https://youtu.be/SDbrVkY9dSw?t=6666","channel 2")</f>
        <v>channel 2</v>
      </c>
    </row>
    <row r="217">
      <c r="B217" s="62" t="s">
        <v>3485</v>
      </c>
      <c r="C217" s="45" t="s">
        <v>433</v>
      </c>
      <c r="D217" s="62" t="s">
        <v>2755</v>
      </c>
      <c r="E217" s="11" t="str">
        <f>HYPERLINK("https://youtu.be/IzocV7X5mKU?t=7535","channel 1")</f>
        <v>channel 1</v>
      </c>
    </row>
    <row r="218">
      <c r="B218" s="62" t="s">
        <v>360</v>
      </c>
      <c r="C218" s="45" t="s">
        <v>24</v>
      </c>
      <c r="D218" s="62" t="s">
        <v>2215</v>
      </c>
      <c r="E218" s="11" t="str">
        <f>HYPERLINK("https://youtu.be/SDbrVkY9dSw?t=7622","channel 2")</f>
        <v>channel 2</v>
      </c>
    </row>
    <row r="219">
      <c r="B219" s="62" t="s">
        <v>2878</v>
      </c>
      <c r="C219" s="45" t="s">
        <v>18</v>
      </c>
      <c r="D219" s="62" t="s">
        <v>2755</v>
      </c>
      <c r="E219" s="11" t="str">
        <f>HYPERLINK("https://youtu.be/IzocV7X5mKU?t=8462","channel 1")</f>
        <v>channel 1</v>
      </c>
    </row>
    <row r="220">
      <c r="B220" s="62" t="s">
        <v>3485</v>
      </c>
      <c r="C220" s="45" t="s">
        <v>281</v>
      </c>
      <c r="D220" s="62" t="s">
        <v>2215</v>
      </c>
      <c r="E220" s="11" t="str">
        <f>HYPERLINK("https://youtu.be/SDbrVkY9dSw?t=8548","channel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2316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62" t="s">
        <v>3281</v>
      </c>
      <c r="C3" s="45" t="s">
        <v>534</v>
      </c>
      <c r="D3" s="62" t="s">
        <v>2139</v>
      </c>
      <c r="E3" s="120" t="str">
        <f>HYPERLINK("https://youtu.be/tOB-jsga3k8","channel 1")</f>
        <v>channel 1</v>
      </c>
    </row>
    <row r="4">
      <c r="A4" s="90"/>
      <c r="B4" s="62" t="s">
        <v>3486</v>
      </c>
      <c r="C4" s="45" t="s">
        <v>302</v>
      </c>
      <c r="D4" s="62" t="s">
        <v>1989</v>
      </c>
      <c r="E4" s="120" t="str">
        <f>HYPERLINK("https://youtu.be/sZXVpxxO7s0","channel 2")</f>
        <v>channel 2</v>
      </c>
    </row>
    <row r="5">
      <c r="A5" s="90"/>
      <c r="B5" s="62" t="s">
        <v>3487</v>
      </c>
      <c r="C5" s="45" t="s">
        <v>194</v>
      </c>
      <c r="D5" s="62" t="s">
        <v>3281</v>
      </c>
      <c r="E5" s="120" t="str">
        <f>HYPERLINK("https://youtu.be/tOB-jsga3k8?t=916","channel 1")</f>
        <v>channel 1</v>
      </c>
    </row>
    <row r="6">
      <c r="A6" s="90"/>
      <c r="B6" s="62" t="s">
        <v>3486</v>
      </c>
      <c r="C6" s="45" t="s">
        <v>42</v>
      </c>
      <c r="D6" s="62" t="s">
        <v>2139</v>
      </c>
      <c r="E6" s="120" t="str">
        <f>HYPERLINK("https://youtu.be/sZXVpxxO7s0?t=984","channel 2")</f>
        <v>channel 2</v>
      </c>
    </row>
    <row r="7">
      <c r="A7" s="90"/>
      <c r="B7" s="62" t="s">
        <v>3487</v>
      </c>
      <c r="C7" s="45" t="s">
        <v>233</v>
      </c>
      <c r="D7" s="62" t="s">
        <v>1989</v>
      </c>
      <c r="E7" s="120" t="str">
        <f>HYPERLINK("https://youtu.be/tOB-jsga3k8?t=1873","channel 1")</f>
        <v>channel 1</v>
      </c>
    </row>
    <row r="8">
      <c r="A8" s="90"/>
      <c r="B8" s="62" t="s">
        <v>3486</v>
      </c>
      <c r="C8" s="45" t="s">
        <v>271</v>
      </c>
      <c r="D8" s="62" t="s">
        <v>3281</v>
      </c>
      <c r="E8" s="120" t="str">
        <f>HYPERLINK("https://youtu.be/sZXVpxxO7s0?t=1919","channel 2")</f>
        <v>channel 2</v>
      </c>
    </row>
    <row r="9">
      <c r="A9" s="90"/>
      <c r="B9" s="62" t="s">
        <v>3487</v>
      </c>
      <c r="C9" s="45" t="s">
        <v>20</v>
      </c>
      <c r="D9" s="62" t="s">
        <v>2139</v>
      </c>
      <c r="E9" s="120" t="str">
        <f>HYPERLINK("https://youtu.be/tOB-jsga3k8?t=2794","channel 1")</f>
        <v>channel 1</v>
      </c>
    </row>
    <row r="10">
      <c r="A10" s="90"/>
      <c r="B10" s="62" t="s">
        <v>1989</v>
      </c>
      <c r="C10" s="45" t="s">
        <v>610</v>
      </c>
      <c r="D10" s="62" t="s">
        <v>3281</v>
      </c>
      <c r="E10" s="120" t="str">
        <f>HYPERLINK("https://youtu.be/sZXVpxxO7s0?t=2803","channel 2")</f>
        <v>channel 2</v>
      </c>
    </row>
    <row r="11">
      <c r="A11" s="90"/>
      <c r="B11" s="62" t="s">
        <v>3487</v>
      </c>
      <c r="C11" s="45" t="s">
        <v>162</v>
      </c>
      <c r="D11" s="62" t="s">
        <v>3486</v>
      </c>
      <c r="E11" s="120" t="str">
        <f>HYPERLINK("https://youtu.be/tOB-jsga3k8?t=3751","channel 1")</f>
        <v>channel 1</v>
      </c>
    </row>
    <row r="12">
      <c r="A12" s="90"/>
      <c r="B12" s="62" t="s">
        <v>1989</v>
      </c>
      <c r="C12" s="45" t="s">
        <v>1472</v>
      </c>
      <c r="D12" s="62" t="s">
        <v>2139</v>
      </c>
      <c r="E12" s="120" t="str">
        <f>HYPERLINK("https://youtu.be/sZXVpxxO7s0?t=3770","channel 2")</f>
        <v>channel 2</v>
      </c>
    </row>
    <row r="13">
      <c r="A13" s="90"/>
      <c r="B13" s="62" t="s">
        <v>2139</v>
      </c>
      <c r="C13" s="45" t="s">
        <v>23</v>
      </c>
      <c r="D13" s="62" t="s">
        <v>3281</v>
      </c>
      <c r="E13" s="120" t="str">
        <f>HYPERLINK("https://youtu.be/tOB-jsga3k8?t=4698","channel 1")</f>
        <v>channel 1</v>
      </c>
    </row>
    <row r="14">
      <c r="A14" s="90"/>
      <c r="B14" s="62" t="s">
        <v>1989</v>
      </c>
      <c r="C14" s="45" t="s">
        <v>44</v>
      </c>
      <c r="D14" s="62" t="s">
        <v>3486</v>
      </c>
      <c r="E14" s="120" t="str">
        <f>HYPERLINK("https://youtu.be/sZXVpxxO7s0?t=4743","channel 2")</f>
        <v>channel 2</v>
      </c>
    </row>
    <row r="15">
      <c r="A15" s="90"/>
      <c r="B15" s="62" t="s">
        <v>3281</v>
      </c>
      <c r="C15" s="45" t="s">
        <v>197</v>
      </c>
      <c r="D15" s="62" t="s">
        <v>3487</v>
      </c>
      <c r="E15" s="120" t="str">
        <f>HYPERLINK("https://youtu.be/tOB-jsga3k8?t=5732","channel 1")</f>
        <v>channel 1</v>
      </c>
    </row>
    <row r="16">
      <c r="A16" s="90"/>
      <c r="B16" s="62" t="s">
        <v>2139</v>
      </c>
      <c r="C16" s="45" t="s">
        <v>43</v>
      </c>
      <c r="D16" s="62" t="s">
        <v>3486</v>
      </c>
      <c r="E16" s="120" t="str">
        <f>HYPERLINK("https://youtu.be/sZXVpxxO7s0?t=5745","channel 2")</f>
        <v>channel 2</v>
      </c>
    </row>
    <row r="17">
      <c r="A17" s="90"/>
      <c r="B17" s="62" t="s">
        <v>1989</v>
      </c>
      <c r="C17" s="45" t="s">
        <v>251</v>
      </c>
      <c r="D17" s="62" t="s">
        <v>3487</v>
      </c>
      <c r="E17" s="120" t="str">
        <f>HYPERLINK("https://youtu.be/tOB-jsga3k8?t=6659","channel 1")</f>
        <v>channel 1</v>
      </c>
    </row>
    <row r="18">
      <c r="A18" s="90"/>
      <c r="B18" s="62" t="s">
        <v>3281</v>
      </c>
      <c r="C18" s="45" t="s">
        <v>2065</v>
      </c>
      <c r="D18" s="62" t="s">
        <v>3486</v>
      </c>
      <c r="E18" s="120" t="str">
        <f>HYPERLINK("https://youtu.be/sZXVpxxO7s0?t=6672","channel 2")</f>
        <v>channel 2</v>
      </c>
    </row>
    <row r="19">
      <c r="A19" s="90"/>
      <c r="B19" s="62" t="s">
        <v>2139</v>
      </c>
      <c r="C19" s="45" t="s">
        <v>582</v>
      </c>
      <c r="D19" s="62" t="s">
        <v>3487</v>
      </c>
      <c r="E19" s="120" t="str">
        <f>HYPERLINK("https://youtu.be/tOB-jsga3k8?t=7553","channel 1")</f>
        <v>channel 1</v>
      </c>
    </row>
    <row r="20">
      <c r="A20" s="90"/>
      <c r="B20" s="62" t="s">
        <v>3281</v>
      </c>
      <c r="C20" s="45" t="s">
        <v>946</v>
      </c>
      <c r="D20" s="62" t="s">
        <v>1989</v>
      </c>
      <c r="E20" s="120" t="str">
        <f>HYPERLINK("https://youtu.be/sZXVpxxO7s0?t=7565","channel 2")</f>
        <v>channel 2</v>
      </c>
    </row>
    <row r="21">
      <c r="A21" s="90"/>
      <c r="B21" s="62" t="s">
        <v>3486</v>
      </c>
      <c r="C21" s="45" t="s">
        <v>16</v>
      </c>
      <c r="D21" s="62" t="s">
        <v>3487</v>
      </c>
      <c r="E21" s="120" t="str">
        <f>HYPERLINK("https://youtu.be/tOB-jsga3k8?t=8497","channel 1")</f>
        <v>channel 1</v>
      </c>
    </row>
    <row r="22">
      <c r="A22" s="90"/>
      <c r="B22" s="62" t="s">
        <v>2139</v>
      </c>
      <c r="C22" s="45" t="s">
        <v>549</v>
      </c>
      <c r="D22" s="62" t="s">
        <v>1989</v>
      </c>
      <c r="E22" s="120" t="str">
        <f>HYPERLINK("https://youtu.be/sZXVpxxO7s0?t=8433","channel 2")</f>
        <v>channel 2</v>
      </c>
    </row>
    <row r="23">
      <c r="A23" s="90"/>
      <c r="B23" s="96" t="s">
        <v>2203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2782</v>
      </c>
      <c r="C25" s="57" t="s">
        <v>278</v>
      </c>
      <c r="D25" s="62" t="s">
        <v>1832</v>
      </c>
      <c r="E25" s="11" t="str">
        <f>HYPERLINK("https://youtu.be/Hk6hxH_HdQM","channel 1")</f>
        <v>channel 1</v>
      </c>
    </row>
    <row r="26">
      <c r="A26" s="90"/>
      <c r="B26" s="62" t="s">
        <v>3239</v>
      </c>
      <c r="C26" s="57" t="s">
        <v>439</v>
      </c>
      <c r="D26" s="62" t="s">
        <v>1954</v>
      </c>
      <c r="E26" s="11" t="str">
        <f>HYPERLINK("https://youtu.be/2CTNeXEs5v4","channel 2")</f>
        <v>channel 2</v>
      </c>
    </row>
    <row r="27">
      <c r="A27" s="90"/>
      <c r="B27" s="62" t="s">
        <v>3394</v>
      </c>
      <c r="C27" s="57" t="s">
        <v>41</v>
      </c>
      <c r="D27" s="62" t="s">
        <v>2782</v>
      </c>
      <c r="E27" s="11" t="str">
        <f>HYPERLINK("https://youtu.be/Hk6hxH_HdQM?t=1070","channel 1")</f>
        <v>channel 1</v>
      </c>
    </row>
    <row r="28">
      <c r="A28" s="90"/>
      <c r="B28" s="62" t="s">
        <v>3239</v>
      </c>
      <c r="C28" s="57" t="s">
        <v>209</v>
      </c>
      <c r="D28" s="62" t="s">
        <v>1832</v>
      </c>
      <c r="E28" s="11" t="str">
        <f>HYPERLINK("https://youtu.be/2CTNeXEs5v4?t=1058","channel 2")</f>
        <v>channel 2</v>
      </c>
    </row>
    <row r="29">
      <c r="A29" s="90"/>
      <c r="B29" s="62" t="s">
        <v>3394</v>
      </c>
      <c r="C29" s="57" t="s">
        <v>232</v>
      </c>
      <c r="D29" s="62" t="s">
        <v>1954</v>
      </c>
      <c r="E29" s="11" t="str">
        <f>HYPERLINK("https://youtu.be/Hk6hxH_HdQM?t=1978","channel 1")</f>
        <v>channel 1</v>
      </c>
    </row>
    <row r="30">
      <c r="A30" s="90"/>
      <c r="B30" s="62" t="s">
        <v>3239</v>
      </c>
      <c r="C30" s="57" t="s">
        <v>278</v>
      </c>
      <c r="D30" s="62" t="s">
        <v>2782</v>
      </c>
      <c r="E30" s="11" t="str">
        <f>HYPERLINK("https://youtu.be/2CTNeXEs5v4?t=1996","channel 2")</f>
        <v>channel 2</v>
      </c>
    </row>
    <row r="31">
      <c r="A31" s="90"/>
      <c r="B31" s="62" t="s">
        <v>3394</v>
      </c>
      <c r="C31" s="57" t="s">
        <v>177</v>
      </c>
      <c r="D31" s="62" t="s">
        <v>1832</v>
      </c>
      <c r="E31" s="11" t="str">
        <f>HYPERLINK("https://youtu.be/Hk6hxH_HdQM?t=3004","channel 1")</f>
        <v>channel 1</v>
      </c>
    </row>
    <row r="32">
      <c r="A32" s="90"/>
      <c r="B32" s="62" t="s">
        <v>1954</v>
      </c>
      <c r="C32" s="57" t="s">
        <v>549</v>
      </c>
      <c r="D32" s="62" t="s">
        <v>2782</v>
      </c>
      <c r="E32" s="11" t="str">
        <f>HYPERLINK("https://youtu.be/2CTNeXEs5v4?t=2994","channel 2")</f>
        <v>channel 2</v>
      </c>
    </row>
    <row r="33">
      <c r="A33" s="90"/>
      <c r="B33" s="62" t="s">
        <v>3394</v>
      </c>
      <c r="C33" s="57" t="s">
        <v>245</v>
      </c>
      <c r="D33" s="62" t="s">
        <v>3239</v>
      </c>
      <c r="E33" s="11" t="str">
        <f>HYPERLINK("https://youtu.be/Hk6hxH_HdQM?t=3910","channel 1")</f>
        <v>channel 1</v>
      </c>
    </row>
    <row r="34">
      <c r="A34" s="90"/>
      <c r="B34" s="62" t="s">
        <v>1954</v>
      </c>
      <c r="C34" s="57" t="s">
        <v>209</v>
      </c>
      <c r="D34" s="62" t="s">
        <v>1832</v>
      </c>
      <c r="E34" s="11" t="str">
        <f>HYPERLINK("https://youtu.be/2CTNeXEs5v4?t=3912","channel 2")</f>
        <v>channel 2</v>
      </c>
    </row>
    <row r="35">
      <c r="A35" s="90"/>
      <c r="B35" s="62" t="s">
        <v>1832</v>
      </c>
      <c r="C35" s="57" t="s">
        <v>454</v>
      </c>
      <c r="D35" s="62" t="s">
        <v>2782</v>
      </c>
      <c r="E35" s="11" t="str">
        <f>HYPERLINK("https://youtu.be/Hk6hxH_HdQM?t=4846","channel 1")</f>
        <v>channel 1</v>
      </c>
    </row>
    <row r="36">
      <c r="A36" s="90"/>
      <c r="B36" s="62" t="s">
        <v>1954</v>
      </c>
      <c r="C36" s="57" t="s">
        <v>196</v>
      </c>
      <c r="D36" s="62" t="s">
        <v>3239</v>
      </c>
      <c r="E36" s="11" t="str">
        <f>HYPERLINK("https://youtu.be/2CTNeXEs5v4?t=4806","channel 2")</f>
        <v>channel 2</v>
      </c>
    </row>
    <row r="37">
      <c r="A37" s="90"/>
      <c r="B37" s="62" t="s">
        <v>2782</v>
      </c>
      <c r="C37" s="57" t="s">
        <v>180</v>
      </c>
      <c r="D37" s="62" t="s">
        <v>3394</v>
      </c>
      <c r="E37" s="11" t="str">
        <f>HYPERLINK("https://youtu.be/Hk6hxH_HdQM?t=5891","channel 1")</f>
        <v>channel 1</v>
      </c>
    </row>
    <row r="38">
      <c r="A38" s="90"/>
      <c r="B38" s="62" t="s">
        <v>1832</v>
      </c>
      <c r="C38" s="57" t="s">
        <v>181</v>
      </c>
      <c r="D38" s="62" t="s">
        <v>3239</v>
      </c>
      <c r="E38" s="11" t="str">
        <f>HYPERLINK("https://youtu.be/2CTNeXEs5v4?t=5850","channel 2")</f>
        <v>channel 2</v>
      </c>
    </row>
    <row r="39">
      <c r="A39" s="90"/>
      <c r="B39" s="62" t="s">
        <v>1954</v>
      </c>
      <c r="C39" s="57" t="s">
        <v>155</v>
      </c>
      <c r="D39" s="62" t="s">
        <v>3394</v>
      </c>
      <c r="E39" s="11" t="str">
        <f>HYPERLINK("https://youtu.be/Hk6hxH_HdQM?t=6812","channel 1")</f>
        <v>channel 1</v>
      </c>
    </row>
    <row r="40">
      <c r="A40" s="90"/>
      <c r="B40" s="62" t="s">
        <v>2782</v>
      </c>
      <c r="C40" s="57" t="s">
        <v>196</v>
      </c>
      <c r="D40" s="62" t="s">
        <v>3239</v>
      </c>
      <c r="E40" s="11" t="str">
        <f>HYPERLINK("https://youtu.be/2CTNeXEs5v4?t=6744","channel 2")</f>
        <v>channel 2</v>
      </c>
    </row>
    <row r="41">
      <c r="A41" s="90"/>
      <c r="B41" s="62" t="s">
        <v>1832</v>
      </c>
      <c r="C41" s="57" t="s">
        <v>196</v>
      </c>
      <c r="D41" s="62" t="s">
        <v>3394</v>
      </c>
      <c r="E41" s="11" t="str">
        <f>HYPERLINK("https://youtu.be/Hk6hxH_HdQM?t=7768","channel 1")</f>
        <v>channel 1</v>
      </c>
    </row>
    <row r="42">
      <c r="A42" s="90"/>
      <c r="B42" s="62" t="s">
        <v>2782</v>
      </c>
      <c r="C42" s="57" t="s">
        <v>229</v>
      </c>
      <c r="D42" s="62" t="s">
        <v>1954</v>
      </c>
      <c r="E42" s="11" t="str">
        <f>HYPERLINK("https://youtu.be/2CTNeXEs5v4?t=7666","channel 2")</f>
        <v>channel 2</v>
      </c>
    </row>
    <row r="43">
      <c r="A43" s="90"/>
      <c r="B43" s="62" t="s">
        <v>3239</v>
      </c>
      <c r="C43" s="57" t="s">
        <v>193</v>
      </c>
      <c r="D43" s="62" t="s">
        <v>3394</v>
      </c>
      <c r="E43" s="11" t="str">
        <f>HYPERLINK("https://youtu.be/Hk6hxH_HdQM?t=8719","channel 1")</f>
        <v>channel 1</v>
      </c>
    </row>
    <row r="44">
      <c r="A44" s="91"/>
      <c r="B44" s="62" t="s">
        <v>1832</v>
      </c>
      <c r="C44" s="57" t="s">
        <v>17</v>
      </c>
      <c r="D44" s="62" t="s">
        <v>1954</v>
      </c>
      <c r="E44" s="11" t="str">
        <f>HYPERLINK("https://youtu.be/2CTNeXEs5v4?t=8670","channel 2")</f>
        <v>channel 2</v>
      </c>
    </row>
    <row r="45">
      <c r="B45" s="96" t="s">
        <v>3097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3488</v>
      </c>
      <c r="C47" s="76" t="s">
        <v>42</v>
      </c>
      <c r="D47" s="61" t="s">
        <v>3489</v>
      </c>
      <c r="E47" s="11" t="str">
        <f>HYPERLINK("https://youtu.be/GixNFrGOKIo","channel 1")</f>
        <v>channel 1</v>
      </c>
    </row>
    <row r="48">
      <c r="B48" s="62" t="s">
        <v>3490</v>
      </c>
      <c r="C48" s="57" t="s">
        <v>43</v>
      </c>
      <c r="D48" s="62" t="s">
        <v>727</v>
      </c>
      <c r="E48" s="11" t="str">
        <f>HYPERLINK("https://youtu.be/3wo7rvFHqRU","channel 2")</f>
        <v>channel 2</v>
      </c>
    </row>
    <row r="49">
      <c r="B49" s="62" t="s">
        <v>3491</v>
      </c>
      <c r="C49" s="76" t="s">
        <v>42</v>
      </c>
      <c r="D49" s="62" t="s">
        <v>3488</v>
      </c>
      <c r="E49" s="11" t="str">
        <f>HYPERLINK("https://youtu.be/GixNFrGOKIo?t=994","channel 1")</f>
        <v>channel 1</v>
      </c>
    </row>
    <row r="50">
      <c r="B50" s="62" t="s">
        <v>3490</v>
      </c>
      <c r="C50" s="57" t="s">
        <v>464</v>
      </c>
      <c r="D50" s="61" t="s">
        <v>3489</v>
      </c>
      <c r="E50" s="11" t="str">
        <f>HYPERLINK("https://youtu.be/3wo7rvFHqRU?t=1011","channel 2")</f>
        <v>channel 2</v>
      </c>
    </row>
    <row r="51">
      <c r="B51" s="133" t="s">
        <v>3491</v>
      </c>
      <c r="C51" s="94" t="s">
        <v>433</v>
      </c>
      <c r="D51" s="133" t="s">
        <v>727</v>
      </c>
      <c r="E51" s="11" t="str">
        <f>HYPERLINK("https://youtu.be/GixNFrGOKIo?t=1884","channel 1")</f>
        <v>channel 1</v>
      </c>
    </row>
    <row r="52">
      <c r="B52" s="62" t="s">
        <v>3490</v>
      </c>
      <c r="C52" s="76" t="s">
        <v>182</v>
      </c>
      <c r="D52" s="62" t="s">
        <v>3488</v>
      </c>
      <c r="E52" s="11" t="str">
        <f>HYPERLINK("https://youtu.be/3wo7rvFHqRU?t=1889","channel 2")</f>
        <v>channel 2</v>
      </c>
    </row>
    <row r="53">
      <c r="B53" s="133" t="s">
        <v>3491</v>
      </c>
      <c r="C53" s="94" t="s">
        <v>239</v>
      </c>
      <c r="D53" s="114" t="s">
        <v>3489</v>
      </c>
      <c r="E53" s="11" t="str">
        <f>HYPERLINK("https://youtu.be/GixNFrGOKIo?t=2835","channel 1")</f>
        <v>channel 1</v>
      </c>
    </row>
    <row r="54">
      <c r="B54" s="62" t="s">
        <v>727</v>
      </c>
      <c r="C54" s="76" t="s">
        <v>23</v>
      </c>
      <c r="D54" s="62" t="s">
        <v>3488</v>
      </c>
      <c r="E54" s="11" t="str">
        <f>HYPERLINK("https://youtu.be/3wo7rvFHqRU?t=2936","channel 2")</f>
        <v>channel 2</v>
      </c>
    </row>
    <row r="55">
      <c r="B55" s="133" t="s">
        <v>3491</v>
      </c>
      <c r="C55" s="94" t="s">
        <v>198</v>
      </c>
      <c r="D55" s="133" t="s">
        <v>3490</v>
      </c>
      <c r="E55" s="11" t="str">
        <f>HYPERLINK("https://youtu.be/GixNFrGOKIo?t=3777","channel 1")</f>
        <v>channel 1</v>
      </c>
    </row>
    <row r="56">
      <c r="B56" s="62" t="s">
        <v>727</v>
      </c>
      <c r="C56" s="57" t="s">
        <v>271</v>
      </c>
      <c r="D56" s="61" t="s">
        <v>3489</v>
      </c>
      <c r="E56" s="11" t="str">
        <f>HYPERLINK("https://youtu.be/3wo7rvFHqRU?t=3887","channel 2")</f>
        <v>channel 2</v>
      </c>
    </row>
    <row r="57">
      <c r="B57" s="114" t="s">
        <v>3489</v>
      </c>
      <c r="C57" s="134" t="s">
        <v>575</v>
      </c>
      <c r="D57" s="133" t="s">
        <v>3488</v>
      </c>
      <c r="E57" s="11" t="str">
        <f>HYPERLINK("https://youtu.be/GixNFrGOKIo?t=4675","channel 1")</f>
        <v>channel 1</v>
      </c>
    </row>
    <row r="58">
      <c r="B58" s="62" t="s">
        <v>727</v>
      </c>
      <c r="C58" s="57" t="s">
        <v>218</v>
      </c>
      <c r="D58" s="62" t="s">
        <v>3490</v>
      </c>
      <c r="E58" s="11" t="str">
        <f>HYPERLINK("https://youtu.be/3wo7rvFHqRU?t=4725","channel 2")</f>
        <v>channel 2</v>
      </c>
    </row>
    <row r="59">
      <c r="B59" s="133" t="s">
        <v>3488</v>
      </c>
      <c r="C59" s="134" t="s">
        <v>256</v>
      </c>
      <c r="D59" s="133" t="s">
        <v>3491</v>
      </c>
      <c r="E59" s="11" t="str">
        <f>HYPERLINK("https://youtu.be/GixNFrGOKIo?t=5548","channel 1")</f>
        <v>channel 1</v>
      </c>
    </row>
    <row r="60">
      <c r="B60" s="61" t="s">
        <v>3489</v>
      </c>
      <c r="C60" s="45" t="s">
        <v>229</v>
      </c>
      <c r="D60" s="62" t="s">
        <v>3490</v>
      </c>
      <c r="E60" s="11" t="str">
        <f>HYPERLINK("https://youtu.be/3wo7rvFHqRU?t=5604","channel 2")</f>
        <v>channel 2</v>
      </c>
    </row>
    <row r="61">
      <c r="B61" s="62" t="s">
        <v>727</v>
      </c>
      <c r="C61" s="79" t="s">
        <v>23</v>
      </c>
      <c r="D61" s="62" t="s">
        <v>3491</v>
      </c>
      <c r="E61" s="11" t="str">
        <f>HYPERLINK("https://youtu.be/GixNFrGOKIo?t=6516","channel 1")</f>
        <v>channel 1</v>
      </c>
    </row>
    <row r="62">
      <c r="B62" s="62" t="s">
        <v>3488</v>
      </c>
      <c r="C62" s="76" t="s">
        <v>17</v>
      </c>
      <c r="D62" s="62" t="s">
        <v>3490</v>
      </c>
      <c r="E62" s="11" t="str">
        <f>HYPERLINK("https://youtu.be/3wo7rvFHqRU?t=6493","channel 2")</f>
        <v>channel 2</v>
      </c>
    </row>
    <row r="63">
      <c r="B63" s="61" t="s">
        <v>3489</v>
      </c>
      <c r="C63" s="79" t="s">
        <v>39</v>
      </c>
      <c r="D63" s="62" t="s">
        <v>3491</v>
      </c>
      <c r="E63" s="11" t="str">
        <f>HYPERLINK("https://youtu.be/GixNFrGOKIo?t=7432","channel 1")</f>
        <v>channel 1</v>
      </c>
    </row>
    <row r="64">
      <c r="B64" s="62" t="s">
        <v>3488</v>
      </c>
      <c r="C64" s="76" t="s">
        <v>464</v>
      </c>
      <c r="D64" s="62" t="s">
        <v>727</v>
      </c>
      <c r="E64" s="11" t="str">
        <f>HYPERLINK("https://youtu.be/3wo7rvFHqRU?t=7483","channel 2")</f>
        <v>channel 2</v>
      </c>
    </row>
    <row r="65">
      <c r="B65" s="62" t="s">
        <v>3490</v>
      </c>
      <c r="C65" s="79" t="s">
        <v>271</v>
      </c>
      <c r="D65" s="62" t="s">
        <v>3491</v>
      </c>
      <c r="E65" s="11" t="str">
        <f>HYPERLINK("https://youtu.be/GixNFrGOKIo?t=8339","channel 1")</f>
        <v>channel 1</v>
      </c>
    </row>
    <row r="66">
      <c r="B66" s="61" t="s">
        <v>3489</v>
      </c>
      <c r="C66" s="79" t="s">
        <v>279</v>
      </c>
      <c r="D66" s="62" t="s">
        <v>727</v>
      </c>
      <c r="E66" s="11" t="str">
        <f>HYPERLINK("https://youtu.be/3wo7rvFHqRU?t=8425","channel 2")</f>
        <v>channel 2</v>
      </c>
    </row>
    <row r="67">
      <c r="B67" s="96" t="s">
        <v>2335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3492</v>
      </c>
      <c r="C69" s="76" t="s">
        <v>911</v>
      </c>
      <c r="D69" s="61" t="s">
        <v>3493</v>
      </c>
      <c r="E69" s="11" t="str">
        <f>HYPERLINK("https://youtu.be/K7QVCEAwMYw","channel 1")</f>
        <v>channel 1</v>
      </c>
    </row>
    <row r="70">
      <c r="B70" s="62" t="s">
        <v>1347</v>
      </c>
      <c r="C70" s="76" t="s">
        <v>417</v>
      </c>
      <c r="D70" s="62" t="s">
        <v>3494</v>
      </c>
      <c r="E70" s="11" t="str">
        <f>HYPERLINK("https://youtu.be/pbAcc3rVSeA?t=64","channel 2")</f>
        <v>channel 2</v>
      </c>
    </row>
    <row r="71">
      <c r="B71" s="62" t="s">
        <v>3495</v>
      </c>
      <c r="C71" s="76" t="s">
        <v>302</v>
      </c>
      <c r="D71" s="62" t="s">
        <v>3492</v>
      </c>
      <c r="E71" s="11" t="str">
        <f>HYPERLINK("https://youtu.be/K7QVCEAwMYw?t=1620","channel 1")</f>
        <v>channel 1</v>
      </c>
    </row>
    <row r="72">
      <c r="B72" s="62" t="s">
        <v>1347</v>
      </c>
      <c r="C72" s="76" t="s">
        <v>1015</v>
      </c>
      <c r="D72" s="61" t="s">
        <v>3493</v>
      </c>
      <c r="E72" s="11" t="str">
        <f>HYPERLINK("https://youtu.be/pbAcc3rVSeA?t=1041","channel 2")</f>
        <v>channel 2</v>
      </c>
    </row>
    <row r="73">
      <c r="B73" s="62" t="s">
        <v>3495</v>
      </c>
      <c r="C73" s="76" t="s">
        <v>229</v>
      </c>
      <c r="D73" s="62" t="s">
        <v>3494</v>
      </c>
      <c r="E73" s="11" t="str">
        <f>HYPERLINK("https://youtu.be/K7QVCEAwMYw?t=2670","channel 1")</f>
        <v>channel 1</v>
      </c>
    </row>
    <row r="74">
      <c r="B74" s="62" t="s">
        <v>1347</v>
      </c>
      <c r="C74" s="76" t="s">
        <v>173</v>
      </c>
      <c r="D74" s="62" t="s">
        <v>3492</v>
      </c>
      <c r="E74" s="11" t="str">
        <f>HYPERLINK("https://youtu.be/pbAcc3rVSeA?t=2033","channel 2")</f>
        <v>channel 2</v>
      </c>
    </row>
    <row r="75">
      <c r="B75" s="62" t="s">
        <v>3495</v>
      </c>
      <c r="C75" s="76" t="s">
        <v>19</v>
      </c>
      <c r="D75" s="61" t="s">
        <v>3493</v>
      </c>
      <c r="E75" s="11" t="str">
        <f>HYPERLINK("https://youtu.be/K7QVCEAwMYw?t=3595","channel 1")</f>
        <v>channel 1</v>
      </c>
    </row>
    <row r="76">
      <c r="B76" s="62" t="s">
        <v>3494</v>
      </c>
      <c r="C76" s="76" t="s">
        <v>3496</v>
      </c>
      <c r="D76" s="62" t="s">
        <v>3492</v>
      </c>
      <c r="E76" s="11" t="str">
        <f>HYPERLINK("https://youtu.be/pbAcc3rVSeA?t=3129","channel 2")</f>
        <v>channel 2</v>
      </c>
    </row>
    <row r="77">
      <c r="B77" s="62" t="s">
        <v>3495</v>
      </c>
      <c r="C77" s="76" t="s">
        <v>181</v>
      </c>
      <c r="D77" s="62" t="s">
        <v>1347</v>
      </c>
      <c r="E77" s="11" t="str">
        <f>HYPERLINK("https://youtu.be/K7QVCEAwMYw?t=4490","channel 1")</f>
        <v>channel 1</v>
      </c>
    </row>
    <row r="78">
      <c r="B78" s="62" t="s">
        <v>3494</v>
      </c>
      <c r="C78" s="76" t="s">
        <v>210</v>
      </c>
      <c r="D78" s="61" t="s">
        <v>3493</v>
      </c>
      <c r="E78" s="11" t="str">
        <f>HYPERLINK("https://youtu.be/pbAcc3rVSeA?t=3996","channel 2")</f>
        <v>channel 2</v>
      </c>
    </row>
    <row r="79">
      <c r="B79" s="61" t="s">
        <v>3493</v>
      </c>
      <c r="C79" s="76" t="s">
        <v>225</v>
      </c>
      <c r="D79" s="62" t="s">
        <v>3492</v>
      </c>
      <c r="E79" s="11" t="str">
        <f>HYPERLINK("https://youtu.be/K7QVCEAwMYw?t=5430","channel 1")</f>
        <v>channel 1</v>
      </c>
    </row>
    <row r="80">
      <c r="B80" s="62" t="s">
        <v>3494</v>
      </c>
      <c r="C80" s="76" t="s">
        <v>257</v>
      </c>
      <c r="D80" s="62" t="s">
        <v>1347</v>
      </c>
      <c r="E80" s="11" t="str">
        <f>HYPERLINK("https://youtu.be/pbAcc3rVSeA?t=4913","channel 2")</f>
        <v>channel 2</v>
      </c>
    </row>
    <row r="81">
      <c r="B81" s="62" t="s">
        <v>3492</v>
      </c>
      <c r="C81" s="76" t="s">
        <v>418</v>
      </c>
      <c r="D81" s="62" t="s">
        <v>3495</v>
      </c>
      <c r="E81" s="11" t="str">
        <f>HYPERLINK("https://youtu.be/K7QVCEAwMYw?t=6419","channel 1")</f>
        <v>channel 1</v>
      </c>
    </row>
    <row r="82">
      <c r="B82" s="61" t="s">
        <v>3493</v>
      </c>
      <c r="C82" s="79" t="s">
        <v>362</v>
      </c>
      <c r="D82" s="62" t="s">
        <v>1347</v>
      </c>
      <c r="E82" s="11" t="str">
        <f>HYPERLINK("https://youtu.be/pbAcc3rVSeA?t=5801","channel 2")</f>
        <v>channel 2</v>
      </c>
    </row>
    <row r="83">
      <c r="B83" s="62" t="s">
        <v>3494</v>
      </c>
      <c r="C83" s="79" t="s">
        <v>245</v>
      </c>
      <c r="D83" s="62" t="s">
        <v>3495</v>
      </c>
      <c r="E83" s="11" t="str">
        <f>HYPERLINK("https://youtu.be/K7QVCEAwMYw?t=7379","channel 1")</f>
        <v>channel 1</v>
      </c>
    </row>
    <row r="84">
      <c r="B84" s="62" t="s">
        <v>3492</v>
      </c>
      <c r="C84" s="76" t="s">
        <v>421</v>
      </c>
      <c r="D84" s="62" t="s">
        <v>1347</v>
      </c>
      <c r="E84" s="11" t="str">
        <f>HYPERLINK("https://youtu.be/pbAcc3rVSeA?t=6782","channel 2")</f>
        <v>channel 2</v>
      </c>
    </row>
    <row r="85">
      <c r="B85" s="61" t="s">
        <v>3493</v>
      </c>
      <c r="C85" s="79" t="s">
        <v>27</v>
      </c>
      <c r="D85" s="62" t="s">
        <v>3495</v>
      </c>
      <c r="E85" s="11" t="str">
        <f>HYPERLINK("https://youtu.be/K7QVCEAwMYw?t=8310","channel 1")</f>
        <v>channel 1</v>
      </c>
    </row>
    <row r="86">
      <c r="B86" s="62" t="s">
        <v>3492</v>
      </c>
      <c r="C86" s="76" t="s">
        <v>464</v>
      </c>
      <c r="D86" s="62" t="s">
        <v>3494</v>
      </c>
      <c r="E86" s="11" t="str">
        <f>HYPERLINK("https://youtu.be/pbAcc3rVSeA?t=7700","channel 2")</f>
        <v>channel 2</v>
      </c>
    </row>
    <row r="87">
      <c r="B87" s="62" t="s">
        <v>1347</v>
      </c>
      <c r="C87" s="79" t="s">
        <v>18</v>
      </c>
      <c r="D87" s="62" t="s">
        <v>3495</v>
      </c>
      <c r="E87" s="11" t="str">
        <f>HYPERLINK("https://youtu.be/K7QVCEAwMYw?t=9270","channel 1")</f>
        <v>channel 1</v>
      </c>
    </row>
    <row r="88">
      <c r="B88" s="61" t="s">
        <v>3493</v>
      </c>
      <c r="C88" s="79" t="s">
        <v>43</v>
      </c>
      <c r="D88" s="62" t="s">
        <v>3494</v>
      </c>
      <c r="E88" s="11" t="str">
        <f>HYPERLINK("https://youtu.be/pbAcc3rVSeA?t=8731","channel 2")</f>
        <v>channel 2</v>
      </c>
    </row>
    <row r="89">
      <c r="B89" s="96" t="s">
        <v>2919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6" t="s">
        <v>5</v>
      </c>
    </row>
    <row r="91">
      <c r="B91" s="61" t="s">
        <v>857</v>
      </c>
      <c r="C91" s="94" t="s">
        <v>1389</v>
      </c>
      <c r="D91" s="61" t="s">
        <v>1443</v>
      </c>
      <c r="E91" s="11" t="str">
        <f>HYPERLINK("https://youtu.be/LvRifJGfze4","channel 3")</f>
        <v>channel 3</v>
      </c>
    </row>
    <row r="92">
      <c r="B92" s="61" t="s">
        <v>3369</v>
      </c>
      <c r="C92" s="94" t="s">
        <v>18</v>
      </c>
      <c r="D92" s="61" t="s">
        <v>858</v>
      </c>
      <c r="E92" s="11" t="str">
        <f>HYPERLINK("https://youtu.be/SkMA_DCsR3s","channel 4")</f>
        <v>channel 4</v>
      </c>
    </row>
    <row r="93">
      <c r="B93" s="61" t="s">
        <v>3497</v>
      </c>
      <c r="C93" s="94" t="s">
        <v>290</v>
      </c>
      <c r="D93" s="61" t="s">
        <v>857</v>
      </c>
      <c r="E93" s="11" t="str">
        <f>HYPERLINK("https://youtu.be/LvRifJGfze4?t=678","channel 3")</f>
        <v>channel 3</v>
      </c>
    </row>
    <row r="94">
      <c r="B94" s="61" t="s">
        <v>3369</v>
      </c>
      <c r="C94" s="94" t="s">
        <v>1120</v>
      </c>
      <c r="D94" s="61" t="s">
        <v>1443</v>
      </c>
      <c r="E94" s="125" t="s">
        <v>33</v>
      </c>
    </row>
    <row r="95">
      <c r="B95" s="61" t="s">
        <v>3497</v>
      </c>
      <c r="C95" s="94" t="s">
        <v>194</v>
      </c>
      <c r="D95" s="61" t="s">
        <v>858</v>
      </c>
      <c r="E95" s="11" t="str">
        <f>HYPERLINK("https://youtu.be/LvRifJGfze4?t=1576","channel 3")</f>
        <v>channel 3</v>
      </c>
    </row>
    <row r="96">
      <c r="B96" s="114" t="s">
        <v>3369</v>
      </c>
      <c r="C96" s="94" t="s">
        <v>19</v>
      </c>
      <c r="D96" s="114" t="s">
        <v>857</v>
      </c>
      <c r="E96" s="125" t="s">
        <v>33</v>
      </c>
    </row>
    <row r="97">
      <c r="B97" s="61" t="s">
        <v>3497</v>
      </c>
      <c r="C97" s="94" t="s">
        <v>193</v>
      </c>
      <c r="D97" s="61" t="s">
        <v>1443</v>
      </c>
      <c r="E97" s="11" t="str">
        <f>HYPERLINK("https://youtu.be/LvRifJGfze4?t=2474","channel 3")</f>
        <v>channel 3</v>
      </c>
    </row>
    <row r="98">
      <c r="B98" s="114" t="s">
        <v>858</v>
      </c>
      <c r="C98" s="94" t="s">
        <v>334</v>
      </c>
      <c r="D98" s="114" t="s">
        <v>857</v>
      </c>
      <c r="E98" s="125" t="s">
        <v>33</v>
      </c>
    </row>
    <row r="99">
      <c r="B99" s="61" t="s">
        <v>3497</v>
      </c>
      <c r="C99" s="94" t="s">
        <v>7</v>
      </c>
      <c r="D99" s="61" t="s">
        <v>3369</v>
      </c>
      <c r="E99" s="11" t="str">
        <f>HYPERLINK("https://youtu.be/LvRifJGfze4?t=3438","channel 3")</f>
        <v>channel 3</v>
      </c>
    </row>
    <row r="100">
      <c r="B100" s="61" t="s">
        <v>858</v>
      </c>
      <c r="C100" s="94" t="s">
        <v>225</v>
      </c>
      <c r="D100" s="61" t="s">
        <v>1443</v>
      </c>
      <c r="E100" s="125" t="s">
        <v>33</v>
      </c>
    </row>
    <row r="101">
      <c r="B101" s="61" t="s">
        <v>1443</v>
      </c>
      <c r="C101" s="94" t="s">
        <v>22</v>
      </c>
      <c r="D101" s="61" t="s">
        <v>857</v>
      </c>
      <c r="E101" s="11" t="str">
        <f>HYPERLINK("https://youtu.be/LvRifJGfze4?t=4337","channel 3")</f>
        <v>channel 3</v>
      </c>
    </row>
    <row r="102">
      <c r="B102" s="114" t="s">
        <v>858</v>
      </c>
      <c r="C102" s="94" t="s">
        <v>664</v>
      </c>
      <c r="D102" s="114" t="s">
        <v>3369</v>
      </c>
      <c r="E102" s="125" t="s">
        <v>33</v>
      </c>
    </row>
    <row r="103">
      <c r="B103" s="61" t="s">
        <v>857</v>
      </c>
      <c r="C103" s="94" t="s">
        <v>301</v>
      </c>
      <c r="D103" s="61" t="s">
        <v>3497</v>
      </c>
      <c r="E103" s="11" t="str">
        <f>HYPERLINK("https://youtu.be/LvRifJGfze4?t=5318","channel 3")</f>
        <v>channel 3</v>
      </c>
    </row>
    <row r="104">
      <c r="B104" s="61" t="s">
        <v>1443</v>
      </c>
      <c r="C104" s="84" t="s">
        <v>173</v>
      </c>
      <c r="D104" s="61" t="s">
        <v>3369</v>
      </c>
      <c r="E104" s="125" t="s">
        <v>33</v>
      </c>
    </row>
    <row r="105">
      <c r="B105" s="61" t="s">
        <v>858</v>
      </c>
      <c r="C105" s="94" t="s">
        <v>7</v>
      </c>
      <c r="D105" s="61" t="s">
        <v>3497</v>
      </c>
      <c r="E105" s="11" t="str">
        <f>HYPERLINK("https://youtu.be/LvRifJGfze4?t=6237","channel 3")</f>
        <v>channel 3</v>
      </c>
    </row>
    <row r="106">
      <c r="B106" s="61" t="s">
        <v>857</v>
      </c>
      <c r="C106" s="94" t="s">
        <v>291</v>
      </c>
      <c r="D106" s="61" t="s">
        <v>3369</v>
      </c>
      <c r="E106" s="125" t="s">
        <v>33</v>
      </c>
    </row>
    <row r="107">
      <c r="B107" s="61" t="s">
        <v>1443</v>
      </c>
      <c r="C107" s="94" t="s">
        <v>573</v>
      </c>
      <c r="D107" s="61" t="s">
        <v>3497</v>
      </c>
      <c r="E107" s="11" t="str">
        <f>HYPERLINK("https://youtu.be/LvRifJGfze4?t=7189","channel 3")</f>
        <v>channel 3</v>
      </c>
    </row>
    <row r="108">
      <c r="B108" s="61" t="s">
        <v>857</v>
      </c>
      <c r="C108" s="94" t="s">
        <v>3498</v>
      </c>
      <c r="D108" s="61" t="s">
        <v>858</v>
      </c>
      <c r="E108" s="125" t="s">
        <v>33</v>
      </c>
    </row>
    <row r="109">
      <c r="B109" s="61" t="s">
        <v>3369</v>
      </c>
      <c r="C109" s="94" t="s">
        <v>158</v>
      </c>
      <c r="D109" s="61" t="s">
        <v>3497</v>
      </c>
      <c r="E109" s="11" t="str">
        <f>HYPERLINK("https://youtu.be/LvRifJGfze4?t=8103","channel 3")</f>
        <v>channel 3</v>
      </c>
    </row>
    <row r="110">
      <c r="B110" s="61" t="s">
        <v>1443</v>
      </c>
      <c r="C110" s="94" t="s">
        <v>44</v>
      </c>
      <c r="D110" s="61" t="s">
        <v>858</v>
      </c>
      <c r="E110" s="125" t="s">
        <v>33</v>
      </c>
    </row>
    <row r="111">
      <c r="B111" s="96" t="s">
        <v>3141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6" t="s">
        <v>5</v>
      </c>
    </row>
    <row r="113">
      <c r="B113" s="61" t="s">
        <v>1826</v>
      </c>
      <c r="C113" s="94" t="s">
        <v>198</v>
      </c>
      <c r="D113" s="61" t="s">
        <v>2089</v>
      </c>
      <c r="E113" s="11" t="str">
        <f>HYPERLINK("https://youtu.be/AaHY4-EW1sU","channel 3")</f>
        <v>channel 3</v>
      </c>
    </row>
    <row r="114">
      <c r="B114" s="61" t="s">
        <v>3499</v>
      </c>
      <c r="C114" s="94" t="s">
        <v>279</v>
      </c>
      <c r="D114" s="61" t="s">
        <v>1984</v>
      </c>
      <c r="E114" s="11" t="str">
        <f>HYPERLINK("https://youtu.be/oG49fTzaizM","channel 4")</f>
        <v>channel 4</v>
      </c>
    </row>
    <row r="115">
      <c r="B115" s="61" t="s">
        <v>3500</v>
      </c>
      <c r="C115" s="94" t="s">
        <v>164</v>
      </c>
      <c r="D115" s="61" t="s">
        <v>1826</v>
      </c>
      <c r="E115" s="11" t="str">
        <f>HYPERLINK("https://youtu.be/AaHY4-EW1sU?t=1023","channel 3")</f>
        <v>channel 3</v>
      </c>
    </row>
    <row r="116">
      <c r="B116" s="61" t="s">
        <v>3499</v>
      </c>
      <c r="C116" s="94" t="s">
        <v>351</v>
      </c>
      <c r="D116" s="61" t="s">
        <v>2089</v>
      </c>
      <c r="E116" s="11" t="str">
        <f>HYPERLINK("https://youtu.be/oG49fTzaizM?t=907","channel 4")</f>
        <v>channel 4</v>
      </c>
    </row>
    <row r="117">
      <c r="B117" s="61" t="s">
        <v>3500</v>
      </c>
      <c r="C117" s="94" t="s">
        <v>231</v>
      </c>
      <c r="D117" s="61" t="s">
        <v>1984</v>
      </c>
      <c r="E117" s="11" t="str">
        <f>HYPERLINK("https://youtu.be/AaHY4-EW1sU?t=1944","channel 3")</f>
        <v>channel 3</v>
      </c>
    </row>
    <row r="118">
      <c r="B118" s="114" t="s">
        <v>3499</v>
      </c>
      <c r="C118" s="94" t="s">
        <v>640</v>
      </c>
      <c r="D118" s="114" t="s">
        <v>1826</v>
      </c>
      <c r="E118" s="11" t="str">
        <f>HYPERLINK("https://youtu.be/oG49fTzaizM?t=1843","channel 4")</f>
        <v>channel 4</v>
      </c>
    </row>
    <row r="119">
      <c r="B119" s="61" t="s">
        <v>3500</v>
      </c>
      <c r="C119" s="94" t="s">
        <v>525</v>
      </c>
      <c r="D119" s="61" t="s">
        <v>2089</v>
      </c>
      <c r="E119" s="11" t="str">
        <f>HYPERLINK("https://youtu.be/AaHY4-EW1sU?t=2885","channel 3")</f>
        <v>channel 3</v>
      </c>
    </row>
    <row r="120">
      <c r="B120" s="114" t="s">
        <v>1984</v>
      </c>
      <c r="C120" s="94" t="s">
        <v>271</v>
      </c>
      <c r="D120" s="114" t="s">
        <v>1826</v>
      </c>
      <c r="E120" s="11" t="str">
        <f>HYPERLINK("https://youtu.be/oG49fTzaizM?t=2769","channel 4")</f>
        <v>channel 4</v>
      </c>
    </row>
    <row r="121">
      <c r="B121" s="61" t="s">
        <v>3500</v>
      </c>
      <c r="C121" s="94" t="s">
        <v>193</v>
      </c>
      <c r="D121" s="61" t="s">
        <v>3499</v>
      </c>
      <c r="E121" s="11" t="str">
        <f>HYPERLINK("https://youtu.be/AaHY4-EW1sU?t=3823","channel 3")</f>
        <v>channel 3</v>
      </c>
    </row>
    <row r="122">
      <c r="B122" s="61" t="s">
        <v>1984</v>
      </c>
      <c r="C122" s="94" t="s">
        <v>354</v>
      </c>
      <c r="D122" s="61" t="s">
        <v>2089</v>
      </c>
      <c r="E122" s="11" t="str">
        <f>HYPERLINK("https://youtu.be/oG49fTzaizM?t=3725","channel 4")</f>
        <v>channel 4</v>
      </c>
    </row>
    <row r="123">
      <c r="B123" s="61" t="s">
        <v>2089</v>
      </c>
      <c r="C123" s="94" t="s">
        <v>289</v>
      </c>
      <c r="D123" s="61" t="s">
        <v>1826</v>
      </c>
      <c r="E123" s="11" t="str">
        <f>HYPERLINK("https://youtu.be/AaHY4-EW1sU?t=4751","channel 3")</f>
        <v>channel 3</v>
      </c>
    </row>
    <row r="124">
      <c r="B124" s="114" t="s">
        <v>1984</v>
      </c>
      <c r="C124" s="94" t="s">
        <v>278</v>
      </c>
      <c r="D124" s="114" t="s">
        <v>3499</v>
      </c>
      <c r="E124" s="11" t="str">
        <f>HYPERLINK("https://youtu.be/oG49fTzaizM?t=4658","channel 4")</f>
        <v>channel 4</v>
      </c>
    </row>
    <row r="125">
      <c r="B125" s="61" t="s">
        <v>1826</v>
      </c>
      <c r="C125" s="94" t="s">
        <v>182</v>
      </c>
      <c r="D125" s="61" t="s">
        <v>3500</v>
      </c>
      <c r="E125" s="11" t="str">
        <f>HYPERLINK("https://youtu.be/AaHY4-EW1sU?t=5712","channel 3")</f>
        <v>channel 3</v>
      </c>
    </row>
    <row r="126">
      <c r="B126" s="61" t="s">
        <v>2089</v>
      </c>
      <c r="C126" s="94" t="s">
        <v>155</v>
      </c>
      <c r="D126" s="61" t="s">
        <v>3499</v>
      </c>
      <c r="E126" s="11" t="str">
        <f>HYPERLINK("https://youtu.be/oG49fTzaizM?t=5606","channel 4")</f>
        <v>channel 4</v>
      </c>
    </row>
    <row r="127">
      <c r="B127" s="61" t="s">
        <v>1984</v>
      </c>
      <c r="C127" s="94" t="s">
        <v>395</v>
      </c>
      <c r="D127" s="61" t="s">
        <v>3500</v>
      </c>
      <c r="E127" s="11" t="str">
        <f>HYPERLINK("https://youtu.be/AaHY4-EW1sU?t=6657","channel 3")</f>
        <v>channel 3</v>
      </c>
    </row>
    <row r="128">
      <c r="B128" s="61" t="s">
        <v>1826</v>
      </c>
      <c r="C128" s="94" t="s">
        <v>324</v>
      </c>
      <c r="D128" s="61" t="s">
        <v>3499</v>
      </c>
      <c r="E128" s="11" t="str">
        <f>HYPERLINK("https://youtu.be/oG49fTzaizM?t=6552","channel 4")</f>
        <v>channel 4</v>
      </c>
    </row>
    <row r="129">
      <c r="B129" s="61" t="s">
        <v>2089</v>
      </c>
      <c r="C129" s="94" t="s">
        <v>184</v>
      </c>
      <c r="D129" s="61" t="s">
        <v>3500</v>
      </c>
      <c r="E129" s="11" t="str">
        <f>HYPERLINK("https://youtu.be/AaHY4-EW1sU?t=7582","channel 3")</f>
        <v>channel 3</v>
      </c>
    </row>
    <row r="130">
      <c r="B130" s="61" t="s">
        <v>1826</v>
      </c>
      <c r="C130" s="94" t="s">
        <v>44</v>
      </c>
      <c r="D130" s="61" t="s">
        <v>1984</v>
      </c>
      <c r="E130" s="11" t="str">
        <f>HYPERLINK("https://youtu.be/oG49fTzaizM?t=7482","channel 4")</f>
        <v>channel 4</v>
      </c>
    </row>
    <row r="131">
      <c r="B131" s="61" t="s">
        <v>3499</v>
      </c>
      <c r="C131" s="94" t="s">
        <v>3501</v>
      </c>
      <c r="D131" s="61" t="s">
        <v>3500</v>
      </c>
      <c r="E131" s="11" t="str">
        <f>HYPERLINK("https://youtu.be/AaHY4-EW1sU?t=8554","channel 3")</f>
        <v>channel 3</v>
      </c>
    </row>
    <row r="132">
      <c r="B132" s="61" t="s">
        <v>2089</v>
      </c>
      <c r="C132" s="94" t="s">
        <v>14</v>
      </c>
      <c r="D132" s="61" t="s">
        <v>1984</v>
      </c>
      <c r="E132" s="11" t="str">
        <f>HYPERLINK("https://youtu.be/oG49fTzaizM?t=8504","channel 4")</f>
        <v>channel 4</v>
      </c>
    </row>
    <row r="133">
      <c r="B133" s="96" t="s">
        <v>2417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3502</v>
      </c>
      <c r="C135" s="94" t="s">
        <v>298</v>
      </c>
      <c r="D135" s="61" t="s">
        <v>3503</v>
      </c>
      <c r="E135" s="11" t="str">
        <f>HYPERLINK("https://youtu.be/gPrBlxLMd4Y","channel 1")</f>
        <v>channel 1</v>
      </c>
    </row>
    <row r="136">
      <c r="B136" s="62" t="s">
        <v>1911</v>
      </c>
      <c r="C136" s="94" t="s">
        <v>239</v>
      </c>
      <c r="D136" s="61" t="s">
        <v>3504</v>
      </c>
      <c r="E136" s="11" t="str">
        <f>HYPERLINK("https://youtu.be/A-t7KfIUFIc?t=109","channel 2")</f>
        <v>channel 2</v>
      </c>
    </row>
    <row r="137">
      <c r="B137" s="62" t="s">
        <v>541</v>
      </c>
      <c r="C137" s="94" t="s">
        <v>16</v>
      </c>
      <c r="D137" s="62" t="s">
        <v>3502</v>
      </c>
      <c r="E137" s="11" t="str">
        <f>HYPERLINK("https://youtu.be/gPrBlxLMd4Y?t=1011","channel 1")</f>
        <v>channel 1</v>
      </c>
    </row>
    <row r="138">
      <c r="B138" s="62" t="s">
        <v>1911</v>
      </c>
      <c r="C138" s="94" t="s">
        <v>17</v>
      </c>
      <c r="D138" s="61" t="s">
        <v>3503</v>
      </c>
      <c r="E138" s="11" t="str">
        <f>HYPERLINK("https://youtu.be/A-t7KfIUFIc?t=1043","channel 2")</f>
        <v>channel 2</v>
      </c>
    </row>
    <row r="139">
      <c r="B139" s="62" t="s">
        <v>541</v>
      </c>
      <c r="C139" s="94" t="s">
        <v>751</v>
      </c>
      <c r="D139" s="61" t="s">
        <v>3504</v>
      </c>
      <c r="E139" s="11" t="str">
        <f>HYPERLINK("https://youtu.be/gPrBlxLMd4Y?t=1929","channel 1")</f>
        <v>channel 1</v>
      </c>
    </row>
    <row r="140">
      <c r="B140" s="62" t="s">
        <v>1911</v>
      </c>
      <c r="C140" s="94" t="s">
        <v>16</v>
      </c>
      <c r="D140" s="62" t="s">
        <v>3502</v>
      </c>
      <c r="E140" s="11" t="str">
        <f>HYPERLINK("https://youtu.be/A-t7KfIUFIc?t=1972","channel 2")</f>
        <v>channel 2</v>
      </c>
    </row>
    <row r="141">
      <c r="B141" s="62" t="s">
        <v>541</v>
      </c>
      <c r="C141" s="94" t="s">
        <v>210</v>
      </c>
      <c r="D141" s="61" t="s">
        <v>3503</v>
      </c>
      <c r="E141" s="11" t="str">
        <f>HYPERLINK("https://youtu.be/gPrBlxLMd4Y?t=2863","channel 1")</f>
        <v>channel 1</v>
      </c>
    </row>
    <row r="142">
      <c r="B142" s="61" t="s">
        <v>3504</v>
      </c>
      <c r="C142" s="94" t="s">
        <v>220</v>
      </c>
      <c r="D142" s="62" t="s">
        <v>3502</v>
      </c>
      <c r="E142" s="11" t="str">
        <f>HYPERLINK("https://youtu.be/A-t7KfIUFIc?t=2896","channel 2")</f>
        <v>channel 2</v>
      </c>
    </row>
    <row r="143">
      <c r="B143" s="62" t="s">
        <v>541</v>
      </c>
      <c r="C143" s="94" t="s">
        <v>357</v>
      </c>
      <c r="D143" s="62" t="s">
        <v>1911</v>
      </c>
      <c r="E143" s="11" t="str">
        <f>HYPERLINK("https://youtu.be/gPrBlxLMd4Y?t=3797","channel 1")</f>
        <v>channel 1</v>
      </c>
    </row>
    <row r="144">
      <c r="B144" s="61" t="s">
        <v>3504</v>
      </c>
      <c r="C144" s="94" t="s">
        <v>185</v>
      </c>
      <c r="D144" s="61" t="s">
        <v>3503</v>
      </c>
      <c r="E144" s="11" t="str">
        <f>HYPERLINK("https://youtu.be/A-t7KfIUFIc?t=3820","channel 2")</f>
        <v>channel 2</v>
      </c>
    </row>
    <row r="145">
      <c r="B145" s="61" t="s">
        <v>3503</v>
      </c>
      <c r="C145" s="94" t="s">
        <v>239</v>
      </c>
      <c r="D145" s="62" t="s">
        <v>3502</v>
      </c>
      <c r="E145" s="11" t="str">
        <f>HYPERLINK("https://youtu.be/gPrBlxLMd4Y?t=4697","channel 1")</f>
        <v>channel 1</v>
      </c>
    </row>
    <row r="146">
      <c r="B146" s="61" t="s">
        <v>3504</v>
      </c>
      <c r="C146" s="94" t="s">
        <v>536</v>
      </c>
      <c r="D146" s="62" t="s">
        <v>1911</v>
      </c>
      <c r="E146" s="11" t="str">
        <f>HYPERLINK("https://youtu.be/A-t7KfIUFIc?t=4725","channel 2")</f>
        <v>channel 2</v>
      </c>
    </row>
    <row r="147">
      <c r="B147" s="62" t="s">
        <v>3502</v>
      </c>
      <c r="C147" s="94" t="s">
        <v>575</v>
      </c>
      <c r="D147" s="62" t="s">
        <v>541</v>
      </c>
      <c r="E147" s="11" t="str">
        <f>HYPERLINK("https://youtu.be/gPrBlxLMd4Y?t=5667","channel 1")</f>
        <v>channel 1</v>
      </c>
    </row>
    <row r="148">
      <c r="B148" s="61" t="s">
        <v>3503</v>
      </c>
      <c r="C148" s="94" t="s">
        <v>334</v>
      </c>
      <c r="D148" s="62" t="s">
        <v>1911</v>
      </c>
      <c r="E148" s="11" t="str">
        <f>HYPERLINK("https://youtu.be/A-t7KfIUFIc?t=5689","channel 2")</f>
        <v>channel 2</v>
      </c>
    </row>
    <row r="149">
      <c r="B149" s="61" t="s">
        <v>3504</v>
      </c>
      <c r="C149" s="94" t="s">
        <v>665</v>
      </c>
      <c r="D149" s="62" t="s">
        <v>541</v>
      </c>
      <c r="E149" s="11" t="str">
        <f>HYPERLINK("https://youtu.be/gPrBlxLMd4Y?t=6594","channel 1")</f>
        <v>channel 1</v>
      </c>
    </row>
    <row r="150">
      <c r="B150" s="62" t="s">
        <v>3502</v>
      </c>
      <c r="C150" s="94" t="s">
        <v>165</v>
      </c>
      <c r="D150" s="62" t="s">
        <v>1911</v>
      </c>
      <c r="E150" s="11" t="str">
        <f>HYPERLINK("https://youtu.be/A-t7KfIUFIc?t=6622","channel 2")</f>
        <v>channel 2</v>
      </c>
    </row>
    <row r="151">
      <c r="B151" s="61" t="s">
        <v>3503</v>
      </c>
      <c r="C151" s="94" t="s">
        <v>24</v>
      </c>
      <c r="D151" s="62" t="s">
        <v>541</v>
      </c>
      <c r="E151" s="11" t="str">
        <f>HYPERLINK("https://youtu.be/gPrBlxLMd4Y?t=7521","channel 1")</f>
        <v>channel 1</v>
      </c>
    </row>
    <row r="152">
      <c r="B152" s="62" t="s">
        <v>3502</v>
      </c>
      <c r="C152" s="94" t="s">
        <v>42</v>
      </c>
      <c r="D152" s="61" t="s">
        <v>3504</v>
      </c>
      <c r="E152" s="11" t="str">
        <f>HYPERLINK("https://youtu.be/A-t7KfIUFIc?t=7636","channel 2")</f>
        <v>channel 2</v>
      </c>
    </row>
    <row r="153">
      <c r="B153" s="62" t="s">
        <v>1911</v>
      </c>
      <c r="C153" s="94" t="s">
        <v>547</v>
      </c>
      <c r="D153" s="62" t="s">
        <v>541</v>
      </c>
      <c r="E153" s="11" t="str">
        <f>HYPERLINK("https://youtu.be/gPrBlxLMd4Y?t=8424","channel 1")</f>
        <v>channel 1</v>
      </c>
    </row>
    <row r="154">
      <c r="B154" s="61" t="s">
        <v>3503</v>
      </c>
      <c r="C154" s="94" t="s">
        <v>3505</v>
      </c>
      <c r="D154" s="61" t="s">
        <v>3504</v>
      </c>
      <c r="E154" s="11" t="str">
        <f>HYPERLINK("https://youtu.be/A-t7KfIUFIc?t=8610","channel 2")</f>
        <v>channel 2</v>
      </c>
    </row>
    <row r="155">
      <c r="B155" s="96" t="s">
        <v>1803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3506</v>
      </c>
      <c r="C157" s="94" t="s">
        <v>697</v>
      </c>
      <c r="D157" s="61" t="s">
        <v>3507</v>
      </c>
      <c r="E157" s="11" t="str">
        <f>HYPERLINK("https://youtu.be/_JQ9qJU6m1I","channel 1")</f>
        <v>channel 1</v>
      </c>
    </row>
    <row r="158">
      <c r="B158" s="62" t="s">
        <v>1018</v>
      </c>
      <c r="C158" s="94" t="s">
        <v>31</v>
      </c>
      <c r="D158" s="61" t="s">
        <v>3028</v>
      </c>
      <c r="E158" s="11" t="str">
        <f>HYPERLINK("https://youtu.be/YC8qAxxbJxs?t=106","channel 2")</f>
        <v>channel 2</v>
      </c>
    </row>
    <row r="159">
      <c r="B159" s="62" t="s">
        <v>192</v>
      </c>
      <c r="C159" s="94" t="s">
        <v>20</v>
      </c>
      <c r="D159" s="62" t="s">
        <v>3506</v>
      </c>
      <c r="E159" s="11" t="str">
        <f>HYPERLINK("https://youtu.be/_JQ9qJU6m1I?t=1084","channel 1")</f>
        <v>channel 1</v>
      </c>
    </row>
    <row r="160">
      <c r="B160" s="62" t="s">
        <v>1018</v>
      </c>
      <c r="C160" s="94" t="s">
        <v>7</v>
      </c>
      <c r="D160" s="61" t="s">
        <v>3507</v>
      </c>
      <c r="E160" s="11" t="str">
        <f>HYPERLINK("https://youtu.be/YC8qAxxbJxs?t=1038","channel 2")</f>
        <v>channel 2</v>
      </c>
    </row>
    <row r="161">
      <c r="B161" s="62" t="s">
        <v>192</v>
      </c>
      <c r="C161" s="94" t="s">
        <v>19</v>
      </c>
      <c r="D161" s="61" t="s">
        <v>3028</v>
      </c>
      <c r="E161" s="11" t="str">
        <f>HYPERLINK("https://youtu.be/_JQ9qJU6m1I?t=2013","channel 1")</f>
        <v>channel 1</v>
      </c>
    </row>
    <row r="162">
      <c r="B162" s="62" t="s">
        <v>1018</v>
      </c>
      <c r="C162" s="94" t="s">
        <v>23</v>
      </c>
      <c r="D162" s="62" t="s">
        <v>3506</v>
      </c>
      <c r="E162" s="11" t="str">
        <f>HYPERLINK("https://youtu.be/YC8qAxxbJxs?t=1927","channel 2")</f>
        <v>channel 2</v>
      </c>
    </row>
    <row r="163">
      <c r="B163" s="62" t="s">
        <v>192</v>
      </c>
      <c r="C163" s="94" t="s">
        <v>380</v>
      </c>
      <c r="D163" s="61" t="s">
        <v>3507</v>
      </c>
      <c r="E163" s="11" t="str">
        <f>HYPERLINK("https://youtu.be/_JQ9qJU6m1I?t=2948","channel 1")</f>
        <v>channel 1</v>
      </c>
    </row>
    <row r="164">
      <c r="B164" s="61" t="s">
        <v>3028</v>
      </c>
      <c r="C164" s="94" t="s">
        <v>487</v>
      </c>
      <c r="D164" s="62" t="s">
        <v>3506</v>
      </c>
      <c r="E164" s="11" t="str">
        <f>HYPERLINK("https://youtu.be/YC8qAxxbJxs?t=2904","channel 2")</f>
        <v>channel 2</v>
      </c>
    </row>
    <row r="165">
      <c r="B165" s="62" t="s">
        <v>192</v>
      </c>
      <c r="C165" s="94" t="s">
        <v>198</v>
      </c>
      <c r="D165" s="62" t="s">
        <v>1018</v>
      </c>
      <c r="E165" s="11" t="str">
        <f>HYPERLINK("https://youtu.be/_JQ9qJU6m1I?t=3920","channel 1")</f>
        <v>channel 1</v>
      </c>
    </row>
    <row r="166">
      <c r="B166" s="61" t="s">
        <v>3028</v>
      </c>
      <c r="C166" s="94" t="s">
        <v>176</v>
      </c>
      <c r="D166" s="61" t="s">
        <v>3507</v>
      </c>
      <c r="E166" s="11" t="str">
        <f>HYPERLINK("https://youtu.be/YC8qAxxbJxs?t=3890","channel 2")</f>
        <v>channel 2</v>
      </c>
    </row>
    <row r="167">
      <c r="B167" s="61" t="s">
        <v>3507</v>
      </c>
      <c r="C167" s="94" t="s">
        <v>17</v>
      </c>
      <c r="D167" s="62" t="s">
        <v>3506</v>
      </c>
      <c r="E167" s="11" t="str">
        <f>HYPERLINK("https://youtu.be/_JQ9qJU6m1I?t=4827","channel 1")</f>
        <v>channel 1</v>
      </c>
    </row>
    <row r="168">
      <c r="B168" s="61" t="s">
        <v>3028</v>
      </c>
      <c r="C168" s="94" t="s">
        <v>177</v>
      </c>
      <c r="D168" s="62" t="s">
        <v>1018</v>
      </c>
      <c r="E168" s="11" t="str">
        <f>HYPERLINK("https://youtu.be/YC8qAxxbJxs?t=4848","channel 2")</f>
        <v>channel 2</v>
      </c>
    </row>
    <row r="169">
      <c r="B169" s="62" t="s">
        <v>3506</v>
      </c>
      <c r="C169" s="94" t="s">
        <v>162</v>
      </c>
      <c r="D169" s="62" t="s">
        <v>192</v>
      </c>
      <c r="E169" s="11" t="str">
        <f>HYPERLINK("https://youtu.be/_JQ9qJU6m1I?t=5824","channel 1")</f>
        <v>channel 1</v>
      </c>
    </row>
    <row r="170">
      <c r="B170" s="61" t="s">
        <v>3507</v>
      </c>
      <c r="C170" s="94" t="s">
        <v>489</v>
      </c>
      <c r="D170" s="62" t="s">
        <v>1018</v>
      </c>
      <c r="E170" s="11" t="str">
        <f>HYPERLINK("https://youtu.be/YC8qAxxbJxs?t=5766","channel 2")</f>
        <v>channel 2</v>
      </c>
    </row>
    <row r="171">
      <c r="B171" s="61" t="s">
        <v>3028</v>
      </c>
      <c r="C171" s="94" t="s">
        <v>464</v>
      </c>
      <c r="D171" s="62" t="s">
        <v>192</v>
      </c>
      <c r="E171" s="11" t="str">
        <f>HYPERLINK("https://youtu.be/_JQ9qJU6m1I?t=6697","channel 1")</f>
        <v>channel 1</v>
      </c>
    </row>
    <row r="172">
      <c r="B172" s="62" t="s">
        <v>3506</v>
      </c>
      <c r="C172" s="94" t="s">
        <v>394</v>
      </c>
      <c r="D172" s="62" t="s">
        <v>1018</v>
      </c>
      <c r="E172" s="11" t="str">
        <f>HYPERLINK("https://youtu.be/YC8qAxxbJxs?t=6759","channel 2")</f>
        <v>channel 2</v>
      </c>
    </row>
    <row r="173">
      <c r="B173" s="61" t="s">
        <v>3507</v>
      </c>
      <c r="C173" s="94" t="s">
        <v>193</v>
      </c>
      <c r="D173" s="62" t="s">
        <v>192</v>
      </c>
      <c r="E173" s="11" t="str">
        <f>HYPERLINK("https://youtu.be/_JQ9qJU6m1I?t=7590","channel 1")</f>
        <v>channel 1</v>
      </c>
    </row>
    <row r="174">
      <c r="B174" s="62" t="s">
        <v>3506</v>
      </c>
      <c r="C174" s="94" t="s">
        <v>209</v>
      </c>
      <c r="D174" s="61" t="s">
        <v>3028</v>
      </c>
      <c r="E174" s="11" t="str">
        <f>HYPERLINK("https://youtu.be/YC8qAxxbJxs?t=7740","channel 2")</f>
        <v>channel 2</v>
      </c>
    </row>
    <row r="175">
      <c r="B175" s="62" t="s">
        <v>1018</v>
      </c>
      <c r="C175" s="94" t="s">
        <v>24</v>
      </c>
      <c r="D175" s="62" t="s">
        <v>192</v>
      </c>
      <c r="E175" s="11" t="str">
        <f>HYPERLINK("https://youtu.be/_JQ9qJU6m1I?t=8530","channel 1")</f>
        <v>channel 1</v>
      </c>
    </row>
    <row r="176">
      <c r="B176" s="61" t="s">
        <v>3507</v>
      </c>
      <c r="C176" s="94" t="s">
        <v>497</v>
      </c>
      <c r="D176" s="61" t="s">
        <v>3028</v>
      </c>
      <c r="E176" s="11" t="str">
        <f>HYPERLINK("https://youtu.be/YC8qAxxbJxs?t=8682","channel 2")</f>
        <v>channel 2</v>
      </c>
    </row>
    <row r="177">
      <c r="B177" s="96" t="s">
        <v>3083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6" t="s">
        <v>5</v>
      </c>
    </row>
    <row r="179">
      <c r="B179" s="61" t="s">
        <v>3508</v>
      </c>
      <c r="C179" s="94" t="s">
        <v>162</v>
      </c>
      <c r="D179" s="61" t="s">
        <v>1628</v>
      </c>
      <c r="E179" s="11" t="str">
        <f>HYPERLINK("https://youtu.be/dxOqTDjcqcA","channel 3")</f>
        <v>channel 3</v>
      </c>
    </row>
    <row r="180">
      <c r="B180" s="61" t="s">
        <v>2159</v>
      </c>
      <c r="C180" s="94" t="s">
        <v>448</v>
      </c>
      <c r="D180" s="61" t="s">
        <v>59</v>
      </c>
      <c r="E180" s="11" t="str">
        <f>HYPERLINK("https://youtu.be/lIW7Gy9K3Sk","channel 4")</f>
        <v>channel 4</v>
      </c>
    </row>
    <row r="181">
      <c r="B181" s="61" t="s">
        <v>3509</v>
      </c>
      <c r="C181" s="94" t="s">
        <v>281</v>
      </c>
      <c r="D181" s="61" t="s">
        <v>3508</v>
      </c>
      <c r="E181" s="11" t="str">
        <f>HYPERLINK("https://youtu.be/dxOqTDjcqcA?t=989","channel 3")</f>
        <v>channel 3</v>
      </c>
    </row>
    <row r="182">
      <c r="B182" s="61" t="s">
        <v>2159</v>
      </c>
      <c r="C182" s="94" t="s">
        <v>462</v>
      </c>
      <c r="D182" s="61" t="s">
        <v>1628</v>
      </c>
      <c r="E182" s="125" t="s">
        <v>33</v>
      </c>
    </row>
    <row r="183">
      <c r="B183" s="61" t="s">
        <v>3509</v>
      </c>
      <c r="C183" s="94" t="s">
        <v>18</v>
      </c>
      <c r="D183" s="61" t="s">
        <v>59</v>
      </c>
      <c r="E183" s="11" t="str">
        <f>HYPERLINK("https://youtu.be/dxOqTDjcqcA?t=1952","channel 3")</f>
        <v>channel 3</v>
      </c>
    </row>
    <row r="184">
      <c r="B184" s="114" t="s">
        <v>2159</v>
      </c>
      <c r="C184" s="94" t="s">
        <v>2360</v>
      </c>
      <c r="D184" s="114" t="s">
        <v>3508</v>
      </c>
      <c r="E184" s="125" t="s">
        <v>33</v>
      </c>
    </row>
    <row r="185">
      <c r="B185" s="61" t="s">
        <v>3509</v>
      </c>
      <c r="C185" s="94" t="s">
        <v>209</v>
      </c>
      <c r="D185" s="61" t="s">
        <v>1628</v>
      </c>
      <c r="E185" s="11" t="str">
        <f>HYPERLINK("https://youtu.be/dxOqTDjcqcA?t=2890","channel 3")</f>
        <v>channel 3</v>
      </c>
    </row>
    <row r="186">
      <c r="B186" s="114" t="s">
        <v>59</v>
      </c>
      <c r="C186" s="94" t="s">
        <v>31</v>
      </c>
      <c r="D186" s="114" t="s">
        <v>3508</v>
      </c>
      <c r="E186" s="125" t="s">
        <v>33</v>
      </c>
    </row>
    <row r="187">
      <c r="B187" s="61" t="s">
        <v>3509</v>
      </c>
      <c r="C187" s="94" t="s">
        <v>155</v>
      </c>
      <c r="D187" s="61" t="s">
        <v>2159</v>
      </c>
      <c r="E187" s="11" t="str">
        <f>HYPERLINK("https://youtu.be/dxOqTDjcqcA?t=3838","channel 3")</f>
        <v>channel 3</v>
      </c>
    </row>
    <row r="188">
      <c r="B188" s="61" t="s">
        <v>59</v>
      </c>
      <c r="C188" s="94" t="s">
        <v>173</v>
      </c>
      <c r="D188" s="61" t="s">
        <v>1628</v>
      </c>
      <c r="E188" s="125" t="s">
        <v>33</v>
      </c>
    </row>
    <row r="189">
      <c r="B189" s="61" t="s">
        <v>1628</v>
      </c>
      <c r="C189" s="94" t="s">
        <v>250</v>
      </c>
      <c r="D189" s="61" t="s">
        <v>3508</v>
      </c>
      <c r="E189" s="11" t="str">
        <f>HYPERLINK("https://youtu.be/dxOqTDjcqcA?t=4755","channel 3")</f>
        <v>channel 3</v>
      </c>
    </row>
    <row r="190">
      <c r="B190" s="114" t="s">
        <v>59</v>
      </c>
      <c r="C190" s="94" t="s">
        <v>477</v>
      </c>
      <c r="D190" s="114" t="s">
        <v>2159</v>
      </c>
      <c r="E190" s="125" t="s">
        <v>33</v>
      </c>
    </row>
    <row r="191">
      <c r="B191" s="61" t="s">
        <v>3508</v>
      </c>
      <c r="C191" s="94" t="s">
        <v>351</v>
      </c>
      <c r="D191" s="61" t="s">
        <v>3509</v>
      </c>
      <c r="E191" s="11" t="str">
        <f>HYPERLINK("https://youtu.be/dxOqTDjcqcA?t=5725","channel 3")</f>
        <v>channel 3</v>
      </c>
    </row>
    <row r="192">
      <c r="B192" s="61" t="s">
        <v>1628</v>
      </c>
      <c r="C192" s="94" t="s">
        <v>233</v>
      </c>
      <c r="D192" s="61" t="s">
        <v>2159</v>
      </c>
      <c r="E192" s="125" t="s">
        <v>33</v>
      </c>
    </row>
    <row r="193">
      <c r="B193" s="61" t="s">
        <v>59</v>
      </c>
      <c r="C193" s="94" t="s">
        <v>225</v>
      </c>
      <c r="D193" s="61" t="s">
        <v>3509</v>
      </c>
      <c r="E193" s="11" t="str">
        <f>HYPERLINK("https://youtu.be/dxOqTDjcqcA?t=6699","channel 3")</f>
        <v>channel 3</v>
      </c>
    </row>
    <row r="194">
      <c r="B194" s="61" t="s">
        <v>3508</v>
      </c>
      <c r="C194" s="94" t="s">
        <v>165</v>
      </c>
      <c r="D194" s="61" t="s">
        <v>2159</v>
      </c>
      <c r="E194" s="125" t="s">
        <v>33</v>
      </c>
    </row>
    <row r="195">
      <c r="B195" s="61" t="s">
        <v>1628</v>
      </c>
      <c r="C195" s="94" t="s">
        <v>230</v>
      </c>
      <c r="D195" s="61" t="s">
        <v>3509</v>
      </c>
      <c r="E195" s="11" t="str">
        <f>HYPERLINK("https://youtu.be/dxOqTDjcqcA?t=7620","channel 3")</f>
        <v>channel 3</v>
      </c>
    </row>
    <row r="196">
      <c r="B196" s="61" t="s">
        <v>3508</v>
      </c>
      <c r="C196" s="94" t="s">
        <v>286</v>
      </c>
      <c r="D196" s="61" t="s">
        <v>59</v>
      </c>
      <c r="E196" s="125" t="s">
        <v>33</v>
      </c>
    </row>
    <row r="197">
      <c r="B197" s="61" t="s">
        <v>2159</v>
      </c>
      <c r="C197" s="94" t="s">
        <v>41</v>
      </c>
      <c r="D197" s="61" t="s">
        <v>3509</v>
      </c>
      <c r="E197" s="11" t="str">
        <f>HYPERLINK("https://youtu.be/dxOqTDjcqcA?t=8584","channel 3")</f>
        <v>channel 3</v>
      </c>
    </row>
    <row r="198">
      <c r="B198" s="61" t="s">
        <v>1628</v>
      </c>
      <c r="C198" s="94" t="s">
        <v>464</v>
      </c>
      <c r="D198" s="61" t="s">
        <v>59</v>
      </c>
      <c r="E198" s="125" t="s">
        <v>33</v>
      </c>
    </row>
    <row r="199">
      <c r="B199" s="96" t="s">
        <v>2712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6" t="s">
        <v>5</v>
      </c>
    </row>
    <row r="201">
      <c r="B201" s="61" t="s">
        <v>1712</v>
      </c>
      <c r="C201" s="94" t="s">
        <v>159</v>
      </c>
      <c r="D201" s="61" t="s">
        <v>885</v>
      </c>
      <c r="E201" s="11" t="str">
        <f>HYPERLINK("https://youtu.be/RL0Nec2btvI","channel 3")</f>
        <v>channel 3</v>
      </c>
    </row>
    <row r="202">
      <c r="B202" s="61" t="s">
        <v>2253</v>
      </c>
      <c r="C202" s="94" t="s">
        <v>14</v>
      </c>
      <c r="D202" s="61" t="s">
        <v>1252</v>
      </c>
      <c r="E202" s="11" t="str">
        <f>HYPERLINK("https://youtu.be/TfDYvFwZGY0","channel 4")</f>
        <v>channel 4</v>
      </c>
    </row>
    <row r="203">
      <c r="B203" s="61" t="s">
        <v>3337</v>
      </c>
      <c r="C203" s="94" t="s">
        <v>173</v>
      </c>
      <c r="D203" s="61" t="s">
        <v>1712</v>
      </c>
      <c r="E203" s="11" t="str">
        <f>HYPERLINK("https://youtu.be/RL0Nec2btvI?t=1030","channel 3")</f>
        <v>channel 3</v>
      </c>
    </row>
    <row r="204">
      <c r="B204" s="61" t="s">
        <v>2253</v>
      </c>
      <c r="C204" s="94" t="s">
        <v>171</v>
      </c>
      <c r="D204" s="61" t="s">
        <v>885</v>
      </c>
      <c r="E204" s="11" t="str">
        <f>HYPERLINK("https://youtu.be/TfDYvFwZGY0?t=984","channel 4")</f>
        <v>channel 4</v>
      </c>
    </row>
    <row r="205">
      <c r="B205" s="61" t="s">
        <v>3337</v>
      </c>
      <c r="C205" s="94" t="s">
        <v>155</v>
      </c>
      <c r="D205" s="61" t="s">
        <v>1252</v>
      </c>
      <c r="E205" s="11" t="str">
        <f>HYPERLINK("https://youtu.be/RL0Nec2btvI?t=2034","channel 3")</f>
        <v>channel 3</v>
      </c>
    </row>
    <row r="206">
      <c r="B206" s="114" t="s">
        <v>2253</v>
      </c>
      <c r="C206" s="94" t="s">
        <v>314</v>
      </c>
      <c r="D206" s="114" t="s">
        <v>1712</v>
      </c>
      <c r="E206" s="11" t="str">
        <f>HYPERLINK("https://youtu.be/TfDYvFwZGY0?t=1994","channel 4")</f>
        <v>channel 4</v>
      </c>
    </row>
    <row r="207">
      <c r="B207" s="61" t="s">
        <v>3337</v>
      </c>
      <c r="C207" s="94" t="s">
        <v>278</v>
      </c>
      <c r="D207" s="61" t="s">
        <v>885</v>
      </c>
      <c r="E207" s="11" t="str">
        <f>HYPERLINK("https://youtu.be/RL0Nec2btvI?t=2937","channel 3")</f>
        <v>channel 3</v>
      </c>
    </row>
    <row r="208">
      <c r="B208" s="114" t="s">
        <v>1252</v>
      </c>
      <c r="C208" s="94" t="s">
        <v>207</v>
      </c>
      <c r="D208" s="114" t="s">
        <v>1712</v>
      </c>
      <c r="E208" s="11" t="str">
        <f>HYPERLINK("https://youtu.be/TfDYvFwZGY0?t=2908","channel 4")</f>
        <v>channel 4</v>
      </c>
    </row>
    <row r="209">
      <c r="B209" s="61" t="s">
        <v>3337</v>
      </c>
      <c r="C209" s="94" t="s">
        <v>219</v>
      </c>
      <c r="D209" s="61" t="s">
        <v>2253</v>
      </c>
      <c r="E209" s="11" t="str">
        <f>HYPERLINK("https://youtu.be/RL0Nec2btvI?t=3867","channel 3")</f>
        <v>channel 3</v>
      </c>
    </row>
    <row r="210">
      <c r="B210" s="61" t="s">
        <v>1252</v>
      </c>
      <c r="C210" s="94" t="s">
        <v>750</v>
      </c>
      <c r="D210" s="61" t="s">
        <v>885</v>
      </c>
      <c r="E210" s="11" t="str">
        <f>HYPERLINK("https://youtu.be/TfDYvFwZGY0?t=3837","channel 4")</f>
        <v>channel 4</v>
      </c>
    </row>
    <row r="211">
      <c r="B211" s="61" t="s">
        <v>885</v>
      </c>
      <c r="C211" s="94" t="s">
        <v>14</v>
      </c>
      <c r="D211" s="61" t="s">
        <v>1712</v>
      </c>
      <c r="E211" s="11" t="str">
        <f>HYPERLINK("https://youtu.be/RL0Nec2btvI?t=4794","channel 3")</f>
        <v>channel 3</v>
      </c>
    </row>
    <row r="212">
      <c r="B212" s="114" t="s">
        <v>1252</v>
      </c>
      <c r="C212" s="94" t="s">
        <v>324</v>
      </c>
      <c r="D212" s="114" t="s">
        <v>2253</v>
      </c>
      <c r="E212" s="11" t="str">
        <f>HYPERLINK("https://youtu.be/TfDYvFwZGY0?t=4772","channel 4")</f>
        <v>channel 4</v>
      </c>
    </row>
    <row r="213">
      <c r="B213" s="61" t="s">
        <v>1712</v>
      </c>
      <c r="C213" s="94" t="s">
        <v>620</v>
      </c>
      <c r="D213" s="61" t="s">
        <v>3337</v>
      </c>
      <c r="E213" s="11" t="str">
        <f>HYPERLINK("https://youtu.be/RL0Nec2btvI?t=5755","channel 3")</f>
        <v>channel 3</v>
      </c>
    </row>
    <row r="214">
      <c r="B214" s="61" t="s">
        <v>885</v>
      </c>
      <c r="C214" s="94" t="s">
        <v>342</v>
      </c>
      <c r="D214" s="61" t="s">
        <v>2253</v>
      </c>
      <c r="E214" s="11" t="str">
        <f>HYPERLINK("https://youtu.be/TfDYvFwZGY0?t=5723","channel 4")</f>
        <v>channel 4</v>
      </c>
    </row>
    <row r="215">
      <c r="B215" s="61" t="s">
        <v>1252</v>
      </c>
      <c r="C215" s="94" t="s">
        <v>27</v>
      </c>
      <c r="D215" s="61" t="s">
        <v>3337</v>
      </c>
      <c r="E215" s="11" t="str">
        <f>HYPERLINK("https://youtu.be/RL0Nec2btvI?t=6727","channel 3")</f>
        <v>channel 3</v>
      </c>
    </row>
    <row r="216">
      <c r="B216" s="61" t="s">
        <v>1712</v>
      </c>
      <c r="C216" s="94" t="s">
        <v>7</v>
      </c>
      <c r="D216" s="61" t="s">
        <v>2253</v>
      </c>
      <c r="E216" s="11" t="str">
        <f>HYPERLINK("https://youtu.be/TfDYvFwZGY0?t=6676","channel 4")</f>
        <v>channel 4</v>
      </c>
    </row>
    <row r="217">
      <c r="B217" s="61" t="s">
        <v>885</v>
      </c>
      <c r="C217" s="94" t="s">
        <v>3046</v>
      </c>
      <c r="D217" s="61" t="s">
        <v>3337</v>
      </c>
      <c r="E217" s="11" t="str">
        <f>HYPERLINK("https://youtu.be/RL0Nec2btvI?t=7653","channel 3")</f>
        <v>channel 3</v>
      </c>
    </row>
    <row r="218">
      <c r="B218" s="61" t="s">
        <v>1712</v>
      </c>
      <c r="C218" s="94" t="s">
        <v>177</v>
      </c>
      <c r="D218" s="61" t="s">
        <v>1252</v>
      </c>
      <c r="E218" s="11" t="str">
        <f>HYPERLINK("https://youtu.be/TfDYvFwZGY0?t=7620","channel 4")</f>
        <v>channel 4</v>
      </c>
    </row>
    <row r="219">
      <c r="B219" s="61" t="s">
        <v>2253</v>
      </c>
      <c r="C219" s="94" t="s">
        <v>222</v>
      </c>
      <c r="D219" s="61" t="s">
        <v>3337</v>
      </c>
      <c r="E219" s="11" t="str">
        <f>HYPERLINK("https://youtu.be/RL0Nec2btvI?t=8616","channel 3")</f>
        <v>channel 3</v>
      </c>
    </row>
    <row r="220">
      <c r="B220" s="61" t="s">
        <v>885</v>
      </c>
      <c r="C220" s="94" t="s">
        <v>177</v>
      </c>
      <c r="D220" s="61" t="s">
        <v>1252</v>
      </c>
      <c r="E220" s="11" t="str">
        <f>HYPERLINK("https://youtu.be/TfDYvFwZGY0?t=8551","channel 4")</f>
        <v>channel 4</v>
      </c>
    </row>
    <row r="221">
      <c r="B221" s="96" t="s">
        <v>3060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3510</v>
      </c>
      <c r="C223" s="94" t="s">
        <v>194</v>
      </c>
      <c r="D223" s="62" t="s">
        <v>2878</v>
      </c>
      <c r="E223" s="11" t="str">
        <f>HYPERLINK("https://youtu.be/8P-aXewW6DE","channel 1")</f>
        <v>channel 1</v>
      </c>
    </row>
    <row r="224">
      <c r="B224" s="62" t="s">
        <v>3511</v>
      </c>
      <c r="C224" s="94" t="s">
        <v>554</v>
      </c>
      <c r="D224" s="62" t="s">
        <v>3512</v>
      </c>
      <c r="E224" s="11" t="str">
        <f>HYPERLINK("https://youtu.be/BgSQ4djCZeo","channel 2")</f>
        <v>channel 2</v>
      </c>
    </row>
    <row r="225">
      <c r="B225" s="62" t="s">
        <v>2472</v>
      </c>
      <c r="C225" s="94" t="s">
        <v>380</v>
      </c>
      <c r="D225" s="62" t="s">
        <v>3510</v>
      </c>
      <c r="E225" s="11" t="str">
        <f>HYPERLINK("https://youtu.be/8P-aXewW6DE?t=993","channel 1")</f>
        <v>channel 1</v>
      </c>
    </row>
    <row r="226">
      <c r="B226" s="62" t="s">
        <v>3511</v>
      </c>
      <c r="C226" s="94" t="s">
        <v>16</v>
      </c>
      <c r="D226" s="62" t="s">
        <v>2878</v>
      </c>
      <c r="E226" s="11" t="str">
        <f>HYPERLINK("https://youtu.be/BgSQ4djCZeo?t=982","channel 2")</f>
        <v>channel 2</v>
      </c>
    </row>
    <row r="227">
      <c r="B227" s="62" t="s">
        <v>2472</v>
      </c>
      <c r="C227" s="94" t="s">
        <v>219</v>
      </c>
      <c r="D227" s="62" t="s">
        <v>3512</v>
      </c>
      <c r="E227" s="11" t="str">
        <f>HYPERLINK("https://youtu.be/8P-aXewW6DE?t=1930","channel 1")</f>
        <v>channel 1</v>
      </c>
    </row>
    <row r="228">
      <c r="B228" s="62" t="s">
        <v>3511</v>
      </c>
      <c r="C228" s="94" t="s">
        <v>290</v>
      </c>
      <c r="D228" s="62" t="s">
        <v>3510</v>
      </c>
      <c r="E228" s="11" t="str">
        <f>HYPERLINK("https://youtu.be/BgSQ4djCZeo?t=1917","channel 2")</f>
        <v>channel 2</v>
      </c>
    </row>
    <row r="229">
      <c r="B229" s="62" t="s">
        <v>2472</v>
      </c>
      <c r="C229" s="94" t="s">
        <v>38</v>
      </c>
      <c r="D229" s="62" t="s">
        <v>2878</v>
      </c>
      <c r="E229" s="11" t="str">
        <f>HYPERLINK("https://youtu.be/8P-aXewW6DE?t=2848","channel 1")</f>
        <v>channel 1</v>
      </c>
    </row>
    <row r="230">
      <c r="B230" s="62" t="s">
        <v>3512</v>
      </c>
      <c r="C230" s="94" t="s">
        <v>222</v>
      </c>
      <c r="D230" s="62" t="s">
        <v>3510</v>
      </c>
      <c r="E230" s="11" t="str">
        <f>HYPERLINK("https://youtu.be/BgSQ4djCZeo?t=2802","channel 2")</f>
        <v>channel 2</v>
      </c>
    </row>
    <row r="231">
      <c r="B231" s="62" t="s">
        <v>2472</v>
      </c>
      <c r="C231" s="94" t="s">
        <v>195</v>
      </c>
      <c r="D231" s="62" t="s">
        <v>3511</v>
      </c>
      <c r="E231" s="11" t="str">
        <f>HYPERLINK("https://youtu.be/8P-aXewW6DE?t=3765","channel 1")</f>
        <v>channel 1</v>
      </c>
    </row>
    <row r="232">
      <c r="B232" s="62" t="s">
        <v>3512</v>
      </c>
      <c r="C232" s="94" t="s">
        <v>640</v>
      </c>
      <c r="D232" s="62" t="s">
        <v>2878</v>
      </c>
      <c r="E232" s="11" t="str">
        <f>HYPERLINK("https://youtu.be/BgSQ4djCZeo?t=3685","channel 2")</f>
        <v>channel 2</v>
      </c>
    </row>
    <row r="233">
      <c r="B233" s="62" t="s">
        <v>2878</v>
      </c>
      <c r="C233" s="94" t="s">
        <v>278</v>
      </c>
      <c r="D233" s="62" t="s">
        <v>3510</v>
      </c>
      <c r="E233" s="11" t="str">
        <f>HYPERLINK("https://youtu.be/8P-aXewW6DE?t=4733","channel 1")</f>
        <v>channel 1</v>
      </c>
    </row>
    <row r="234">
      <c r="B234" s="62" t="s">
        <v>3512</v>
      </c>
      <c r="C234" s="94" t="s">
        <v>176</v>
      </c>
      <c r="D234" s="62" t="s">
        <v>3511</v>
      </c>
      <c r="E234" s="11" t="str">
        <f>HYPERLINK("https://youtu.be/BgSQ4djCZeo?t=4684","channel 2")</f>
        <v>channel 2</v>
      </c>
    </row>
    <row r="235">
      <c r="B235" s="62" t="s">
        <v>3510</v>
      </c>
      <c r="C235" s="94" t="s">
        <v>22</v>
      </c>
      <c r="D235" s="62" t="s">
        <v>2472</v>
      </c>
      <c r="E235" s="11" t="str">
        <f>HYPERLINK("https://youtu.be/8P-aXewW6DE?t=5617","channel 1")</f>
        <v>channel 1</v>
      </c>
    </row>
    <row r="236">
      <c r="B236" s="62" t="s">
        <v>2878</v>
      </c>
      <c r="C236" s="94" t="s">
        <v>162</v>
      </c>
      <c r="D236" s="62" t="s">
        <v>3511</v>
      </c>
      <c r="E236" s="11" t="str">
        <f>HYPERLINK("https://youtu.be/BgSQ4djCZeo?t=5563","channel 2")</f>
        <v>channel 2</v>
      </c>
    </row>
    <row r="237">
      <c r="B237" s="62" t="s">
        <v>3512</v>
      </c>
      <c r="C237" s="94" t="s">
        <v>454</v>
      </c>
      <c r="D237" s="62" t="s">
        <v>2472</v>
      </c>
      <c r="E237" s="11" t="str">
        <f>HYPERLINK("https://youtu.be/8P-aXewW6DE?t=6517","channel 1")</f>
        <v>channel 1</v>
      </c>
    </row>
    <row r="238">
      <c r="B238" s="62" t="s">
        <v>3510</v>
      </c>
      <c r="C238" s="94" t="s">
        <v>18</v>
      </c>
      <c r="D238" s="62" t="s">
        <v>3511</v>
      </c>
      <c r="E238" s="11" t="str">
        <f>HYPERLINK("https://youtu.be/BgSQ4djCZeo?t=6460","channel 2")</f>
        <v>channel 2</v>
      </c>
    </row>
    <row r="239">
      <c r="B239" s="62" t="s">
        <v>2878</v>
      </c>
      <c r="C239" s="94" t="s">
        <v>279</v>
      </c>
      <c r="D239" s="62" t="s">
        <v>2472</v>
      </c>
      <c r="E239" s="11" t="str">
        <f>HYPERLINK("https://youtu.be/8P-aXewW6DE?t=7444","channel 1")</f>
        <v>channel 1</v>
      </c>
    </row>
    <row r="240">
      <c r="B240" s="62" t="s">
        <v>3510</v>
      </c>
      <c r="C240" s="94" t="s">
        <v>1591</v>
      </c>
      <c r="D240" s="62" t="s">
        <v>3512</v>
      </c>
      <c r="E240" s="11" t="str">
        <f>HYPERLINK("https://youtu.be/BgSQ4djCZeo?t=7395","channel 2")</f>
        <v>channel 2</v>
      </c>
    </row>
    <row r="241">
      <c r="B241" s="62" t="s">
        <v>3511</v>
      </c>
      <c r="C241" s="94" t="s">
        <v>17</v>
      </c>
      <c r="D241" s="62" t="s">
        <v>2472</v>
      </c>
      <c r="E241" s="11" t="str">
        <f>HYPERLINK("https://youtu.be/8P-aXewW6DE?t=8377","channel 1")</f>
        <v>channel 1</v>
      </c>
    </row>
    <row r="242">
      <c r="B242" s="62" t="s">
        <v>2878</v>
      </c>
      <c r="C242" s="94" t="s">
        <v>19</v>
      </c>
      <c r="D242" s="62" t="s">
        <v>3512</v>
      </c>
      <c r="E242" s="11" t="str">
        <f>HYPERLINK("https://youtu.be/BgSQ4djCZeo?t=8317","channel 2")</f>
        <v>channel 2</v>
      </c>
    </row>
    <row r="243">
      <c r="B243" s="96" t="s">
        <v>2304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3513</v>
      </c>
      <c r="C245" s="94" t="s">
        <v>366</v>
      </c>
      <c r="D245" s="62" t="s">
        <v>3514</v>
      </c>
      <c r="E245" s="11" t="str">
        <f>HYPERLINK("https://youtu.be/krb9nf2bFDQ","channel 1")</f>
        <v>channel 1</v>
      </c>
    </row>
    <row r="246">
      <c r="B246" s="62" t="s">
        <v>1816</v>
      </c>
      <c r="C246" s="94" t="s">
        <v>219</v>
      </c>
      <c r="D246" s="62" t="s">
        <v>3515</v>
      </c>
      <c r="E246" s="11" t="str">
        <f>HYPERLINK("https://youtu.be/OACPlZGG5rw","channel 2")</f>
        <v>channel 2</v>
      </c>
    </row>
    <row r="247">
      <c r="B247" s="62" t="s">
        <v>2173</v>
      </c>
      <c r="C247" s="94" t="s">
        <v>194</v>
      </c>
      <c r="D247" s="62" t="s">
        <v>3513</v>
      </c>
      <c r="E247" s="11" t="str">
        <f>HYPERLINK("https://youtu.be/krb9nf2bFDQ?t=1113","channel 1")</f>
        <v>channel 1</v>
      </c>
    </row>
    <row r="248">
      <c r="B248" s="62" t="s">
        <v>1816</v>
      </c>
      <c r="C248" s="94" t="s">
        <v>256</v>
      </c>
      <c r="D248" s="62" t="s">
        <v>3514</v>
      </c>
      <c r="E248" s="11" t="str">
        <f>HYPERLINK("https://youtu.be/OACPlZGG5rw?t=1046","channel 2")</f>
        <v>channel 2</v>
      </c>
    </row>
    <row r="249">
      <c r="B249" s="62" t="s">
        <v>2173</v>
      </c>
      <c r="C249" s="94" t="s">
        <v>14</v>
      </c>
      <c r="D249" s="62" t="s">
        <v>3515</v>
      </c>
      <c r="E249" s="11" t="str">
        <f>HYPERLINK("https://youtu.be/krb9nf2bFDQ?t=2060","channel 1")</f>
        <v>channel 1</v>
      </c>
    </row>
    <row r="250">
      <c r="B250" s="62" t="s">
        <v>1816</v>
      </c>
      <c r="C250" s="94" t="s">
        <v>210</v>
      </c>
      <c r="D250" s="62" t="s">
        <v>3513</v>
      </c>
      <c r="E250" s="11" t="str">
        <f>HYPERLINK("https://youtu.be/OACPlZGG5rw?t=1983","channel 2")</f>
        <v>channel 2</v>
      </c>
    </row>
    <row r="251">
      <c r="B251" s="62" t="s">
        <v>2173</v>
      </c>
      <c r="C251" s="94" t="s">
        <v>573</v>
      </c>
      <c r="D251" s="62" t="s">
        <v>3514</v>
      </c>
      <c r="E251" s="11" t="str">
        <f>HYPERLINK("https://youtu.be/krb9nf2bFDQ?t=2945","channel 1")</f>
        <v>channel 1</v>
      </c>
    </row>
    <row r="252">
      <c r="B252" s="62" t="s">
        <v>3515</v>
      </c>
      <c r="C252" s="94" t="s">
        <v>2761</v>
      </c>
      <c r="D252" s="62" t="s">
        <v>3513</v>
      </c>
      <c r="E252" s="11" t="str">
        <f>HYPERLINK("https://youtu.be/OACPlZGG5rw?t=2935","channel 2")</f>
        <v>channel 2</v>
      </c>
    </row>
    <row r="253">
      <c r="B253" s="62" t="s">
        <v>2173</v>
      </c>
      <c r="C253" s="94" t="s">
        <v>162</v>
      </c>
      <c r="D253" s="62" t="s">
        <v>1816</v>
      </c>
      <c r="E253" s="11" t="str">
        <f>HYPERLINK("https://youtu.be/krb9nf2bFDQ?t=3931","channel 1")</f>
        <v>channel 1</v>
      </c>
    </row>
    <row r="254">
      <c r="B254" s="62" t="s">
        <v>3515</v>
      </c>
      <c r="C254" s="94" t="s">
        <v>208</v>
      </c>
      <c r="D254" s="62" t="s">
        <v>3514</v>
      </c>
      <c r="E254" s="11" t="str">
        <f>HYPERLINK("https://youtu.be/OACPlZGG5rw?t=3908","channel 2")</f>
        <v>channel 2</v>
      </c>
    </row>
    <row r="255">
      <c r="B255" s="62" t="s">
        <v>3514</v>
      </c>
      <c r="C255" s="94" t="s">
        <v>185</v>
      </c>
      <c r="D255" s="62" t="s">
        <v>3513</v>
      </c>
      <c r="E255" s="11" t="str">
        <f>HYPERLINK("https://youtu.be/krb9nf2bFDQ?t=4890","channel 1")</f>
        <v>channel 1</v>
      </c>
    </row>
    <row r="256">
      <c r="B256" s="62" t="s">
        <v>3515</v>
      </c>
      <c r="C256" s="94" t="s">
        <v>394</v>
      </c>
      <c r="D256" s="62" t="s">
        <v>1816</v>
      </c>
      <c r="E256" s="11" t="str">
        <f>HYPERLINK("https://youtu.be/OACPlZGG5rw?t=4853","channel 2")</f>
        <v>channel 2</v>
      </c>
    </row>
    <row r="257">
      <c r="B257" s="62" t="s">
        <v>3513</v>
      </c>
      <c r="C257" s="94" t="s">
        <v>334</v>
      </c>
      <c r="D257" s="62" t="s">
        <v>2173</v>
      </c>
      <c r="E257" s="11" t="str">
        <f>HYPERLINK("https://youtu.be/krb9nf2bFDQ?t=5846","channel 1")</f>
        <v>channel 1</v>
      </c>
    </row>
    <row r="258">
      <c r="B258" s="62" t="s">
        <v>3514</v>
      </c>
      <c r="C258" s="94" t="s">
        <v>496</v>
      </c>
      <c r="D258" s="62" t="s">
        <v>1816</v>
      </c>
      <c r="E258" s="11" t="str">
        <f>HYPERLINK("https://youtu.be/OACPlZGG5rw?t=5811","channel 2")</f>
        <v>channel 2</v>
      </c>
    </row>
    <row r="259">
      <c r="B259" s="62" t="s">
        <v>3515</v>
      </c>
      <c r="C259" s="94" t="s">
        <v>185</v>
      </c>
      <c r="D259" s="62" t="s">
        <v>2173</v>
      </c>
      <c r="E259" s="11" t="str">
        <f>HYPERLINK("https://youtu.be/krb9nf2bFDQ?t=6853","channel 1")</f>
        <v>channel 1</v>
      </c>
    </row>
    <row r="260">
      <c r="B260" s="62" t="s">
        <v>3513</v>
      </c>
      <c r="C260" s="94" t="s">
        <v>195</v>
      </c>
      <c r="D260" s="62" t="s">
        <v>1816</v>
      </c>
      <c r="E260" s="11" t="str">
        <f>HYPERLINK("https://youtu.be/OACPlZGG5rw?t=6782","channel 2")</f>
        <v>channel 2</v>
      </c>
    </row>
    <row r="261">
      <c r="B261" s="62" t="s">
        <v>3514</v>
      </c>
      <c r="C261" s="94" t="s">
        <v>7</v>
      </c>
      <c r="D261" s="62" t="s">
        <v>2173</v>
      </c>
      <c r="E261" s="11" t="str">
        <f>HYPERLINK("https://youtu.be/krb9nf2bFDQ?t=7775","channel 1")</f>
        <v>channel 1</v>
      </c>
    </row>
    <row r="262">
      <c r="B262" s="62" t="s">
        <v>3513</v>
      </c>
      <c r="C262" s="94" t="s">
        <v>555</v>
      </c>
      <c r="D262" s="62" t="s">
        <v>3515</v>
      </c>
      <c r="E262" s="11" t="str">
        <f>HYPERLINK("https://youtu.be/OACPlZGG5rw?t=7733","channel 2")</f>
        <v>channel 2</v>
      </c>
    </row>
    <row r="263">
      <c r="B263" s="62" t="s">
        <v>1816</v>
      </c>
      <c r="C263" s="94" t="s">
        <v>463</v>
      </c>
      <c r="D263" s="62" t="s">
        <v>2173</v>
      </c>
      <c r="E263" s="11" t="str">
        <f>HYPERLINK("https://youtu.be/krb9nf2bFDQ?t=8705","channel 1")</f>
        <v>channel 1</v>
      </c>
    </row>
    <row r="264">
      <c r="B264" s="62" t="s">
        <v>3514</v>
      </c>
      <c r="C264" s="94" t="s">
        <v>19</v>
      </c>
      <c r="D264" s="62" t="s">
        <v>3515</v>
      </c>
      <c r="E264" s="11" t="str">
        <f>HYPERLINK("https://youtu.be/OACPlZGG5rw?t=8645","channel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96" t="s">
        <v>2133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110" t="s">
        <v>2338</v>
      </c>
      <c r="C3" s="135" t="s">
        <v>163</v>
      </c>
      <c r="D3" s="112" t="s">
        <v>3516</v>
      </c>
      <c r="E3" s="120" t="str">
        <f>HYPERLINK("https://youtu.be/vXN7Hs1t3d8","channel 1")</f>
        <v>channel 1</v>
      </c>
    </row>
    <row r="4">
      <c r="A4" s="90"/>
      <c r="B4" s="110" t="s">
        <v>2879</v>
      </c>
      <c r="C4" s="135" t="s">
        <v>302</v>
      </c>
      <c r="D4" s="112" t="s">
        <v>3285</v>
      </c>
      <c r="E4" s="33" t="str">
        <f>HYPERLINK("https://youtu.be/h9wNmNs0By8","channel 2")</f>
        <v>channel 2</v>
      </c>
    </row>
    <row r="5">
      <c r="A5" s="90"/>
      <c r="B5" s="110" t="s">
        <v>1897</v>
      </c>
      <c r="C5" s="135" t="s">
        <v>426</v>
      </c>
      <c r="D5" s="112" t="s">
        <v>2338</v>
      </c>
      <c r="E5" s="120" t="str">
        <f>HYPERLINK("https://youtu.be/vXN7Hs1t3d8?t=1048","channel 1")</f>
        <v>channel 1</v>
      </c>
    </row>
    <row r="6">
      <c r="A6" s="90"/>
      <c r="B6" s="110" t="s">
        <v>2879</v>
      </c>
      <c r="C6" s="135" t="s">
        <v>43</v>
      </c>
      <c r="D6" s="112" t="s">
        <v>3516</v>
      </c>
      <c r="E6" s="120" t="str">
        <f>HYPERLINK("https://youtu.be/h9wNmNs0By8?t=1038","channel 2")</f>
        <v>channel 2</v>
      </c>
    </row>
    <row r="7">
      <c r="A7" s="90"/>
      <c r="B7" s="110" t="s">
        <v>1897</v>
      </c>
      <c r="C7" s="135" t="s">
        <v>155</v>
      </c>
      <c r="D7" s="112" t="s">
        <v>3285</v>
      </c>
      <c r="E7" s="120" t="str">
        <f>HYPERLINK("https://youtu.be/vXN7Hs1t3d8?t=2023","channel 1")</f>
        <v>channel 1</v>
      </c>
    </row>
    <row r="8">
      <c r="A8" s="90"/>
      <c r="B8" s="110" t="s">
        <v>2879</v>
      </c>
      <c r="C8" s="135" t="s">
        <v>196</v>
      </c>
      <c r="D8" s="112" t="s">
        <v>2338</v>
      </c>
      <c r="E8" s="120" t="str">
        <f>HYPERLINK("https://youtu.be/h9wNmNs0By8?t=1972","channel 2")</f>
        <v>channel 2</v>
      </c>
    </row>
    <row r="9">
      <c r="A9" s="90"/>
      <c r="B9" s="110" t="s">
        <v>1897</v>
      </c>
      <c r="C9" s="135" t="s">
        <v>158</v>
      </c>
      <c r="D9" s="112" t="s">
        <v>3516</v>
      </c>
      <c r="E9" s="120" t="str">
        <f>HYPERLINK("https://youtu.be/vXN7Hs1t3d8?t=2912","channel 1")</f>
        <v>channel 1</v>
      </c>
    </row>
    <row r="10">
      <c r="A10" s="90"/>
      <c r="B10" s="110" t="s">
        <v>3285</v>
      </c>
      <c r="C10" s="135" t="s">
        <v>14</v>
      </c>
      <c r="D10" s="112" t="s">
        <v>2338</v>
      </c>
      <c r="E10" s="120" t="str">
        <f>HYPERLINK("https://youtu.be/h9wNmNs0By8?t=2906","channel 2")</f>
        <v>channel 2</v>
      </c>
    </row>
    <row r="11">
      <c r="A11" s="90"/>
      <c r="B11" s="110" t="s">
        <v>1897</v>
      </c>
      <c r="C11" s="135" t="s">
        <v>517</v>
      </c>
      <c r="D11" s="112" t="s">
        <v>2879</v>
      </c>
      <c r="E11" s="120" t="str">
        <f>HYPERLINK("https://youtu.be/vXN7Hs1t3d8?t=3826","channel 1")</f>
        <v>channel 1</v>
      </c>
    </row>
    <row r="12">
      <c r="A12" s="90"/>
      <c r="B12" s="110" t="s">
        <v>3285</v>
      </c>
      <c r="C12" s="135" t="s">
        <v>425</v>
      </c>
      <c r="D12" s="112" t="s">
        <v>3516</v>
      </c>
      <c r="E12" s="120" t="str">
        <f>HYPERLINK("https://youtu.be/h9wNmNs0By8?t=3790","channel 2")</f>
        <v>channel 2</v>
      </c>
    </row>
    <row r="13">
      <c r="A13" s="90"/>
      <c r="B13" s="110" t="s">
        <v>3516</v>
      </c>
      <c r="C13" s="135" t="s">
        <v>281</v>
      </c>
      <c r="D13" s="112" t="s">
        <v>2338</v>
      </c>
      <c r="E13" s="120" t="str">
        <f>HYPERLINK("https://youtu.be/vXN7Hs1t3d8?t=4739","channel 1")</f>
        <v>channel 1</v>
      </c>
    </row>
    <row r="14">
      <c r="A14" s="90"/>
      <c r="B14" s="110" t="s">
        <v>3285</v>
      </c>
      <c r="C14" s="135" t="s">
        <v>41</v>
      </c>
      <c r="D14" s="112" t="s">
        <v>2879</v>
      </c>
      <c r="E14" s="120" t="str">
        <f>HYPERLINK("https://youtu.be/h9wNmNs0By8?t=4714","channel 2")</f>
        <v>channel 2</v>
      </c>
    </row>
    <row r="15">
      <c r="A15" s="90"/>
      <c r="B15" s="110" t="s">
        <v>2338</v>
      </c>
      <c r="C15" s="135" t="s">
        <v>323</v>
      </c>
      <c r="D15" s="112" t="s">
        <v>1897</v>
      </c>
      <c r="E15" s="120" t="str">
        <f>HYPERLINK("https://youtu.be/vXN7Hs1t3d8?t=5641","channel 1")</f>
        <v>channel 1</v>
      </c>
    </row>
    <row r="16">
      <c r="A16" s="90"/>
      <c r="B16" s="110" t="s">
        <v>3516</v>
      </c>
      <c r="C16" s="135" t="s">
        <v>351</v>
      </c>
      <c r="D16" s="112" t="s">
        <v>2879</v>
      </c>
      <c r="E16" s="120" t="str">
        <f>HYPERLINK("https://youtu.be/h9wNmNs0By8?t=5646","channel 2")</f>
        <v>channel 2</v>
      </c>
    </row>
    <row r="17">
      <c r="A17" s="90"/>
      <c r="B17" s="110" t="s">
        <v>3285</v>
      </c>
      <c r="C17" s="135" t="s">
        <v>155</v>
      </c>
      <c r="D17" s="112" t="s">
        <v>1897</v>
      </c>
      <c r="E17" s="120" t="str">
        <f>HYPERLINK("https://youtu.be/vXN7Hs1t3d8?t=6732","channel 1")</f>
        <v>channel 1</v>
      </c>
    </row>
    <row r="18">
      <c r="A18" s="90"/>
      <c r="B18" s="110" t="s">
        <v>2338</v>
      </c>
      <c r="C18" s="135" t="s">
        <v>301</v>
      </c>
      <c r="D18" s="112" t="s">
        <v>2879</v>
      </c>
      <c r="E18" s="120" t="str">
        <f>HYPERLINK("https://youtu.be/h9wNmNs0By8?t=6729","channel 2")</f>
        <v>channel 2</v>
      </c>
    </row>
    <row r="19">
      <c r="A19" s="90"/>
      <c r="B19" s="110" t="s">
        <v>3516</v>
      </c>
      <c r="C19" s="135" t="s">
        <v>193</v>
      </c>
      <c r="D19" s="112" t="s">
        <v>1897</v>
      </c>
      <c r="E19" s="120" t="str">
        <f>HYPERLINK("https://youtu.be/vXN7Hs1t3d8?t=7667","channel 1")</f>
        <v>channel 1</v>
      </c>
    </row>
    <row r="20">
      <c r="A20" s="90"/>
      <c r="B20" s="110" t="s">
        <v>2338</v>
      </c>
      <c r="C20" s="135" t="s">
        <v>271</v>
      </c>
      <c r="D20" s="112" t="s">
        <v>3285</v>
      </c>
      <c r="E20" s="120" t="str">
        <f>HYPERLINK("https://youtu.be/h9wNmNs0By8?t=7571","channel 2")</f>
        <v>channel 2</v>
      </c>
    </row>
    <row r="21">
      <c r="A21" s="90"/>
      <c r="B21" s="110" t="s">
        <v>2879</v>
      </c>
      <c r="C21" s="135" t="s">
        <v>41</v>
      </c>
      <c r="D21" s="112" t="s">
        <v>1897</v>
      </c>
      <c r="E21" s="120" t="str">
        <f>HYPERLINK("https://youtu.be/vXN7Hs1t3d8?t=8603","channel 1")</f>
        <v>channel 1</v>
      </c>
    </row>
    <row r="22">
      <c r="A22" s="90"/>
      <c r="B22" s="110" t="s">
        <v>3516</v>
      </c>
      <c r="C22" s="135" t="s">
        <v>155</v>
      </c>
      <c r="D22" s="112" t="s">
        <v>3285</v>
      </c>
      <c r="E22" s="120" t="str">
        <f>HYPERLINK("https://youtu.be/h9wNmNs0By8?t=8430","channel 2")</f>
        <v>channel 2</v>
      </c>
    </row>
    <row r="23">
      <c r="A23" s="90"/>
      <c r="B23" s="96" t="s">
        <v>2576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3517</v>
      </c>
      <c r="C25" s="135" t="s">
        <v>218</v>
      </c>
      <c r="D25" s="62" t="s">
        <v>3518</v>
      </c>
      <c r="E25" s="11" t="str">
        <f>HYPERLINK("https://youtu.be/zq4kkac_MBI","channel 1")</f>
        <v>channel 1</v>
      </c>
    </row>
    <row r="26">
      <c r="A26" s="90"/>
      <c r="B26" s="62" t="s">
        <v>3519</v>
      </c>
      <c r="C26" s="135" t="s">
        <v>162</v>
      </c>
      <c r="D26" s="62" t="s">
        <v>3520</v>
      </c>
      <c r="E26" s="11" t="str">
        <f>HYPERLINK("https://youtu.be/skYaC8iF14g","channel 2")</f>
        <v>channel 2</v>
      </c>
    </row>
    <row r="27">
      <c r="A27" s="90"/>
      <c r="B27" s="62" t="s">
        <v>3521</v>
      </c>
      <c r="C27" s="135" t="s">
        <v>3522</v>
      </c>
      <c r="D27" s="62" t="s">
        <v>3517</v>
      </c>
      <c r="E27" s="11" t="str">
        <f>HYPERLINK("https://youtu.be/zq4kkac_MBI?t=1097","channel 1")</f>
        <v>channel 1</v>
      </c>
    </row>
    <row r="28">
      <c r="A28" s="90"/>
      <c r="B28" s="62" t="s">
        <v>3519</v>
      </c>
      <c r="C28" s="135" t="s">
        <v>181</v>
      </c>
      <c r="D28" s="62" t="s">
        <v>3518</v>
      </c>
      <c r="E28" s="11" t="str">
        <f>HYPERLINK("https://youtu.be/skYaC8iF14g?t=1095","channel 2")</f>
        <v>channel 2</v>
      </c>
    </row>
    <row r="29">
      <c r="A29" s="90"/>
      <c r="B29" s="62" t="s">
        <v>3521</v>
      </c>
      <c r="C29" s="135" t="s">
        <v>194</v>
      </c>
      <c r="D29" s="62" t="s">
        <v>3520</v>
      </c>
      <c r="E29" s="11" t="str">
        <f>HYPERLINK("https://youtu.be/zq4kkac_MBI?t=1992","channel 1")</f>
        <v>channel 1</v>
      </c>
    </row>
    <row r="30">
      <c r="A30" s="90"/>
      <c r="B30" s="62" t="s">
        <v>3519</v>
      </c>
      <c r="C30" s="135" t="s">
        <v>198</v>
      </c>
      <c r="D30" s="62" t="s">
        <v>3517</v>
      </c>
      <c r="E30" s="11" t="str">
        <f>HYPERLINK("https://youtu.be/skYaC8iF14g?t=2027","channel 2")</f>
        <v>channel 2</v>
      </c>
    </row>
    <row r="31">
      <c r="A31" s="90"/>
      <c r="B31" s="62" t="s">
        <v>3521</v>
      </c>
      <c r="C31" s="135" t="s">
        <v>433</v>
      </c>
      <c r="D31" s="62" t="s">
        <v>3518</v>
      </c>
      <c r="E31" s="11" t="str">
        <f>HYPERLINK("https://youtu.be/zq4kkac_MBI?t=2884","channel 1")</f>
        <v>channel 1</v>
      </c>
    </row>
    <row r="32">
      <c r="A32" s="90"/>
      <c r="B32" s="62" t="s">
        <v>3520</v>
      </c>
      <c r="C32" s="135" t="s">
        <v>232</v>
      </c>
      <c r="D32" s="62" t="s">
        <v>3517</v>
      </c>
      <c r="E32" s="11" t="str">
        <f>HYPERLINK("https://youtu.be/skYaC8iF14g?t=2929","channel 2")</f>
        <v>channel 2</v>
      </c>
    </row>
    <row r="33">
      <c r="A33" s="90"/>
      <c r="B33" s="62" t="s">
        <v>3521</v>
      </c>
      <c r="C33" s="135" t="s">
        <v>20</v>
      </c>
      <c r="D33" s="62" t="s">
        <v>3519</v>
      </c>
      <c r="E33" s="11" t="str">
        <f>HYPERLINK("https://youtu.be/zq4kkac_MBI?t=3871","channel 1")</f>
        <v>channel 1</v>
      </c>
    </row>
    <row r="34">
      <c r="A34" s="90"/>
      <c r="B34" s="62" t="s">
        <v>3520</v>
      </c>
      <c r="C34" s="135" t="s">
        <v>43</v>
      </c>
      <c r="D34" s="62" t="s">
        <v>3518</v>
      </c>
      <c r="E34" s="11" t="str">
        <f>HYPERLINK("https://youtu.be/skYaC8iF14g?t=3825","channel 2")</f>
        <v>channel 2</v>
      </c>
    </row>
    <row r="35">
      <c r="A35" s="90"/>
      <c r="B35" s="62" t="s">
        <v>3518</v>
      </c>
      <c r="C35" s="135" t="s">
        <v>220</v>
      </c>
      <c r="D35" s="62" t="s">
        <v>3517</v>
      </c>
      <c r="E35" s="11" t="str">
        <f>HYPERLINK("https://youtu.be/zq4kkac_MBI?t=4843","channel 1")</f>
        <v>channel 1</v>
      </c>
    </row>
    <row r="36">
      <c r="A36" s="90"/>
      <c r="B36" s="62" t="s">
        <v>3520</v>
      </c>
      <c r="C36" s="135" t="s">
        <v>155</v>
      </c>
      <c r="D36" s="62" t="s">
        <v>3519</v>
      </c>
      <c r="E36" s="11" t="str">
        <f>HYPERLINK("https://youtu.be/skYaC8iF14g?t=4744","channel 2")</f>
        <v>channel 2</v>
      </c>
    </row>
    <row r="37">
      <c r="A37" s="90"/>
      <c r="B37" s="62" t="s">
        <v>3517</v>
      </c>
      <c r="C37" s="135" t="s">
        <v>211</v>
      </c>
      <c r="D37" s="62" t="s">
        <v>3521</v>
      </c>
      <c r="E37" s="11" t="str">
        <f>HYPERLINK("https://youtu.be/zq4kkac_MBI?t=5731","channel 1")</f>
        <v>channel 1</v>
      </c>
    </row>
    <row r="38">
      <c r="A38" s="90"/>
      <c r="B38" s="62" t="s">
        <v>3518</v>
      </c>
      <c r="C38" s="135" t="s">
        <v>183</v>
      </c>
      <c r="D38" s="62" t="s">
        <v>3519</v>
      </c>
      <c r="E38" s="11" t="str">
        <f>HYPERLINK("https://youtu.be/skYaC8iF14g?t=5777","channel 2")</f>
        <v>channel 2</v>
      </c>
    </row>
    <row r="39">
      <c r="A39" s="90"/>
      <c r="B39" s="62" t="s">
        <v>3520</v>
      </c>
      <c r="C39" s="135" t="s">
        <v>181</v>
      </c>
      <c r="D39" s="62" t="s">
        <v>3521</v>
      </c>
      <c r="E39" s="11" t="str">
        <f>HYPERLINK("https://youtu.be/zq4kkac_MBI?t=6772","channel 1")</f>
        <v>channel 1</v>
      </c>
    </row>
    <row r="40">
      <c r="A40" s="90"/>
      <c r="B40" s="62" t="s">
        <v>3517</v>
      </c>
      <c r="C40" s="135" t="s">
        <v>538</v>
      </c>
      <c r="D40" s="62" t="s">
        <v>3519</v>
      </c>
      <c r="E40" s="11" t="str">
        <f>HYPERLINK("https://youtu.be/skYaC8iF14g?t=6826","channel 2")</f>
        <v>channel 2</v>
      </c>
    </row>
    <row r="41">
      <c r="A41" s="90"/>
      <c r="B41" s="62" t="s">
        <v>3518</v>
      </c>
      <c r="C41" s="135" t="s">
        <v>426</v>
      </c>
      <c r="D41" s="62" t="s">
        <v>3521</v>
      </c>
      <c r="E41" s="11" t="str">
        <f>HYPERLINK("https://youtu.be/zq4kkac_MBI?t=7718","channel 1")</f>
        <v>channel 1</v>
      </c>
    </row>
    <row r="42">
      <c r="A42" s="90"/>
      <c r="B42" s="62" t="s">
        <v>3517</v>
      </c>
      <c r="C42" s="135" t="s">
        <v>155</v>
      </c>
      <c r="D42" s="62" t="s">
        <v>3520</v>
      </c>
      <c r="E42" s="11" t="str">
        <f>HYPERLINK("https://youtu.be/skYaC8iF14g?t=7839","channel 2")</f>
        <v>channel 2</v>
      </c>
    </row>
    <row r="43">
      <c r="A43" s="90"/>
      <c r="B43" s="62" t="s">
        <v>3519</v>
      </c>
      <c r="C43" s="135" t="s">
        <v>336</v>
      </c>
      <c r="D43" s="62" t="s">
        <v>3521</v>
      </c>
      <c r="E43" s="11" t="str">
        <f>HYPERLINK("https://youtu.be/zq4kkac_MBI?t=8717","channel 1")</f>
        <v>channel 1</v>
      </c>
    </row>
    <row r="44">
      <c r="A44" s="91"/>
      <c r="B44" s="62" t="s">
        <v>3518</v>
      </c>
      <c r="C44" s="135" t="s">
        <v>250</v>
      </c>
      <c r="D44" s="62" t="s">
        <v>3520</v>
      </c>
      <c r="E44" s="11" t="str">
        <f>HYPERLINK("https://youtu.be/skYaC8iF14g?t=8732","channel 2")</f>
        <v>channel 2</v>
      </c>
    </row>
    <row r="45">
      <c r="B45" s="96" t="s">
        <v>3040</v>
      </c>
      <c r="C45" s="2"/>
      <c r="D45" s="3"/>
      <c r="E45" s="53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62" t="s">
        <v>3523</v>
      </c>
      <c r="C47" s="81" t="s">
        <v>668</v>
      </c>
      <c r="D47" s="56" t="s">
        <v>3524</v>
      </c>
      <c r="E47" s="125" t="s">
        <v>9</v>
      </c>
    </row>
    <row r="48">
      <c r="B48" s="62" t="s">
        <v>339</v>
      </c>
      <c r="C48" s="57" t="s">
        <v>155</v>
      </c>
      <c r="D48" s="62" t="s">
        <v>3462</v>
      </c>
      <c r="E48" s="11" t="str">
        <f>HYPERLINK("https://youtu.be/JtjeC6Ht1nA","channel 2")</f>
        <v>channel 2</v>
      </c>
    </row>
    <row r="49">
      <c r="B49" s="62" t="s">
        <v>3525</v>
      </c>
      <c r="C49" s="81" t="s">
        <v>668</v>
      </c>
      <c r="D49" s="62" t="s">
        <v>3523</v>
      </c>
      <c r="E49" s="122" t="s">
        <v>9</v>
      </c>
    </row>
    <row r="50">
      <c r="B50" s="62" t="s">
        <v>339</v>
      </c>
      <c r="C50" s="57" t="s">
        <v>23</v>
      </c>
      <c r="D50" s="56" t="s">
        <v>3524</v>
      </c>
      <c r="E50" s="11" t="str">
        <f>HYPERLINK("https://youtu.be/JtjeC6Ht1nA?t=1058","channel 2")</f>
        <v>channel 2</v>
      </c>
    </row>
    <row r="51">
      <c r="B51" s="133" t="s">
        <v>3525</v>
      </c>
      <c r="C51" s="94" t="s">
        <v>193</v>
      </c>
      <c r="D51" s="133" t="s">
        <v>3462</v>
      </c>
      <c r="E51" s="11" t="str">
        <f>HYPERLINK("https://youtu.be/Quuj2LyBdRE","channel 1")</f>
        <v>channel 1</v>
      </c>
    </row>
    <row r="52">
      <c r="B52" s="62" t="s">
        <v>339</v>
      </c>
      <c r="C52" s="81" t="s">
        <v>668</v>
      </c>
      <c r="D52" s="62" t="s">
        <v>3523</v>
      </c>
      <c r="E52" s="122" t="s">
        <v>13</v>
      </c>
    </row>
    <row r="53">
      <c r="B53" s="133" t="s">
        <v>3525</v>
      </c>
      <c r="C53" s="94" t="s">
        <v>271</v>
      </c>
      <c r="D53" s="136" t="s">
        <v>3524</v>
      </c>
      <c r="E53" s="11" t="str">
        <f>HYPERLINK("https://youtu.be/Quuj2LyBdRE?t=1565","channel 1")</f>
        <v>channel 1</v>
      </c>
    </row>
    <row r="54">
      <c r="B54" s="62" t="s">
        <v>3462</v>
      </c>
      <c r="C54" s="81" t="s">
        <v>668</v>
      </c>
      <c r="D54" s="62" t="s">
        <v>3523</v>
      </c>
      <c r="E54" s="122" t="s">
        <v>13</v>
      </c>
    </row>
    <row r="55">
      <c r="B55" s="133" t="s">
        <v>3525</v>
      </c>
      <c r="C55" s="94" t="s">
        <v>225</v>
      </c>
      <c r="D55" s="133" t="s">
        <v>339</v>
      </c>
      <c r="E55" s="11" t="str">
        <f>HYPERLINK("https://youtu.be/Quuj2LyBdRE?t=2605","channel 1")</f>
        <v>channel 1</v>
      </c>
    </row>
    <row r="56">
      <c r="B56" s="62" t="s">
        <v>3462</v>
      </c>
      <c r="C56" s="57" t="s">
        <v>181</v>
      </c>
      <c r="D56" s="56" t="s">
        <v>3524</v>
      </c>
      <c r="E56" s="11" t="str">
        <f>HYPERLINK("https://youtu.be/JtjeC6Ht1nA?t=3849","channel 2")</f>
        <v>channel 2</v>
      </c>
    </row>
    <row r="57">
      <c r="B57" s="136" t="s">
        <v>3524</v>
      </c>
      <c r="C57" s="137" t="s">
        <v>668</v>
      </c>
      <c r="D57" s="133" t="s">
        <v>3523</v>
      </c>
      <c r="E57" s="122" t="s">
        <v>9</v>
      </c>
    </row>
    <row r="58">
      <c r="B58" s="62" t="s">
        <v>3462</v>
      </c>
      <c r="C58" s="57" t="s">
        <v>176</v>
      </c>
      <c r="D58" s="62" t="s">
        <v>339</v>
      </c>
      <c r="E58" s="11" t="str">
        <f>HYPERLINK("https://youtu.be/JtjeC6Ht1nA?t=4808","channel 2")</f>
        <v>channel 2</v>
      </c>
    </row>
    <row r="59">
      <c r="B59" s="133" t="s">
        <v>3523</v>
      </c>
      <c r="C59" s="137" t="s">
        <v>668</v>
      </c>
      <c r="D59" s="133" t="s">
        <v>3525</v>
      </c>
      <c r="E59" s="122" t="s">
        <v>9</v>
      </c>
    </row>
    <row r="60">
      <c r="B60" s="56" t="s">
        <v>3524</v>
      </c>
      <c r="C60" s="45" t="s">
        <v>44</v>
      </c>
      <c r="D60" s="62" t="s">
        <v>339</v>
      </c>
      <c r="E60" s="11" t="str">
        <f>HYPERLINK("https://youtu.be/JtjeC6Ht1nA?t=5917","channel 2")</f>
        <v>channel 2</v>
      </c>
    </row>
    <row r="61">
      <c r="B61" s="133" t="s">
        <v>3462</v>
      </c>
      <c r="C61" s="115" t="s">
        <v>195</v>
      </c>
      <c r="D61" s="133" t="s">
        <v>3525</v>
      </c>
      <c r="E61" s="11" t="str">
        <f>HYPERLINK("https://youtu.be/Quuj2LyBdRE?t=5471","channel 1")</f>
        <v>channel 1</v>
      </c>
    </row>
    <row r="62">
      <c r="B62" s="62" t="s">
        <v>3523</v>
      </c>
      <c r="C62" s="81" t="s">
        <v>668</v>
      </c>
      <c r="D62" s="62" t="s">
        <v>339</v>
      </c>
      <c r="E62" s="122" t="s">
        <v>13</v>
      </c>
    </row>
    <row r="63">
      <c r="B63" s="136" t="s">
        <v>3524</v>
      </c>
      <c r="C63" s="115" t="s">
        <v>18</v>
      </c>
      <c r="D63" s="133" t="s">
        <v>3525</v>
      </c>
      <c r="E63" s="11" t="str">
        <f>HYPERLINK("https://youtu.be/Quuj2LyBdRE?t=6414","channel 1")</f>
        <v>channel 1</v>
      </c>
    </row>
    <row r="64">
      <c r="B64" s="62" t="s">
        <v>3523</v>
      </c>
      <c r="C64" s="81" t="s">
        <v>668</v>
      </c>
      <c r="D64" s="62" t="s">
        <v>3462</v>
      </c>
      <c r="E64" s="122" t="s">
        <v>13</v>
      </c>
    </row>
    <row r="65">
      <c r="B65" s="133" t="s">
        <v>339</v>
      </c>
      <c r="C65" s="115" t="s">
        <v>324</v>
      </c>
      <c r="D65" s="133" t="s">
        <v>3525</v>
      </c>
      <c r="E65" s="11" t="str">
        <f>HYPERLINK("https://youtu.be/Quuj2LyBdRE?t=7337","channel 1")</f>
        <v>channel 1</v>
      </c>
    </row>
    <row r="66">
      <c r="B66" s="56" t="s">
        <v>3524</v>
      </c>
      <c r="C66" s="45" t="s">
        <v>158</v>
      </c>
      <c r="D66" s="62" t="s">
        <v>3462</v>
      </c>
      <c r="E66" s="11" t="str">
        <f>HYPERLINK("https://youtu.be/JtjeC6Ht1nA?t=8628","channel 2")</f>
        <v>channel 2</v>
      </c>
    </row>
    <row r="67">
      <c r="B67" s="96" t="s">
        <v>3526</v>
      </c>
      <c r="C67" s="2"/>
      <c r="D67" s="3"/>
      <c r="E67" s="53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62" t="s">
        <v>3527</v>
      </c>
      <c r="C69" s="81" t="s">
        <v>668</v>
      </c>
      <c r="D69" s="56" t="s">
        <v>3528</v>
      </c>
      <c r="E69" s="122" t="s">
        <v>9</v>
      </c>
    </row>
    <row r="70">
      <c r="B70" s="62" t="s">
        <v>3529</v>
      </c>
      <c r="C70" s="57" t="s">
        <v>42</v>
      </c>
      <c r="D70" s="62" t="s">
        <v>3530</v>
      </c>
      <c r="E70" s="11" t="str">
        <f>HYPERLINK("https://youtu.be/8oRZgtm9Ls0?t=211","channel 2")</f>
        <v>channel 2</v>
      </c>
    </row>
    <row r="71">
      <c r="B71" s="62" t="s">
        <v>3531</v>
      </c>
      <c r="C71" s="81" t="s">
        <v>668</v>
      </c>
      <c r="D71" s="62" t="s">
        <v>3527</v>
      </c>
      <c r="E71" s="122" t="s">
        <v>9</v>
      </c>
    </row>
    <row r="72">
      <c r="B72" s="62" t="s">
        <v>3529</v>
      </c>
      <c r="C72" s="57" t="s">
        <v>344</v>
      </c>
      <c r="D72" s="56" t="s">
        <v>3528</v>
      </c>
      <c r="E72" s="11" t="str">
        <f>HYPERLINK("https://youtu.be/8oRZgtm9Ls0?t=1310","channel 2")</f>
        <v>channel 2</v>
      </c>
    </row>
    <row r="73">
      <c r="B73" s="133" t="s">
        <v>3531</v>
      </c>
      <c r="C73" s="94" t="s">
        <v>208</v>
      </c>
      <c r="D73" s="133" t="s">
        <v>3530</v>
      </c>
      <c r="E73" s="11" t="str">
        <f>HYPERLINK("https://youtu.be/X21l1klkxQw","channel 1")</f>
        <v>channel 1</v>
      </c>
    </row>
    <row r="74">
      <c r="B74" s="62" t="s">
        <v>3529</v>
      </c>
      <c r="C74" s="81" t="s">
        <v>668</v>
      </c>
      <c r="D74" s="62" t="s">
        <v>3527</v>
      </c>
      <c r="E74" s="122" t="s">
        <v>13</v>
      </c>
    </row>
    <row r="75">
      <c r="B75" s="133" t="s">
        <v>3531</v>
      </c>
      <c r="C75" s="94" t="s">
        <v>1314</v>
      </c>
      <c r="D75" s="136" t="s">
        <v>3528</v>
      </c>
      <c r="E75" s="11" t="str">
        <f>HYPERLINK("https://youtu.be/X21l1klkxQw?t=3305","channel 1")</f>
        <v>channel 1</v>
      </c>
    </row>
    <row r="76">
      <c r="B76" s="62" t="s">
        <v>3530</v>
      </c>
      <c r="C76" s="81" t="s">
        <v>668</v>
      </c>
      <c r="D76" s="62" t="s">
        <v>3527</v>
      </c>
      <c r="E76" s="122" t="s">
        <v>13</v>
      </c>
    </row>
    <row r="77">
      <c r="B77" s="133" t="s">
        <v>3531</v>
      </c>
      <c r="C77" s="94" t="s">
        <v>41</v>
      </c>
      <c r="D77" s="133" t="s">
        <v>3529</v>
      </c>
      <c r="E77" s="11" t="str">
        <f>HYPERLINK("https://youtu.be/X21l1klkxQw?t=4271","channel 1")</f>
        <v>channel 1</v>
      </c>
    </row>
    <row r="78">
      <c r="B78" s="62" t="s">
        <v>3530</v>
      </c>
      <c r="C78" s="57" t="s">
        <v>195</v>
      </c>
      <c r="D78" s="56" t="s">
        <v>3528</v>
      </c>
      <c r="E78" s="11" t="str">
        <f>HYPERLINK("https://youtu.be/8oRZgtm9Ls0?t=4038","channel 2")</f>
        <v>channel 2</v>
      </c>
    </row>
    <row r="79">
      <c r="B79" s="136" t="s">
        <v>3528</v>
      </c>
      <c r="C79" s="137" t="s">
        <v>668</v>
      </c>
      <c r="D79" s="133" t="s">
        <v>3527</v>
      </c>
      <c r="E79" s="122" t="s">
        <v>9</v>
      </c>
    </row>
    <row r="80">
      <c r="B80" s="62" t="s">
        <v>3530</v>
      </c>
      <c r="C80" s="57" t="s">
        <v>173</v>
      </c>
      <c r="D80" s="62" t="s">
        <v>3529</v>
      </c>
      <c r="E80" s="122" t="s">
        <v>13</v>
      </c>
    </row>
    <row r="81">
      <c r="B81" s="133" t="s">
        <v>3527</v>
      </c>
      <c r="C81" s="137" t="s">
        <v>668</v>
      </c>
      <c r="D81" s="133" t="s">
        <v>3531</v>
      </c>
      <c r="E81" s="122" t="s">
        <v>9</v>
      </c>
    </row>
    <row r="82">
      <c r="B82" s="56" t="s">
        <v>3528</v>
      </c>
      <c r="C82" s="45" t="s">
        <v>19</v>
      </c>
      <c r="D82" s="62" t="s">
        <v>3529</v>
      </c>
      <c r="E82" s="11" t="str">
        <f>HYPERLINK("https://youtu.be/8oRZgtm9Ls0?t=4928","channel 2")</f>
        <v>channel 2</v>
      </c>
    </row>
    <row r="83">
      <c r="B83" s="133" t="s">
        <v>3530</v>
      </c>
      <c r="C83" s="115" t="s">
        <v>18</v>
      </c>
      <c r="D83" s="133" t="s">
        <v>3531</v>
      </c>
      <c r="E83" s="11" t="str">
        <f>HYPERLINK("https://youtu.be/X21l1klkxQw?t=7164","channel 1")</f>
        <v>channel 1</v>
      </c>
    </row>
    <row r="84">
      <c r="B84" s="62" t="s">
        <v>3527</v>
      </c>
      <c r="C84" s="81" t="s">
        <v>668</v>
      </c>
      <c r="D84" s="62" t="s">
        <v>3529</v>
      </c>
      <c r="E84" s="122" t="s">
        <v>13</v>
      </c>
    </row>
    <row r="85">
      <c r="B85" s="136" t="s">
        <v>3528</v>
      </c>
      <c r="C85" s="115" t="s">
        <v>203</v>
      </c>
      <c r="D85" s="133" t="s">
        <v>3531</v>
      </c>
      <c r="E85" s="11" t="str">
        <f>HYPERLINK("https://youtu.be/X21l1klkxQw?t=8055","channel 1")</f>
        <v>channel 1</v>
      </c>
    </row>
    <row r="86">
      <c r="B86" s="62" t="s">
        <v>3527</v>
      </c>
      <c r="C86" s="81" t="s">
        <v>668</v>
      </c>
      <c r="D86" s="62" t="s">
        <v>3530</v>
      </c>
      <c r="E86" s="122" t="s">
        <v>13</v>
      </c>
    </row>
    <row r="87">
      <c r="B87" s="133" t="s">
        <v>3529</v>
      </c>
      <c r="C87" s="115" t="s">
        <v>38</v>
      </c>
      <c r="D87" s="133" t="s">
        <v>3531</v>
      </c>
      <c r="E87" s="11" t="str">
        <f>HYPERLINK("https://youtu.be/X21l1klkxQw?t=9056","channel 1")</f>
        <v>channel 1</v>
      </c>
    </row>
    <row r="88">
      <c r="B88" s="56" t="s">
        <v>3528</v>
      </c>
      <c r="C88" s="115" t="s">
        <v>43</v>
      </c>
      <c r="D88" s="62" t="s">
        <v>3530</v>
      </c>
      <c r="E88" s="11" t="str">
        <f>HYPERLINK("https://youtu.be/8oRZgtm9Ls0?t=8705","channel 2")</f>
        <v>channel 2</v>
      </c>
    </row>
    <row r="89">
      <c r="B89" s="96" t="s">
        <v>2646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6" t="s">
        <v>5</v>
      </c>
    </row>
    <row r="91">
      <c r="B91" s="61" t="s">
        <v>2612</v>
      </c>
      <c r="C91" s="94" t="s">
        <v>251</v>
      </c>
      <c r="D91" s="61" t="s">
        <v>1622</v>
      </c>
      <c r="E91" s="11" t="str">
        <f>HYPERLINK("https://youtu.be/-xz-WfirwTc","channel 3")</f>
        <v>channel 3</v>
      </c>
    </row>
    <row r="92">
      <c r="B92" s="61" t="s">
        <v>1191</v>
      </c>
      <c r="C92" s="94" t="s">
        <v>487</v>
      </c>
      <c r="D92" s="61" t="s">
        <v>2022</v>
      </c>
      <c r="E92" s="11" t="str">
        <f>HYPERLINK("https://youtu.be/E2aEBGfDNig?t=17","channel 4")</f>
        <v>channel 4</v>
      </c>
    </row>
    <row r="93">
      <c r="B93" s="61" t="s">
        <v>3532</v>
      </c>
      <c r="C93" s="94" t="s">
        <v>449</v>
      </c>
      <c r="D93" s="61" t="s">
        <v>2612</v>
      </c>
      <c r="E93" s="11" t="str">
        <f>HYPERLINK("https://youtu.be/-xz-WfirwTc?t=1078","channel 3")</f>
        <v>channel 3</v>
      </c>
    </row>
    <row r="94">
      <c r="B94" s="61" t="s">
        <v>1191</v>
      </c>
      <c r="C94" s="94" t="s">
        <v>289</v>
      </c>
      <c r="D94" s="61" t="s">
        <v>1622</v>
      </c>
      <c r="E94" s="11" t="str">
        <f>HYPERLINK("https://youtu.be/E2aEBGfDNig?t=947","channel 4")</f>
        <v>channel 4</v>
      </c>
    </row>
    <row r="95">
      <c r="B95" s="61" t="s">
        <v>3532</v>
      </c>
      <c r="C95" s="94" t="s">
        <v>44</v>
      </c>
      <c r="D95" s="61" t="s">
        <v>2022</v>
      </c>
      <c r="E95" s="11" t="str">
        <f>HYPERLINK("https://youtu.be/-xz-WfirwTc?t=2013","channel 3")</f>
        <v>channel 3</v>
      </c>
    </row>
    <row r="96">
      <c r="B96" s="114" t="s">
        <v>1191</v>
      </c>
      <c r="C96" s="94" t="s">
        <v>38</v>
      </c>
      <c r="D96" s="114" t="s">
        <v>2612</v>
      </c>
      <c r="E96" s="11" t="str">
        <f>HYPERLINK("https://youtu.be/E2aEBGfDNig?t=1861","channel 4")</f>
        <v>channel 4</v>
      </c>
    </row>
    <row r="97">
      <c r="B97" s="61" t="s">
        <v>3532</v>
      </c>
      <c r="C97" s="94" t="s">
        <v>856</v>
      </c>
      <c r="D97" s="61" t="s">
        <v>1622</v>
      </c>
      <c r="E97" s="11" t="str">
        <f>HYPERLINK("https://youtu.be/-xz-WfirwTc?t=3000","channel 3")</f>
        <v>channel 3</v>
      </c>
    </row>
    <row r="98">
      <c r="B98" s="114" t="s">
        <v>2022</v>
      </c>
      <c r="C98" s="94" t="s">
        <v>181</v>
      </c>
      <c r="D98" s="114" t="s">
        <v>2612</v>
      </c>
      <c r="E98" s="11" t="str">
        <f>HYPERLINK("https://youtu.be/E2aEBGfDNig?t=2791","channel 4")</f>
        <v>channel 4</v>
      </c>
    </row>
    <row r="99">
      <c r="B99" s="61" t="s">
        <v>3532</v>
      </c>
      <c r="C99" s="94" t="s">
        <v>3533</v>
      </c>
      <c r="D99" s="61" t="s">
        <v>1191</v>
      </c>
      <c r="E99" s="11" t="str">
        <f>HYPERLINK("https://youtu.be/-xz-WfirwTc?t=3856","channel 3")</f>
        <v>channel 3</v>
      </c>
    </row>
    <row r="100">
      <c r="B100" s="61" t="s">
        <v>2022</v>
      </c>
      <c r="C100" s="94" t="s">
        <v>575</v>
      </c>
      <c r="D100" s="61" t="s">
        <v>1622</v>
      </c>
      <c r="E100" s="11" t="str">
        <f>HYPERLINK("https://youtu.be/E2aEBGfDNig?t=3700","channel 4")</f>
        <v>channel 4</v>
      </c>
    </row>
    <row r="101">
      <c r="B101" s="61" t="s">
        <v>1622</v>
      </c>
      <c r="C101" s="94" t="s">
        <v>507</v>
      </c>
      <c r="D101" s="61" t="s">
        <v>2612</v>
      </c>
      <c r="E101" s="11" t="str">
        <f>HYPERLINK("https://youtu.be/-xz-WfirwTc?t=4788","channel 3")</f>
        <v>channel 3</v>
      </c>
    </row>
    <row r="102">
      <c r="B102" s="114" t="s">
        <v>2022</v>
      </c>
      <c r="C102" s="94" t="s">
        <v>233</v>
      </c>
      <c r="D102" s="114" t="s">
        <v>1191</v>
      </c>
      <c r="E102" s="11" t="str">
        <f>HYPERLINK("https://youtu.be/E2aEBGfDNig?t=4640","channel 4")</f>
        <v>channel 4</v>
      </c>
    </row>
    <row r="103">
      <c r="B103" s="61" t="s">
        <v>2612</v>
      </c>
      <c r="C103" s="94" t="s">
        <v>161</v>
      </c>
      <c r="D103" s="61" t="s">
        <v>3532</v>
      </c>
      <c r="E103" s="11" t="str">
        <f>HYPERLINK("https://youtu.be/-xz-WfirwTc?t=5709","channel 3")</f>
        <v>channel 3</v>
      </c>
    </row>
    <row r="104">
      <c r="B104" s="61" t="s">
        <v>1622</v>
      </c>
      <c r="C104" s="94" t="s">
        <v>1739</v>
      </c>
      <c r="D104" s="61" t="s">
        <v>1191</v>
      </c>
      <c r="E104" s="11" t="str">
        <f>HYPERLINK("https://youtu.be/E2aEBGfDNig?t=5598","channel 4")</f>
        <v>channel 4</v>
      </c>
    </row>
    <row r="105">
      <c r="B105" s="61" t="s">
        <v>2022</v>
      </c>
      <c r="C105" s="94" t="s">
        <v>3534</v>
      </c>
      <c r="D105" s="61" t="s">
        <v>3532</v>
      </c>
      <c r="E105" s="11" t="str">
        <f>HYPERLINK("https://youtu.be/-xz-WfirwTc?t=6626","channel 3")</f>
        <v>channel 3</v>
      </c>
    </row>
    <row r="106">
      <c r="B106" s="61" t="s">
        <v>2612</v>
      </c>
      <c r="C106" s="94" t="s">
        <v>2600</v>
      </c>
      <c r="D106" s="61" t="s">
        <v>1191</v>
      </c>
      <c r="E106" s="11" t="str">
        <f>HYPERLINK("https://youtu.be/E2aEBGfDNig?t=6571","channel 4")</f>
        <v>channel 4</v>
      </c>
    </row>
    <row r="107">
      <c r="B107" s="61" t="s">
        <v>1622</v>
      </c>
      <c r="C107" s="94" t="s">
        <v>162</v>
      </c>
      <c r="D107" s="61" t="s">
        <v>3532</v>
      </c>
      <c r="E107" s="11" t="str">
        <f>HYPERLINK("https://youtu.be/-xz-WfirwTc?t=7502","channel 3")</f>
        <v>channel 3</v>
      </c>
    </row>
    <row r="108">
      <c r="B108" s="61" t="s">
        <v>2612</v>
      </c>
      <c r="C108" s="94" t="s">
        <v>196</v>
      </c>
      <c r="D108" s="61" t="s">
        <v>2022</v>
      </c>
      <c r="E108" s="11" t="str">
        <f>HYPERLINK("https://youtu.be/E2aEBGfDNig?t=7448","channel 4")</f>
        <v>channel 4</v>
      </c>
    </row>
    <row r="109">
      <c r="B109" s="61" t="s">
        <v>1191</v>
      </c>
      <c r="C109" s="94" t="s">
        <v>43</v>
      </c>
      <c r="D109" s="61" t="s">
        <v>3532</v>
      </c>
      <c r="E109" s="11" t="str">
        <f>HYPERLINK("https://youtu.be/-xz-WfirwTc?t=8393","channel 3")</f>
        <v>channel 3</v>
      </c>
    </row>
    <row r="110">
      <c r="B110" s="61" t="s">
        <v>1622</v>
      </c>
      <c r="C110" s="94" t="s">
        <v>19</v>
      </c>
      <c r="D110" s="61" t="s">
        <v>2022</v>
      </c>
      <c r="E110" s="11" t="str">
        <f>HYPERLINK("https://youtu.be/E2aEBGfDNig?t=8284","channel 4")</f>
        <v>channel 4</v>
      </c>
    </row>
    <row r="111">
      <c r="B111" s="96" t="s">
        <v>2650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6" t="s">
        <v>5</v>
      </c>
    </row>
    <row r="113">
      <c r="B113" s="61" t="s">
        <v>831</v>
      </c>
      <c r="C113" s="94" t="s">
        <v>549</v>
      </c>
      <c r="D113" s="61" t="s">
        <v>3336</v>
      </c>
      <c r="E113" s="11" t="str">
        <f>HYPERLINK("https://youtu.be/5Gedcvw0IRs","channel 3")</f>
        <v>channel 3</v>
      </c>
    </row>
    <row r="114">
      <c r="B114" s="61" t="s">
        <v>3203</v>
      </c>
      <c r="C114" s="94" t="s">
        <v>697</v>
      </c>
      <c r="D114" s="61" t="s">
        <v>833</v>
      </c>
      <c r="E114" s="11" t="str">
        <f>HYPERLINK("https://youtu.be/sWeDlIFx5z0","channel 4")</f>
        <v>channel 4</v>
      </c>
    </row>
    <row r="115">
      <c r="B115" s="61" t="s">
        <v>3535</v>
      </c>
      <c r="C115" s="94" t="s">
        <v>203</v>
      </c>
      <c r="D115" s="61" t="s">
        <v>831</v>
      </c>
      <c r="E115" s="11" t="str">
        <f>HYPERLINK("https://youtu.be/5Gedcvw0IRs?t=921","channel 3")</f>
        <v>channel 3</v>
      </c>
    </row>
    <row r="116">
      <c r="B116" s="61" t="s">
        <v>3203</v>
      </c>
      <c r="C116" s="94" t="s">
        <v>209</v>
      </c>
      <c r="D116" s="61" t="s">
        <v>3336</v>
      </c>
      <c r="E116" s="11" t="str">
        <f>HYPERLINK("https://youtu.be/sWeDlIFx5z0?t=946","channel 4")</f>
        <v>channel 4</v>
      </c>
    </row>
    <row r="117">
      <c r="B117" s="61" t="s">
        <v>3535</v>
      </c>
      <c r="C117" s="94" t="s">
        <v>256</v>
      </c>
      <c r="D117" s="61" t="s">
        <v>833</v>
      </c>
      <c r="E117" s="11" t="str">
        <f>HYPERLINK("https://youtu.be/5Gedcvw0IRs?t=1833","channel 3")</f>
        <v>channel 3</v>
      </c>
    </row>
    <row r="118">
      <c r="B118" s="114" t="s">
        <v>3203</v>
      </c>
      <c r="C118" s="94" t="s">
        <v>487</v>
      </c>
      <c r="D118" s="114" t="s">
        <v>831</v>
      </c>
      <c r="E118" s="11" t="str">
        <f>HYPERLINK("https://youtu.be/sWeDlIFx5z0?t=1841","channel 4")</f>
        <v>channel 4</v>
      </c>
    </row>
    <row r="119">
      <c r="B119" s="61" t="s">
        <v>3535</v>
      </c>
      <c r="C119" s="94" t="s">
        <v>380</v>
      </c>
      <c r="D119" s="61" t="s">
        <v>3336</v>
      </c>
      <c r="E119" s="11" t="str">
        <f>HYPERLINK("https://youtu.be/5Gedcvw0IRs?t=2730","channel 3")</f>
        <v>channel 3</v>
      </c>
    </row>
    <row r="120">
      <c r="B120" s="114" t="s">
        <v>833</v>
      </c>
      <c r="C120" s="94" t="s">
        <v>3536</v>
      </c>
      <c r="D120" s="114" t="s">
        <v>831</v>
      </c>
      <c r="E120" s="11" t="str">
        <f>HYPERLINK("https://youtu.be/sWeDlIFx5z0?t=2763","channel 4")</f>
        <v>channel 4</v>
      </c>
    </row>
    <row r="121">
      <c r="B121" s="61" t="s">
        <v>3535</v>
      </c>
      <c r="C121" s="94" t="s">
        <v>248</v>
      </c>
      <c r="D121" s="61" t="s">
        <v>3203</v>
      </c>
      <c r="E121" s="11" t="str">
        <f>HYPERLINK("https://youtu.be/5Gedcvw0IRs?t=3677","channel 3")</f>
        <v>channel 3</v>
      </c>
    </row>
    <row r="122">
      <c r="B122" s="61" t="s">
        <v>833</v>
      </c>
      <c r="C122" s="94" t="s">
        <v>664</v>
      </c>
      <c r="D122" s="61" t="s">
        <v>3336</v>
      </c>
      <c r="E122" s="11" t="str">
        <f>HYPERLINK("https://youtu.be/sWeDlIFx5z0?t=3691","channel 4")</f>
        <v>channel 4</v>
      </c>
    </row>
    <row r="123">
      <c r="B123" s="61" t="s">
        <v>3336</v>
      </c>
      <c r="C123" s="94" t="s">
        <v>176</v>
      </c>
      <c r="D123" s="61" t="s">
        <v>831</v>
      </c>
      <c r="E123" s="11" t="str">
        <f>HYPERLINK("https://youtu.be/5Gedcvw0IRs?t=4574","channel 3")</f>
        <v>channel 3</v>
      </c>
    </row>
    <row r="124">
      <c r="B124" s="114" t="s">
        <v>833</v>
      </c>
      <c r="C124" s="94" t="s">
        <v>323</v>
      </c>
      <c r="D124" s="114" t="s">
        <v>3203</v>
      </c>
      <c r="E124" s="11" t="str">
        <f>HYPERLINK("https://youtu.be/sWeDlIFx5z0?t=4593","channel 4")</f>
        <v>channel 4</v>
      </c>
    </row>
    <row r="125">
      <c r="B125" s="61" t="s">
        <v>831</v>
      </c>
      <c r="C125" s="94" t="s">
        <v>219</v>
      </c>
      <c r="D125" s="61" t="s">
        <v>3535</v>
      </c>
      <c r="E125" s="11" t="str">
        <f>HYPERLINK("https://youtu.be/5Gedcvw0IRs?t=5487","channel 3")</f>
        <v>channel 3</v>
      </c>
    </row>
    <row r="126">
      <c r="B126" s="61" t="s">
        <v>3336</v>
      </c>
      <c r="C126" s="94" t="s">
        <v>163</v>
      </c>
      <c r="D126" s="61" t="s">
        <v>3203</v>
      </c>
      <c r="E126" s="11" t="str">
        <f>HYPERLINK("https://youtu.be/sWeDlIFx5z0?t=5502","channel 4")</f>
        <v>channel 4</v>
      </c>
    </row>
    <row r="127">
      <c r="B127" s="61" t="s">
        <v>833</v>
      </c>
      <c r="C127" s="94" t="s">
        <v>573</v>
      </c>
      <c r="D127" s="61" t="s">
        <v>3535</v>
      </c>
      <c r="E127" s="11" t="str">
        <f>HYPERLINK("https://youtu.be/5Gedcvw0IRs?t=6391","channel 3")</f>
        <v>channel 3</v>
      </c>
    </row>
    <row r="128">
      <c r="B128" s="61" t="s">
        <v>831</v>
      </c>
      <c r="C128" s="94" t="s">
        <v>210</v>
      </c>
      <c r="D128" s="61" t="s">
        <v>3203</v>
      </c>
      <c r="E128" s="11" t="str">
        <f>HYPERLINK("https://youtu.be/sWeDlIFx5z0?t=6427","channel 4")</f>
        <v>channel 4</v>
      </c>
    </row>
    <row r="129">
      <c r="B129" s="61" t="s">
        <v>3336</v>
      </c>
      <c r="C129" s="94" t="s">
        <v>17</v>
      </c>
      <c r="D129" s="61" t="s">
        <v>3535</v>
      </c>
      <c r="E129" s="11" t="str">
        <f>HYPERLINK("https://youtu.be/5Gedcvw0IRs?t=7288","channel 3")</f>
        <v>channel 3</v>
      </c>
    </row>
    <row r="130">
      <c r="B130" s="61" t="s">
        <v>831</v>
      </c>
      <c r="C130" s="94" t="s">
        <v>184</v>
      </c>
      <c r="D130" s="61" t="s">
        <v>833</v>
      </c>
      <c r="E130" s="11" t="str">
        <f>HYPERLINK("https://youtu.be/sWeDlIFx5z0?t=7329","channel 4")</f>
        <v>channel 4</v>
      </c>
    </row>
    <row r="131">
      <c r="B131" s="61" t="s">
        <v>3203</v>
      </c>
      <c r="C131" s="94" t="s">
        <v>278</v>
      </c>
      <c r="D131" s="61" t="s">
        <v>3535</v>
      </c>
      <c r="E131" s="11" t="str">
        <f>HYPERLINK("https://youtu.be/5Gedcvw0IRs?t=8212","channel 3")</f>
        <v>channel 3</v>
      </c>
    </row>
    <row r="132">
      <c r="B132" s="61" t="s">
        <v>3336</v>
      </c>
      <c r="C132" s="94" t="s">
        <v>3537</v>
      </c>
      <c r="D132" s="61" t="s">
        <v>833</v>
      </c>
      <c r="E132" s="11" t="str">
        <f>HYPERLINK("https://youtu.be/sWeDlIFx5z0?t=8215","channel 4")</f>
        <v>channel 4</v>
      </c>
    </row>
    <row r="133">
      <c r="B133" s="96" t="s">
        <v>2417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3502</v>
      </c>
      <c r="C135" s="94" t="s">
        <v>248</v>
      </c>
      <c r="D135" s="56" t="s">
        <v>3538</v>
      </c>
      <c r="E135" s="11" t="str">
        <f>HYPERLINK("https://youtu.be/wo2MfgkDJQw","channel 1")</f>
        <v>channel 1</v>
      </c>
    </row>
    <row r="136">
      <c r="B136" s="62" t="s">
        <v>2942</v>
      </c>
      <c r="C136" s="94" t="s">
        <v>155</v>
      </c>
      <c r="D136" s="56" t="s">
        <v>3539</v>
      </c>
      <c r="E136" s="11" t="str">
        <f>HYPERLINK("https://youtu.be/dr5CwA4Pgig?t=127","channel 2")</f>
        <v>channel 2</v>
      </c>
    </row>
    <row r="137">
      <c r="B137" s="62" t="s">
        <v>2972</v>
      </c>
      <c r="C137" s="94" t="s">
        <v>41</v>
      </c>
      <c r="D137" s="62" t="s">
        <v>3502</v>
      </c>
      <c r="E137" s="11" t="str">
        <f>HYPERLINK("https://youtu.be/wo2MfgkDJQw?t=896","channel 1")</f>
        <v>channel 1</v>
      </c>
    </row>
    <row r="138">
      <c r="B138" s="62" t="s">
        <v>2942</v>
      </c>
      <c r="C138" s="94" t="s">
        <v>155</v>
      </c>
      <c r="D138" s="56" t="s">
        <v>3538</v>
      </c>
      <c r="E138" s="11" t="str">
        <f>HYPERLINK("https://youtu.be/dr5CwA4Pgig?t=1030","channel 2")</f>
        <v>channel 2</v>
      </c>
    </row>
    <row r="139">
      <c r="B139" s="62" t="s">
        <v>2972</v>
      </c>
      <c r="C139" s="94" t="s">
        <v>7</v>
      </c>
      <c r="D139" s="56" t="s">
        <v>3539</v>
      </c>
      <c r="E139" s="11" t="str">
        <f>HYPERLINK("https://youtu.be/wo2MfgkDJQw?t=1828","channel 1")</f>
        <v>channel 1</v>
      </c>
    </row>
    <row r="140">
      <c r="B140" s="62" t="s">
        <v>2942</v>
      </c>
      <c r="C140" s="94" t="s">
        <v>165</v>
      </c>
      <c r="D140" s="62" t="s">
        <v>3502</v>
      </c>
      <c r="E140" s="11" t="str">
        <f>HYPERLINK("https://youtu.be/dr5CwA4Pgig?t=2046","channel 2")</f>
        <v>channel 2</v>
      </c>
    </row>
    <row r="141">
      <c r="B141" s="62" t="s">
        <v>2972</v>
      </c>
      <c r="C141" s="94" t="s">
        <v>180</v>
      </c>
      <c r="D141" s="56" t="s">
        <v>3538</v>
      </c>
      <c r="E141" s="11" t="str">
        <f>HYPERLINK("https://youtu.be/wo2MfgkDJQw?t=2765","channel 1")</f>
        <v>channel 1</v>
      </c>
    </row>
    <row r="142">
      <c r="B142" s="56" t="s">
        <v>3539</v>
      </c>
      <c r="C142" s="94" t="s">
        <v>176</v>
      </c>
      <c r="D142" s="62" t="s">
        <v>3502</v>
      </c>
      <c r="E142" s="11" t="str">
        <f>HYPERLINK("https://youtu.be/dr5CwA4Pgig?t=3055","channel 2")</f>
        <v>channel 2</v>
      </c>
    </row>
    <row r="143">
      <c r="B143" s="62" t="s">
        <v>2972</v>
      </c>
      <c r="C143" s="94" t="s">
        <v>281</v>
      </c>
      <c r="D143" s="62" t="s">
        <v>2942</v>
      </c>
      <c r="E143" s="11" t="str">
        <f>HYPERLINK("https://youtu.be/wo2MfgkDJQw?t=3796","channel 1")</f>
        <v>channel 1</v>
      </c>
    </row>
    <row r="144">
      <c r="B144" s="56" t="s">
        <v>3539</v>
      </c>
      <c r="C144" s="94" t="s">
        <v>257</v>
      </c>
      <c r="D144" s="56" t="s">
        <v>3538</v>
      </c>
      <c r="E144" s="11" t="str">
        <f>HYPERLINK("https://youtu.be/dr5CwA4Pgig?t=3995","channel 2")</f>
        <v>channel 2</v>
      </c>
    </row>
    <row r="145">
      <c r="B145" s="56" t="s">
        <v>3538</v>
      </c>
      <c r="C145" s="94" t="s">
        <v>177</v>
      </c>
      <c r="D145" s="62" t="s">
        <v>3502</v>
      </c>
      <c r="E145" s="11" t="str">
        <f>HYPERLINK("https://youtu.be/wo2MfgkDJQw?t=4857","channel 1")</f>
        <v>channel 1</v>
      </c>
    </row>
    <row r="146">
      <c r="B146" s="56" t="s">
        <v>3539</v>
      </c>
      <c r="C146" s="94" t="s">
        <v>464</v>
      </c>
      <c r="D146" s="62" t="s">
        <v>2942</v>
      </c>
      <c r="E146" s="11" t="str">
        <f>HYPERLINK("https://youtu.be/dr5CwA4Pgig?t=5134","channel 2")</f>
        <v>channel 2</v>
      </c>
    </row>
    <row r="147">
      <c r="B147" s="62" t="s">
        <v>3502</v>
      </c>
      <c r="C147" s="94" t="s">
        <v>251</v>
      </c>
      <c r="D147" s="62" t="s">
        <v>2972</v>
      </c>
      <c r="E147" s="11" t="str">
        <f>HYPERLINK("https://youtu.be/wo2MfgkDJQw?t=5886","channel 1")</f>
        <v>channel 1</v>
      </c>
    </row>
    <row r="148">
      <c r="B148" s="56" t="s">
        <v>3538</v>
      </c>
      <c r="C148" s="94" t="s">
        <v>394</v>
      </c>
      <c r="D148" s="62" t="s">
        <v>2942</v>
      </c>
      <c r="E148" s="11" t="str">
        <f>HYPERLINK("https://youtu.be/dr5CwA4Pgig?t=5964","channel 2")</f>
        <v>channel 2</v>
      </c>
    </row>
    <row r="149">
      <c r="B149" s="56" t="s">
        <v>3539</v>
      </c>
      <c r="C149" s="94" t="s">
        <v>194</v>
      </c>
      <c r="D149" s="62" t="s">
        <v>2972</v>
      </c>
      <c r="E149" s="11" t="str">
        <f>HYPERLINK("https://youtu.be/wo2MfgkDJQw?t=6783","channel 1")</f>
        <v>channel 1</v>
      </c>
    </row>
    <row r="150">
      <c r="B150" s="62" t="s">
        <v>3502</v>
      </c>
      <c r="C150" s="94" t="s">
        <v>433</v>
      </c>
      <c r="D150" s="62" t="s">
        <v>2942</v>
      </c>
      <c r="E150" s="11" t="str">
        <f>HYPERLINK("https://youtu.be/dr5CwA4Pgig?t=6870","channel 2")</f>
        <v>channel 2</v>
      </c>
    </row>
    <row r="151">
      <c r="B151" s="56" t="s">
        <v>3538</v>
      </c>
      <c r="C151" s="94" t="s">
        <v>245</v>
      </c>
      <c r="D151" s="62" t="s">
        <v>2972</v>
      </c>
      <c r="E151" s="11" t="str">
        <f>HYPERLINK("https://youtu.be/wo2MfgkDJQw?t=7664","channel 1")</f>
        <v>channel 1</v>
      </c>
    </row>
    <row r="152">
      <c r="B152" s="62" t="s">
        <v>3502</v>
      </c>
      <c r="C152" s="94" t="s">
        <v>301</v>
      </c>
      <c r="D152" s="56" t="s">
        <v>3539</v>
      </c>
      <c r="E152" s="11" t="str">
        <f>HYPERLINK("https://youtu.be/dr5CwA4Pgig?t=7814","channel 2")</f>
        <v>channel 2</v>
      </c>
    </row>
    <row r="153">
      <c r="B153" s="62" t="s">
        <v>2942</v>
      </c>
      <c r="C153" s="94" t="s">
        <v>362</v>
      </c>
      <c r="D153" s="62" t="s">
        <v>2972</v>
      </c>
      <c r="E153" s="11" t="str">
        <f>HYPERLINK("https://youtu.be/wo2MfgkDJQw?t=8514","channel 1")</f>
        <v>channel 1</v>
      </c>
    </row>
    <row r="154">
      <c r="B154" s="56" t="s">
        <v>3538</v>
      </c>
      <c r="C154" s="94" t="s">
        <v>158</v>
      </c>
      <c r="D154" s="56" t="s">
        <v>3539</v>
      </c>
      <c r="E154" s="11" t="str">
        <f>HYPERLINK("https://youtu.be/dr5CwA4Pgig?t=8774","channel 2")</f>
        <v>channel 2</v>
      </c>
    </row>
    <row r="155">
      <c r="B155" s="96" t="s">
        <v>3011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3540</v>
      </c>
      <c r="C157" s="94" t="s">
        <v>155</v>
      </c>
      <c r="D157" s="56" t="s">
        <v>3541</v>
      </c>
      <c r="E157" s="11" t="str">
        <f>HYPERLINK("https://youtu.be/rDQGAKRs9y4","channel 1")</f>
        <v>channel 1</v>
      </c>
    </row>
    <row r="158">
      <c r="B158" s="62" t="s">
        <v>3542</v>
      </c>
      <c r="C158" s="94" t="s">
        <v>218</v>
      </c>
      <c r="D158" s="56" t="s">
        <v>3543</v>
      </c>
      <c r="E158" s="11" t="str">
        <f>HYPERLINK("https://youtu.be/k_TzWr_zE1s?t=120","channel 2")</f>
        <v>channel 2</v>
      </c>
    </row>
    <row r="159">
      <c r="B159" s="62" t="s">
        <v>3544</v>
      </c>
      <c r="C159" s="94" t="s">
        <v>44</v>
      </c>
      <c r="D159" s="62" t="s">
        <v>3540</v>
      </c>
      <c r="E159" s="11" t="str">
        <f>HYPERLINK("https://youtu.be/rDQGAKRs9y4?t=1089","channel 1")</f>
        <v>channel 1</v>
      </c>
    </row>
    <row r="160">
      <c r="B160" s="62" t="s">
        <v>3542</v>
      </c>
      <c r="C160" s="94" t="s">
        <v>301</v>
      </c>
      <c r="D160" s="56" t="s">
        <v>3541</v>
      </c>
      <c r="E160" s="11" t="str">
        <f>HYPERLINK("https://youtu.be/k_TzWr_zE1s?t=1099","channel 2")</f>
        <v>channel 2</v>
      </c>
    </row>
    <row r="161">
      <c r="B161" s="62" t="s">
        <v>3544</v>
      </c>
      <c r="C161" s="94" t="s">
        <v>248</v>
      </c>
      <c r="D161" s="56" t="s">
        <v>3543</v>
      </c>
      <c r="E161" s="11" t="str">
        <f>HYPERLINK("https://youtu.be/rDQGAKRs9y4?t=2000","channel 1")</f>
        <v>channel 1</v>
      </c>
    </row>
    <row r="162">
      <c r="B162" s="62" t="s">
        <v>3542</v>
      </c>
      <c r="C162" s="94" t="s">
        <v>11</v>
      </c>
      <c r="D162" s="62" t="s">
        <v>3540</v>
      </c>
      <c r="E162" s="11" t="str">
        <f>HYPERLINK("https://youtu.be/k_TzWr_zE1s?t=2117","channel 2")</f>
        <v>channel 2</v>
      </c>
    </row>
    <row r="163">
      <c r="B163" s="62" t="s">
        <v>3544</v>
      </c>
      <c r="C163" s="94" t="s">
        <v>42</v>
      </c>
      <c r="D163" s="56" t="s">
        <v>3541</v>
      </c>
      <c r="E163" s="11" t="str">
        <f>HYPERLINK("https://youtu.be/rDQGAKRs9y4?t=2992","channel 1")</f>
        <v>channel 1</v>
      </c>
    </row>
    <row r="164">
      <c r="B164" s="56" t="s">
        <v>3543</v>
      </c>
      <c r="C164" s="94" t="s">
        <v>41</v>
      </c>
      <c r="D164" s="62" t="s">
        <v>3540</v>
      </c>
      <c r="E164" s="11" t="str">
        <f>HYPERLINK("https://youtu.be/k_TzWr_zE1s?t=3038","channel 2")</f>
        <v>channel 2</v>
      </c>
    </row>
    <row r="165">
      <c r="B165" s="62" t="s">
        <v>3544</v>
      </c>
      <c r="C165" s="94" t="s">
        <v>22</v>
      </c>
      <c r="D165" s="62" t="s">
        <v>3542</v>
      </c>
      <c r="E165" s="11" t="str">
        <f>HYPERLINK("https://youtu.be/rDQGAKRs9y4?t=3947","channel 1")</f>
        <v>channel 1</v>
      </c>
    </row>
    <row r="166">
      <c r="B166" s="56" t="s">
        <v>3543</v>
      </c>
      <c r="C166" s="94" t="s">
        <v>302</v>
      </c>
      <c r="D166" s="56" t="s">
        <v>3541</v>
      </c>
      <c r="E166" s="11" t="str">
        <f>HYPERLINK("https://youtu.be/k_TzWr_zE1s?t=3974","channel 2")</f>
        <v>channel 2</v>
      </c>
    </row>
    <row r="167">
      <c r="B167" s="56" t="s">
        <v>3541</v>
      </c>
      <c r="C167" s="94" t="s">
        <v>281</v>
      </c>
      <c r="D167" s="62" t="s">
        <v>3540</v>
      </c>
      <c r="E167" s="11" t="str">
        <f>HYPERLINK("https://youtu.be/rDQGAKRs9y4?t=4967","channel 1")</f>
        <v>channel 1</v>
      </c>
    </row>
    <row r="168">
      <c r="B168" s="56" t="s">
        <v>3543</v>
      </c>
      <c r="C168" s="94" t="s">
        <v>177</v>
      </c>
      <c r="D168" s="62" t="s">
        <v>3542</v>
      </c>
      <c r="E168" s="11" t="str">
        <f>HYPERLINK("https://youtu.be/k_TzWr_zE1s?t=4990","channel 2")</f>
        <v>channel 2</v>
      </c>
    </row>
    <row r="169">
      <c r="B169" s="62" t="s">
        <v>3540</v>
      </c>
      <c r="C169" s="94" t="s">
        <v>19</v>
      </c>
      <c r="D169" s="62" t="s">
        <v>3544</v>
      </c>
      <c r="E169" s="11" t="str">
        <f>HYPERLINK("https://youtu.be/rDQGAKRs9y4?t=5928","channel 1")</f>
        <v>channel 1</v>
      </c>
    </row>
    <row r="170">
      <c r="B170" s="56" t="s">
        <v>3541</v>
      </c>
      <c r="C170" s="94" t="s">
        <v>162</v>
      </c>
      <c r="D170" s="62" t="s">
        <v>3542</v>
      </c>
      <c r="E170" s="11" t="str">
        <f>HYPERLINK("https://youtu.be/k_TzWr_zE1s?t=5923","channel 2")</f>
        <v>channel 2</v>
      </c>
    </row>
    <row r="171">
      <c r="B171" s="56" t="s">
        <v>3543</v>
      </c>
      <c r="C171" s="94" t="s">
        <v>251</v>
      </c>
      <c r="D171" s="62" t="s">
        <v>3544</v>
      </c>
      <c r="E171" s="11" t="str">
        <f>HYPERLINK("https://youtu.be/rDQGAKRs9y4?t=6893","channel 1")</f>
        <v>channel 1</v>
      </c>
    </row>
    <row r="172">
      <c r="B172" s="62" t="s">
        <v>3540</v>
      </c>
      <c r="C172" s="94" t="s">
        <v>189</v>
      </c>
      <c r="D172" s="62" t="s">
        <v>3542</v>
      </c>
      <c r="E172" s="11" t="str">
        <f>HYPERLINK("https://youtu.be/k_TzWr_zE1s?t=6956","channel 2")</f>
        <v>channel 2</v>
      </c>
    </row>
    <row r="173">
      <c r="B173" s="56" t="s">
        <v>3541</v>
      </c>
      <c r="C173" s="94" t="s">
        <v>162</v>
      </c>
      <c r="D173" s="62" t="s">
        <v>3544</v>
      </c>
      <c r="E173" s="11" t="str">
        <f>HYPERLINK("https://youtu.be/rDQGAKRs9y4?t=7815","channel 1")</f>
        <v>channel 1</v>
      </c>
    </row>
    <row r="174">
      <c r="B174" s="62" t="s">
        <v>3540</v>
      </c>
      <c r="C174" s="94" t="s">
        <v>258</v>
      </c>
      <c r="D174" s="56" t="s">
        <v>3543</v>
      </c>
      <c r="E174" s="11" t="str">
        <f>HYPERLINK("https://youtu.be/k_TzWr_zE1s?t=7853","channel 2")</f>
        <v>channel 2</v>
      </c>
    </row>
    <row r="175">
      <c r="B175" s="62" t="s">
        <v>3542</v>
      </c>
      <c r="C175" s="94" t="s">
        <v>323</v>
      </c>
      <c r="D175" s="62" t="s">
        <v>3544</v>
      </c>
      <c r="E175" s="11" t="str">
        <f>HYPERLINK("https://youtu.be/rDQGAKRs9y4?t=8740","channel 1")</f>
        <v>channel 1</v>
      </c>
    </row>
    <row r="176">
      <c r="B176" s="56" t="s">
        <v>3541</v>
      </c>
      <c r="C176" s="94" t="s">
        <v>18</v>
      </c>
      <c r="D176" s="56" t="s">
        <v>3543</v>
      </c>
      <c r="E176" s="11" t="str">
        <f>HYPERLINK("https://youtu.be/k_TzWr_zE1s?t=8822","channel 2")</f>
        <v>channel 2</v>
      </c>
    </row>
    <row r="177">
      <c r="B177" s="96" t="s">
        <v>3416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6" t="s">
        <v>5</v>
      </c>
    </row>
    <row r="179">
      <c r="B179" s="61" t="s">
        <v>3263</v>
      </c>
      <c r="C179" s="94" t="s">
        <v>209</v>
      </c>
      <c r="D179" s="61" t="s">
        <v>2667</v>
      </c>
      <c r="E179" s="11" t="str">
        <f>HYPERLINK("https://youtu.be/S9a4vOJL4PY","channel 3")</f>
        <v>channel 3</v>
      </c>
    </row>
    <row r="180">
      <c r="B180" s="61" t="s">
        <v>2738</v>
      </c>
      <c r="C180" s="94" t="s">
        <v>39</v>
      </c>
      <c r="D180" s="61" t="s">
        <v>792</v>
      </c>
      <c r="E180" s="11" t="str">
        <f>HYPERLINK("https://youtu.be/-r2wQiOE4Ek","channel 4")</f>
        <v>channel 4</v>
      </c>
    </row>
    <row r="181">
      <c r="B181" s="61" t="s">
        <v>3545</v>
      </c>
      <c r="C181" s="94" t="s">
        <v>210</v>
      </c>
      <c r="D181" s="61" t="s">
        <v>3263</v>
      </c>
      <c r="E181" s="11" t="str">
        <f>HYPERLINK("https://youtu.be/S9a4vOJL4PY?t=938","channel 3")</f>
        <v>channel 3</v>
      </c>
    </row>
    <row r="182">
      <c r="B182" s="61" t="s">
        <v>2738</v>
      </c>
      <c r="C182" s="94" t="s">
        <v>163</v>
      </c>
      <c r="D182" s="61" t="s">
        <v>2667</v>
      </c>
      <c r="E182" s="11" t="str">
        <f>HYPERLINK("https://youtu.be/-r2wQiOE4Ek?t=972","channel 4")</f>
        <v>channel 4</v>
      </c>
    </row>
    <row r="183">
      <c r="B183" s="61" t="s">
        <v>3545</v>
      </c>
      <c r="C183" s="94" t="s">
        <v>281</v>
      </c>
      <c r="D183" s="61" t="s">
        <v>792</v>
      </c>
      <c r="E183" s="11" t="str">
        <f>HYPERLINK("https://youtu.be/S9a4vOJL4PY?t=1847","channel 3")</f>
        <v>channel 3</v>
      </c>
    </row>
    <row r="184">
      <c r="B184" s="114" t="s">
        <v>2738</v>
      </c>
      <c r="C184" s="94" t="s">
        <v>1836</v>
      </c>
      <c r="D184" s="114" t="s">
        <v>3263</v>
      </c>
      <c r="E184" s="11" t="str">
        <f>HYPERLINK("https://youtu.be/-r2wQiOE4Ek?t=1922","channel 4")</f>
        <v>channel 4</v>
      </c>
    </row>
    <row r="185">
      <c r="B185" s="61" t="s">
        <v>3545</v>
      </c>
      <c r="C185" s="94" t="s">
        <v>185</v>
      </c>
      <c r="D185" s="61" t="s">
        <v>2667</v>
      </c>
      <c r="E185" s="11" t="str">
        <f>HYPERLINK("https://youtu.be/S9a4vOJL4PY?t=2799","channel 3")</f>
        <v>channel 3</v>
      </c>
    </row>
    <row r="186">
      <c r="B186" s="114" t="s">
        <v>792</v>
      </c>
      <c r="C186" s="94" t="s">
        <v>1277</v>
      </c>
      <c r="D186" s="114" t="s">
        <v>3263</v>
      </c>
      <c r="E186" s="11" t="str">
        <f>HYPERLINK("https://youtu.be/-r2wQiOE4Ek?t=2836","channel 4")</f>
        <v>channel 4</v>
      </c>
    </row>
    <row r="187">
      <c r="B187" s="61" t="s">
        <v>3545</v>
      </c>
      <c r="C187" s="94" t="s">
        <v>863</v>
      </c>
      <c r="D187" s="61" t="s">
        <v>2738</v>
      </c>
      <c r="E187" s="11" t="str">
        <f>HYPERLINK("https://youtu.be/S9a4vOJL4PY?t=3709","channel 3")</f>
        <v>channel 3</v>
      </c>
    </row>
    <row r="188">
      <c r="B188" s="61" t="s">
        <v>792</v>
      </c>
      <c r="C188" s="94" t="s">
        <v>248</v>
      </c>
      <c r="D188" s="61" t="s">
        <v>2667</v>
      </c>
      <c r="E188" s="11" t="str">
        <f>HYPERLINK("https://youtu.be/-r2wQiOE4Ek?t=3770","channel 4")</f>
        <v>channel 4</v>
      </c>
    </row>
    <row r="189">
      <c r="B189" s="61" t="s">
        <v>2667</v>
      </c>
      <c r="C189" s="94" t="s">
        <v>22</v>
      </c>
      <c r="D189" s="61" t="s">
        <v>3263</v>
      </c>
      <c r="E189" s="11" t="str">
        <f>HYPERLINK("https://youtu.be/S9a4vOJL4PY?t=4633","channel 3")</f>
        <v>channel 3</v>
      </c>
    </row>
    <row r="190">
      <c r="B190" s="114" t="s">
        <v>792</v>
      </c>
      <c r="C190" s="94" t="s">
        <v>3546</v>
      </c>
      <c r="D190" s="114" t="s">
        <v>2738</v>
      </c>
      <c r="E190" s="11" t="str">
        <f>HYPERLINK("https://youtu.be/-r2wQiOE4Ek?t=4691","channel 4")</f>
        <v>channel 4</v>
      </c>
    </row>
    <row r="191">
      <c r="B191" s="61" t="s">
        <v>3263</v>
      </c>
      <c r="C191" s="94" t="s">
        <v>3547</v>
      </c>
      <c r="D191" s="61" t="s">
        <v>3545</v>
      </c>
      <c r="E191" s="11" t="str">
        <f>HYPERLINK("https://youtu.be/S9a4vOJL4PY?t=5568","channel 3")</f>
        <v>channel 3</v>
      </c>
    </row>
    <row r="192">
      <c r="B192" s="61" t="s">
        <v>2667</v>
      </c>
      <c r="C192" s="94" t="s">
        <v>186</v>
      </c>
      <c r="D192" s="61" t="s">
        <v>2738</v>
      </c>
      <c r="E192" s="11" t="str">
        <f>HYPERLINK("https://youtu.be/-r2wQiOE4Ek?t=5635","channel 4")</f>
        <v>channel 4</v>
      </c>
    </row>
    <row r="193">
      <c r="B193" s="61" t="s">
        <v>792</v>
      </c>
      <c r="C193" s="94" t="s">
        <v>225</v>
      </c>
      <c r="D193" s="61" t="s">
        <v>3545</v>
      </c>
      <c r="E193" s="11" t="str">
        <f>HYPERLINK("https://youtu.be/S9a4vOJL4PY?t=6717","channel 3")</f>
        <v>channel 3</v>
      </c>
    </row>
    <row r="194">
      <c r="B194" s="61" t="s">
        <v>3263</v>
      </c>
      <c r="C194" s="94" t="s">
        <v>185</v>
      </c>
      <c r="D194" s="61" t="s">
        <v>2738</v>
      </c>
      <c r="E194" s="11" t="str">
        <f>HYPERLINK("https://youtu.be/-r2wQiOE4Ek?t=6759","channel 4")</f>
        <v>channel 4</v>
      </c>
    </row>
    <row r="195">
      <c r="B195" s="61" t="s">
        <v>2667</v>
      </c>
      <c r="C195" s="94" t="s">
        <v>43</v>
      </c>
      <c r="D195" s="61" t="s">
        <v>3545</v>
      </c>
      <c r="E195" s="11" t="str">
        <f>HYPERLINK("https://youtu.be/S9a4vOJL4PY?t=7678","channel 3")</f>
        <v>channel 3</v>
      </c>
    </row>
    <row r="196">
      <c r="B196" s="61" t="s">
        <v>3263</v>
      </c>
      <c r="C196" s="94" t="s">
        <v>3548</v>
      </c>
      <c r="D196" s="61" t="s">
        <v>792</v>
      </c>
      <c r="E196" s="11" t="str">
        <f>HYPERLINK("https://youtu.be/-r2wQiOE4Ek?t=7716","channel 4")</f>
        <v>channel 4</v>
      </c>
    </row>
    <row r="197">
      <c r="B197" s="61" t="s">
        <v>2738</v>
      </c>
      <c r="C197" s="94" t="s">
        <v>193</v>
      </c>
      <c r="D197" s="61" t="s">
        <v>3545</v>
      </c>
      <c r="E197" s="11" t="str">
        <f>HYPERLINK("https://youtu.be/S9a4vOJL4PY?t=8613","channel 3")</f>
        <v>channel 3</v>
      </c>
    </row>
    <row r="198">
      <c r="B198" s="61" t="s">
        <v>2667</v>
      </c>
      <c r="C198" s="94" t="s">
        <v>448</v>
      </c>
      <c r="D198" s="61" t="s">
        <v>792</v>
      </c>
      <c r="E198" s="11" t="str">
        <f>HYPERLINK("https://youtu.be/-r2wQiOE4Ek?t=8653","channel 4")</f>
        <v>channel 4</v>
      </c>
    </row>
    <row r="199">
      <c r="B199" s="96" t="s">
        <v>2670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6" t="s">
        <v>5</v>
      </c>
    </row>
    <row r="201">
      <c r="B201" s="61" t="s">
        <v>3147</v>
      </c>
      <c r="C201" s="94" t="s">
        <v>248</v>
      </c>
      <c r="D201" s="61" t="s">
        <v>2221</v>
      </c>
      <c r="E201" s="11" t="str">
        <f>HYPERLINK("https://youtu.be/u9xf_f4qa3c","channel 3")</f>
        <v>channel 3</v>
      </c>
    </row>
    <row r="202">
      <c r="B202" s="61" t="s">
        <v>1367</v>
      </c>
      <c r="C202" s="94" t="s">
        <v>158</v>
      </c>
      <c r="D202" s="61" t="s">
        <v>2941</v>
      </c>
      <c r="E202" s="11" t="str">
        <f>HYPERLINK("https://youtu.be/ITKk0fee5eA","channel 4")</f>
        <v>channel 4</v>
      </c>
    </row>
    <row r="203">
      <c r="B203" s="61" t="s">
        <v>3549</v>
      </c>
      <c r="C203" s="94" t="s">
        <v>487</v>
      </c>
      <c r="D203" s="61" t="s">
        <v>3147</v>
      </c>
      <c r="E203" s="11" t="str">
        <f>HYPERLINK("https://youtu.be/u9xf_f4qa3c?t=911","channel 3")</f>
        <v>channel 3</v>
      </c>
    </row>
    <row r="204">
      <c r="B204" s="61" t="s">
        <v>1367</v>
      </c>
      <c r="C204" s="94" t="s">
        <v>193</v>
      </c>
      <c r="D204" s="61" t="s">
        <v>2221</v>
      </c>
      <c r="E204" s="11" t="str">
        <f>HYPERLINK("https://youtu.be/ITKk0fee5eA?t=955","channel 4")</f>
        <v>channel 4</v>
      </c>
    </row>
    <row r="205">
      <c r="B205" s="61" t="s">
        <v>3549</v>
      </c>
      <c r="C205" s="94" t="s">
        <v>251</v>
      </c>
      <c r="D205" s="61" t="s">
        <v>2941</v>
      </c>
      <c r="E205" s="11" t="str">
        <f>HYPERLINK("https://youtu.be/u9xf_f4qa3c?t=1847","channel 3")</f>
        <v>channel 3</v>
      </c>
    </row>
    <row r="206">
      <c r="B206" s="114" t="s">
        <v>1367</v>
      </c>
      <c r="C206" s="94" t="s">
        <v>43</v>
      </c>
      <c r="D206" s="114" t="s">
        <v>3147</v>
      </c>
      <c r="E206" s="11" t="str">
        <f>HYPERLINK("https://youtu.be/ITKk0fee5eA?t=1885","channel 4")</f>
        <v>channel 4</v>
      </c>
    </row>
    <row r="207">
      <c r="B207" s="61" t="s">
        <v>3549</v>
      </c>
      <c r="C207" s="94" t="s">
        <v>155</v>
      </c>
      <c r="D207" s="61" t="s">
        <v>2221</v>
      </c>
      <c r="E207" s="11" t="str">
        <f>HYPERLINK("https://youtu.be/u9xf_f4qa3c?t=2829","channel 3")</f>
        <v>channel 3</v>
      </c>
    </row>
    <row r="208">
      <c r="B208" s="114" t="s">
        <v>2941</v>
      </c>
      <c r="C208" s="94" t="s">
        <v>545</v>
      </c>
      <c r="D208" s="114" t="s">
        <v>3147</v>
      </c>
      <c r="E208" s="11" t="str">
        <f>HYPERLINK("https://youtu.be/ITKk0fee5eA?t=2778","channel 4")</f>
        <v>channel 4</v>
      </c>
    </row>
    <row r="209">
      <c r="B209" s="61" t="s">
        <v>3549</v>
      </c>
      <c r="C209" s="94" t="s">
        <v>219</v>
      </c>
      <c r="D209" s="61" t="s">
        <v>1367</v>
      </c>
      <c r="E209" s="11" t="str">
        <f>HYPERLINK("https://youtu.be/u9xf_f4qa3c?t=3720","channel 3")</f>
        <v>channel 3</v>
      </c>
    </row>
    <row r="210">
      <c r="B210" s="61" t="s">
        <v>2941</v>
      </c>
      <c r="C210" s="94" t="s">
        <v>1107</v>
      </c>
      <c r="D210" s="61" t="s">
        <v>2221</v>
      </c>
      <c r="E210" s="11" t="str">
        <f>HYPERLINK("https://youtu.be/ITKk0fee5eA?t=3697","channel 4")</f>
        <v>channel 4</v>
      </c>
    </row>
    <row r="211">
      <c r="B211" s="61" t="s">
        <v>2221</v>
      </c>
      <c r="C211" s="94" t="s">
        <v>640</v>
      </c>
      <c r="D211" s="61" t="s">
        <v>3147</v>
      </c>
      <c r="E211" s="11" t="str">
        <f>HYPERLINK("https://youtu.be/u9xf_f4qa3c?t=4817","channel 3")</f>
        <v>channel 3</v>
      </c>
    </row>
    <row r="212">
      <c r="B212" s="114" t="s">
        <v>2941</v>
      </c>
      <c r="C212" s="94" t="s">
        <v>268</v>
      </c>
      <c r="D212" s="114" t="s">
        <v>1367</v>
      </c>
      <c r="E212" s="11" t="str">
        <f>HYPERLINK("https://youtu.be/ITKk0fee5eA?t=4855","channel 4")</f>
        <v>channel 4</v>
      </c>
    </row>
    <row r="213">
      <c r="B213" s="61" t="s">
        <v>3147</v>
      </c>
      <c r="C213" s="94" t="s">
        <v>534</v>
      </c>
      <c r="D213" s="61" t="s">
        <v>3549</v>
      </c>
      <c r="E213" s="11" t="str">
        <f>HYPERLINK("https://youtu.be/u9xf_f4qa3c?t=5699","channel 3")</f>
        <v>channel 3</v>
      </c>
    </row>
    <row r="214">
      <c r="B214" s="61" t="s">
        <v>2221</v>
      </c>
      <c r="C214" s="94" t="s">
        <v>298</v>
      </c>
      <c r="D214" s="61" t="s">
        <v>1367</v>
      </c>
      <c r="E214" s="11" t="str">
        <f>HYPERLINK("https://youtu.be/ITKk0fee5eA?t=5803","channel 4")</f>
        <v>channel 4</v>
      </c>
    </row>
    <row r="215">
      <c r="B215" s="61" t="s">
        <v>2941</v>
      </c>
      <c r="C215" s="94" t="s">
        <v>37</v>
      </c>
      <c r="D215" s="61" t="s">
        <v>3549</v>
      </c>
      <c r="E215" s="11" t="str">
        <f>HYPERLINK("https://youtu.be/u9xf_f4qa3c?t=6611","channel 3")</f>
        <v>channel 3</v>
      </c>
    </row>
    <row r="216">
      <c r="B216" s="61" t="s">
        <v>3147</v>
      </c>
      <c r="C216" s="94" t="s">
        <v>442</v>
      </c>
      <c r="D216" s="61" t="s">
        <v>1367</v>
      </c>
      <c r="E216" s="11" t="str">
        <f>HYPERLINK("https://youtu.be/ITKk0fee5eA?t=6761","channel 4")</f>
        <v>channel 4</v>
      </c>
    </row>
    <row r="217">
      <c r="B217" s="61" t="s">
        <v>2221</v>
      </c>
      <c r="C217" s="94" t="s">
        <v>162</v>
      </c>
      <c r="D217" s="61" t="s">
        <v>3549</v>
      </c>
      <c r="E217" s="11" t="str">
        <f>HYPERLINK("https://youtu.be/u9xf_f4qa3c?t=7569","channel 3")</f>
        <v>channel 3</v>
      </c>
    </row>
    <row r="218">
      <c r="B218" s="61" t="s">
        <v>3147</v>
      </c>
      <c r="C218" s="94" t="s">
        <v>193</v>
      </c>
      <c r="D218" s="61" t="s">
        <v>2941</v>
      </c>
      <c r="E218" s="11" t="str">
        <f>HYPERLINK("https://youtu.be/ITKk0fee5eA?t=7674","channel 4")</f>
        <v>channel 4</v>
      </c>
    </row>
    <row r="219">
      <c r="B219" s="61" t="s">
        <v>1367</v>
      </c>
      <c r="C219" s="94" t="s">
        <v>24</v>
      </c>
      <c r="D219" s="61" t="s">
        <v>3549</v>
      </c>
      <c r="E219" s="11" t="str">
        <f>HYPERLINK("https://youtu.be/u9xf_f4qa3c?t=8538","channel 3")</f>
        <v>channel 3</v>
      </c>
    </row>
    <row r="220">
      <c r="B220" s="61" t="s">
        <v>2221</v>
      </c>
      <c r="C220" s="94" t="s">
        <v>177</v>
      </c>
      <c r="D220" s="61" t="s">
        <v>2941</v>
      </c>
      <c r="E220" s="11" t="str">
        <f>HYPERLINK("https://youtu.be/ITKk0fee5eA?t=8605","channel 4")</f>
        <v>channel 4</v>
      </c>
    </row>
    <row r="221">
      <c r="B221" s="96" t="s">
        <v>2674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1164</v>
      </c>
      <c r="C223" s="94" t="s">
        <v>465</v>
      </c>
      <c r="D223" s="62" t="s">
        <v>3550</v>
      </c>
      <c r="E223" s="11" t="str">
        <f>HYPERLINK("https://youtu.be/TpkYF8mmTCY","channel 1")</f>
        <v>channel 1</v>
      </c>
    </row>
    <row r="224">
      <c r="B224" s="62" t="s">
        <v>3551</v>
      </c>
      <c r="C224" s="94" t="s">
        <v>41</v>
      </c>
      <c r="D224" s="62" t="s">
        <v>3552</v>
      </c>
      <c r="E224" s="11" t="str">
        <f>HYPERLINK("https://youtu.be/sWbJR17knwI","channel 2")</f>
        <v>channel 2</v>
      </c>
    </row>
    <row r="225">
      <c r="B225" s="62" t="s">
        <v>3553</v>
      </c>
      <c r="C225" s="94" t="s">
        <v>357</v>
      </c>
      <c r="D225" s="62" t="s">
        <v>1164</v>
      </c>
      <c r="E225" s="11" t="str">
        <f>HYPERLINK("https://youtu.be/TpkYF8mmTCY?t=792","channel 1")</f>
        <v>channel 1</v>
      </c>
    </row>
    <row r="226">
      <c r="B226" s="62" t="s">
        <v>3551</v>
      </c>
      <c r="C226" s="94" t="s">
        <v>20</v>
      </c>
      <c r="D226" s="62" t="s">
        <v>3550</v>
      </c>
      <c r="E226" s="11" t="str">
        <f>HYPERLINK("https://youtu.be/sWbJR17knwI?t=998","channel 2")</f>
        <v>channel 2</v>
      </c>
    </row>
    <row r="227">
      <c r="B227" s="62" t="s">
        <v>3553</v>
      </c>
      <c r="C227" s="94" t="s">
        <v>195</v>
      </c>
      <c r="D227" s="62" t="s">
        <v>3552</v>
      </c>
      <c r="E227" s="11" t="str">
        <f>HYPERLINK("https://youtu.be/TpkYF8mmTCY?t=1728","channel 1")</f>
        <v>channel 1</v>
      </c>
    </row>
    <row r="228">
      <c r="B228" s="62" t="s">
        <v>3551</v>
      </c>
      <c r="C228" s="94" t="s">
        <v>160</v>
      </c>
      <c r="D228" s="62" t="s">
        <v>1164</v>
      </c>
      <c r="E228" s="11" t="str">
        <f>HYPERLINK("https://youtu.be/sWbJR17knwI?t=1949","channel 2")</f>
        <v>channel 2</v>
      </c>
    </row>
    <row r="229">
      <c r="B229" s="62" t="s">
        <v>3553</v>
      </c>
      <c r="C229" s="94" t="s">
        <v>20</v>
      </c>
      <c r="D229" s="62" t="s">
        <v>3550</v>
      </c>
      <c r="E229" s="11" t="str">
        <f>HYPERLINK("https://youtu.be/TpkYF8mmTCY?t=2684","channel 1")</f>
        <v>channel 1</v>
      </c>
    </row>
    <row r="230">
      <c r="B230" s="62" t="s">
        <v>3552</v>
      </c>
      <c r="C230" s="94" t="s">
        <v>22</v>
      </c>
      <c r="D230" s="62" t="s">
        <v>1164</v>
      </c>
      <c r="E230" s="11" t="str">
        <f>HYPERLINK("https://youtu.be/sWbJR17knwI?t=2887","channel 2")</f>
        <v>channel 2</v>
      </c>
    </row>
    <row r="231">
      <c r="B231" s="62" t="s">
        <v>3553</v>
      </c>
      <c r="C231" s="94" t="s">
        <v>16</v>
      </c>
      <c r="D231" s="62" t="s">
        <v>3551</v>
      </c>
      <c r="E231" s="11" t="str">
        <f>HYPERLINK("https://youtu.be/TpkYF8mmTCY?t=3621","channel 1")</f>
        <v>channel 1</v>
      </c>
    </row>
    <row r="232">
      <c r="B232" s="62" t="s">
        <v>3552</v>
      </c>
      <c r="C232" s="94" t="s">
        <v>177</v>
      </c>
      <c r="D232" s="62" t="s">
        <v>3550</v>
      </c>
      <c r="E232" s="11" t="str">
        <f>HYPERLINK("https://youtu.be/sWbJR17knwI?t=3826","channel 2")</f>
        <v>channel 2</v>
      </c>
    </row>
    <row r="233">
      <c r="B233" s="62" t="s">
        <v>3550</v>
      </c>
      <c r="C233" s="94" t="s">
        <v>19</v>
      </c>
      <c r="D233" s="62" t="s">
        <v>1164</v>
      </c>
      <c r="E233" s="11" t="str">
        <f>HYPERLINK("https://youtu.be/TpkYF8mmTCY?t=4527","channel 1")</f>
        <v>channel 1</v>
      </c>
    </row>
    <row r="234">
      <c r="B234" s="62" t="s">
        <v>3552</v>
      </c>
      <c r="C234" s="94" t="s">
        <v>19</v>
      </c>
      <c r="D234" s="62" t="s">
        <v>3551</v>
      </c>
      <c r="E234" s="11" t="str">
        <f>HYPERLINK("https://youtu.be/sWbJR17knwI?t=4720","channel 2")</f>
        <v>channel 2</v>
      </c>
    </row>
    <row r="235">
      <c r="B235" s="62" t="s">
        <v>1164</v>
      </c>
      <c r="C235" s="94" t="s">
        <v>222</v>
      </c>
      <c r="D235" s="62" t="s">
        <v>3553</v>
      </c>
      <c r="E235" s="11" t="str">
        <f>HYPERLINK("https://youtu.be/TpkYF8mmTCY?t=5449","channel 1")</f>
        <v>channel 1</v>
      </c>
    </row>
    <row r="236">
      <c r="B236" s="62" t="s">
        <v>3550</v>
      </c>
      <c r="C236" s="94" t="s">
        <v>534</v>
      </c>
      <c r="D236" s="62" t="s">
        <v>3551</v>
      </c>
      <c r="E236" s="11" t="str">
        <f>HYPERLINK("https://youtu.be/sWbJR17knwI?t=5663","channel 2")</f>
        <v>channel 2</v>
      </c>
    </row>
    <row r="237">
      <c r="B237" s="62" t="s">
        <v>3552</v>
      </c>
      <c r="C237" s="94" t="s">
        <v>168</v>
      </c>
      <c r="D237" s="62" t="s">
        <v>3553</v>
      </c>
      <c r="E237" s="11" t="str">
        <f>HYPERLINK("https://youtu.be/TpkYF8mmTCY?t=6377","channel 1")</f>
        <v>channel 1</v>
      </c>
    </row>
    <row r="238">
      <c r="B238" s="62" t="s">
        <v>1164</v>
      </c>
      <c r="C238" s="94" t="s">
        <v>1107</v>
      </c>
      <c r="D238" s="62" t="s">
        <v>3551</v>
      </c>
      <c r="E238" s="11" t="str">
        <f>HYPERLINK("https://youtu.be/sWbJR17knwI?t=6619","channel 2")</f>
        <v>channel 2</v>
      </c>
    </row>
    <row r="239">
      <c r="B239" s="62" t="s">
        <v>3550</v>
      </c>
      <c r="C239" s="94" t="s">
        <v>163</v>
      </c>
      <c r="D239" s="62" t="s">
        <v>3553</v>
      </c>
      <c r="E239" s="11" t="str">
        <f>HYPERLINK("https://youtu.be/TpkYF8mmTCY?t=7327","channel 1")</f>
        <v>channel 1</v>
      </c>
    </row>
    <row r="240">
      <c r="B240" s="62" t="s">
        <v>1164</v>
      </c>
      <c r="C240" s="94" t="s">
        <v>289</v>
      </c>
      <c r="D240" s="62" t="s">
        <v>3552</v>
      </c>
      <c r="E240" s="11" t="str">
        <f>HYPERLINK("https://youtu.be/sWbJR17knwI?t=7564","channel 2")</f>
        <v>channel 2</v>
      </c>
    </row>
    <row r="241">
      <c r="B241" s="62" t="s">
        <v>3551</v>
      </c>
      <c r="C241" s="94" t="s">
        <v>41</v>
      </c>
      <c r="D241" s="62" t="s">
        <v>3553</v>
      </c>
      <c r="E241" s="11" t="str">
        <f>HYPERLINK("https://youtu.be/TpkYF8mmTCY?t=8324","channel 1")</f>
        <v>channel 1</v>
      </c>
    </row>
    <row r="242">
      <c r="B242" s="62" t="s">
        <v>3550</v>
      </c>
      <c r="C242" s="94" t="s">
        <v>166</v>
      </c>
      <c r="D242" s="62" t="s">
        <v>3552</v>
      </c>
      <c r="E242" s="11" t="str">
        <f>HYPERLINK("https://youtu.be/sWbJR17knwI?t=8567","channel 2")</f>
        <v>channel 2</v>
      </c>
    </row>
    <row r="243">
      <c r="B243" s="96" t="s">
        <v>1581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2968</v>
      </c>
      <c r="C245" s="94" t="s">
        <v>7</v>
      </c>
      <c r="D245" s="62" t="s">
        <v>3279</v>
      </c>
      <c r="E245" s="11" t="str">
        <f>HYPERLINK("https://youtu.be/p0xhzmDBDG4","channel 1")</f>
        <v>channel 1</v>
      </c>
    </row>
    <row r="246">
      <c r="B246" s="62" t="s">
        <v>1131</v>
      </c>
      <c r="C246" s="94" t="s">
        <v>173</v>
      </c>
      <c r="D246" s="62" t="s">
        <v>2430</v>
      </c>
      <c r="E246" s="11" t="str">
        <f>HYPERLINK("https://youtu.be/rtTxtoCYKpk","channel 2")</f>
        <v>channel 2</v>
      </c>
    </row>
    <row r="247">
      <c r="B247" s="62" t="s">
        <v>3318</v>
      </c>
      <c r="C247" s="94" t="s">
        <v>24</v>
      </c>
      <c r="D247" s="62" t="s">
        <v>2968</v>
      </c>
      <c r="E247" s="11" t="str">
        <f>HYPERLINK("https://youtu.be/p0xhzmDBDG4?t=1122","channel 1")</f>
        <v>channel 1</v>
      </c>
    </row>
    <row r="248">
      <c r="B248" s="62" t="s">
        <v>1131</v>
      </c>
      <c r="C248" s="94" t="s">
        <v>245</v>
      </c>
      <c r="D248" s="62" t="s">
        <v>3279</v>
      </c>
      <c r="E248" s="11" t="str">
        <f>HYPERLINK("https://youtu.be/rtTxtoCYKpk?t=1091","channel 2")</f>
        <v>channel 2</v>
      </c>
    </row>
    <row r="249">
      <c r="B249" s="62" t="s">
        <v>3318</v>
      </c>
      <c r="C249" s="94" t="s">
        <v>18</v>
      </c>
      <c r="D249" s="62" t="s">
        <v>2430</v>
      </c>
      <c r="E249" s="11" t="str">
        <f>HYPERLINK("https://youtu.be/p0xhzmDBDG4?t=2041","channel 1")</f>
        <v>channel 1</v>
      </c>
    </row>
    <row r="250">
      <c r="B250" s="62" t="s">
        <v>1131</v>
      </c>
      <c r="C250" s="94" t="s">
        <v>743</v>
      </c>
      <c r="D250" s="62" t="s">
        <v>2968</v>
      </c>
      <c r="E250" s="11" t="str">
        <f>HYPERLINK("https://youtu.be/rtTxtoCYKpk?t=2021","channel 2")</f>
        <v>channel 2</v>
      </c>
    </row>
    <row r="251">
      <c r="B251" s="62" t="s">
        <v>3318</v>
      </c>
      <c r="C251" s="94" t="s">
        <v>36</v>
      </c>
      <c r="D251" s="62" t="s">
        <v>3279</v>
      </c>
      <c r="E251" s="11" t="str">
        <f>HYPERLINK("https://youtu.be/p0xhzmDBDG4?t=3029","channel 1")</f>
        <v>channel 1</v>
      </c>
    </row>
    <row r="252">
      <c r="B252" s="62" t="s">
        <v>2430</v>
      </c>
      <c r="C252" s="94" t="s">
        <v>251</v>
      </c>
      <c r="D252" s="62" t="s">
        <v>2968</v>
      </c>
      <c r="E252" s="11" t="str">
        <f>HYPERLINK("https://youtu.be/rtTxtoCYKpk?t=3019","channel 2")</f>
        <v>channel 2</v>
      </c>
    </row>
    <row r="253">
      <c r="B253" s="62" t="s">
        <v>3318</v>
      </c>
      <c r="C253" s="94" t="s">
        <v>18</v>
      </c>
      <c r="D253" s="62" t="s">
        <v>1131</v>
      </c>
      <c r="E253" s="11" t="str">
        <f>HYPERLINK("https://youtu.be/p0xhzmDBDG4?t=3968","channel 1")</f>
        <v>channel 1</v>
      </c>
    </row>
    <row r="254">
      <c r="B254" s="62" t="s">
        <v>2430</v>
      </c>
      <c r="C254" s="94" t="s">
        <v>17</v>
      </c>
      <c r="D254" s="62" t="s">
        <v>3279</v>
      </c>
      <c r="E254" s="11" t="str">
        <f>HYPERLINK("https://youtu.be/rtTxtoCYKpk?t=3926","channel 2")</f>
        <v>channel 2</v>
      </c>
    </row>
    <row r="255">
      <c r="B255" s="62" t="s">
        <v>3279</v>
      </c>
      <c r="C255" s="94" t="s">
        <v>380</v>
      </c>
      <c r="D255" s="62" t="s">
        <v>2968</v>
      </c>
      <c r="E255" s="11" t="str">
        <f>HYPERLINK("https://youtu.be/p0xhzmDBDG4?t=4886","channel 1")</f>
        <v>channel 1</v>
      </c>
    </row>
    <row r="256">
      <c r="B256" s="62" t="s">
        <v>2430</v>
      </c>
      <c r="C256" s="94" t="s">
        <v>162</v>
      </c>
      <c r="D256" s="62" t="s">
        <v>1131</v>
      </c>
      <c r="E256" s="11" t="str">
        <f>HYPERLINK("https://youtu.be/rtTxtoCYKpk?t=4876","channel 2")</f>
        <v>channel 2</v>
      </c>
    </row>
    <row r="257">
      <c r="B257" s="62" t="s">
        <v>2968</v>
      </c>
      <c r="C257" s="94" t="s">
        <v>301</v>
      </c>
      <c r="D257" s="62" t="s">
        <v>3318</v>
      </c>
      <c r="E257" s="11" t="str">
        <f>HYPERLINK("https://youtu.be/p0xhzmDBDG4?t=5807","channel 1")</f>
        <v>channel 1</v>
      </c>
    </row>
    <row r="258">
      <c r="B258" s="62" t="s">
        <v>3279</v>
      </c>
      <c r="C258" s="94" t="s">
        <v>41</v>
      </c>
      <c r="D258" s="62" t="s">
        <v>1131</v>
      </c>
      <c r="E258" s="11" t="str">
        <f>HYPERLINK("https://youtu.be/rtTxtoCYKpk?t=5799","channel 2")</f>
        <v>channel 2</v>
      </c>
    </row>
    <row r="259">
      <c r="B259" s="62" t="s">
        <v>2430</v>
      </c>
      <c r="C259" s="94" t="s">
        <v>210</v>
      </c>
      <c r="D259" s="62" t="s">
        <v>3318</v>
      </c>
      <c r="E259" s="11" t="str">
        <f>HYPERLINK("https://youtu.be/p0xhzmDBDG4?t=6726","channel 1")</f>
        <v>channel 1</v>
      </c>
    </row>
    <row r="260">
      <c r="B260" s="62" t="s">
        <v>2968</v>
      </c>
      <c r="C260" s="94" t="s">
        <v>250</v>
      </c>
      <c r="D260" s="62" t="s">
        <v>1131</v>
      </c>
      <c r="E260" s="11" t="str">
        <f>HYPERLINK("https://youtu.be/rtTxtoCYKpk?t=6804","channel 2")</f>
        <v>channel 2</v>
      </c>
    </row>
    <row r="261">
      <c r="B261" s="62" t="s">
        <v>3279</v>
      </c>
      <c r="C261" s="94" t="s">
        <v>227</v>
      </c>
      <c r="D261" s="62" t="s">
        <v>3318</v>
      </c>
      <c r="E261" s="11" t="str">
        <f>HYPERLINK("https://youtu.be/p0xhzmDBDG4?t=7672","channel 1")</f>
        <v>channel 1</v>
      </c>
    </row>
    <row r="262">
      <c r="B262" s="62" t="s">
        <v>2968</v>
      </c>
      <c r="C262" s="94" t="s">
        <v>271</v>
      </c>
      <c r="D262" s="62" t="s">
        <v>2430</v>
      </c>
      <c r="E262" s="11" t="str">
        <f>HYPERLINK("https://youtu.be/rtTxtoCYKpk?t=7758","channel 2")</f>
        <v>channel 2</v>
      </c>
    </row>
    <row r="263">
      <c r="B263" s="62" t="s">
        <v>1131</v>
      </c>
      <c r="C263" s="94" t="s">
        <v>24</v>
      </c>
      <c r="D263" s="62" t="s">
        <v>3318</v>
      </c>
      <c r="E263" s="11" t="str">
        <f>HYPERLINK("https://youtu.be/p0xhzmDBDG4?t=8669","channel 1")</f>
        <v>channel 1</v>
      </c>
    </row>
    <row r="264">
      <c r="B264" s="62" t="s">
        <v>3279</v>
      </c>
      <c r="C264" s="94" t="s">
        <v>19</v>
      </c>
      <c r="D264" s="62" t="s">
        <v>2430</v>
      </c>
      <c r="E264" s="11" t="str">
        <f>HYPERLINK("https://youtu.be/rtTxtoCYKpk?t=8641","channel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89"/>
      <c r="B1" s="1" t="s">
        <v>2626</v>
      </c>
      <c r="C1" s="2"/>
      <c r="D1" s="3"/>
      <c r="E1" s="107"/>
    </row>
    <row r="2">
      <c r="A2" s="90"/>
      <c r="B2" s="108" t="s">
        <v>2</v>
      </c>
      <c r="C2" s="109" t="s">
        <v>3</v>
      </c>
      <c r="D2" s="109" t="s">
        <v>4</v>
      </c>
      <c r="E2" s="109" t="s">
        <v>5</v>
      </c>
    </row>
    <row r="3">
      <c r="A3" s="90"/>
      <c r="B3" s="110" t="s">
        <v>2689</v>
      </c>
      <c r="C3" s="135" t="s">
        <v>173</v>
      </c>
      <c r="D3" s="112" t="s">
        <v>3389</v>
      </c>
      <c r="E3" s="120" t="str">
        <f>HYPERLINK("https://youtu.be/gt9uzaJFYkM?t=1660","channel 1")</f>
        <v>channel 1</v>
      </c>
    </row>
    <row r="4">
      <c r="A4" s="90"/>
      <c r="B4" s="110" t="s">
        <v>3554</v>
      </c>
      <c r="C4" s="135" t="s">
        <v>43</v>
      </c>
      <c r="D4" s="112" t="s">
        <v>3123</v>
      </c>
      <c r="E4" s="120" t="str">
        <f>HYPERLINK("https://youtu.be/fqm1EL3MNEk?t=1541","channel 2")</f>
        <v>channel 2</v>
      </c>
    </row>
    <row r="5">
      <c r="A5" s="90"/>
      <c r="B5" s="110" t="s">
        <v>3403</v>
      </c>
      <c r="C5" s="135" t="s">
        <v>464</v>
      </c>
      <c r="D5" s="112" t="s">
        <v>2689</v>
      </c>
      <c r="E5" s="120" t="str">
        <f>HYPERLINK("https://youtu.be/gt9uzaJFYkM?t=2678","channel 1")</f>
        <v>channel 1</v>
      </c>
    </row>
    <row r="6">
      <c r="A6" s="90"/>
      <c r="B6" s="110" t="s">
        <v>3554</v>
      </c>
      <c r="C6" s="135" t="s">
        <v>41</v>
      </c>
      <c r="D6" s="112" t="s">
        <v>3389</v>
      </c>
      <c r="E6" s="120" t="str">
        <f>HYPERLINK("https://youtu.be/fqm1EL3MNEk?t=2478","channel 2")</f>
        <v>channel 2</v>
      </c>
    </row>
    <row r="7">
      <c r="A7" s="90"/>
      <c r="B7" s="110" t="s">
        <v>3403</v>
      </c>
      <c r="C7" s="135" t="s">
        <v>1948</v>
      </c>
      <c r="D7" s="112" t="s">
        <v>3123</v>
      </c>
      <c r="E7" s="120" t="str">
        <f>HYPERLINK("https://youtu.be/gt9uzaJFYkM?t=3592","channel 1")</f>
        <v>channel 1</v>
      </c>
    </row>
    <row r="8">
      <c r="A8" s="90"/>
      <c r="B8" s="110" t="s">
        <v>3554</v>
      </c>
      <c r="C8" s="135" t="s">
        <v>536</v>
      </c>
      <c r="D8" s="112" t="s">
        <v>2689</v>
      </c>
      <c r="E8" s="120" t="str">
        <f>HYPERLINK("https://youtu.be/fqm1EL3MNEk?t=3409","channel 2")</f>
        <v>channel 2</v>
      </c>
    </row>
    <row r="9">
      <c r="A9" s="90"/>
      <c r="B9" s="110" t="s">
        <v>3403</v>
      </c>
      <c r="C9" s="135" t="s">
        <v>258</v>
      </c>
      <c r="D9" s="112" t="s">
        <v>3389</v>
      </c>
      <c r="E9" s="120" t="str">
        <f>HYPERLINK("https://youtu.be/gt9uzaJFYkM?t=4515","channel 1")</f>
        <v>channel 1</v>
      </c>
    </row>
    <row r="10">
      <c r="A10" s="90"/>
      <c r="B10" s="110" t="s">
        <v>3123</v>
      </c>
      <c r="C10" s="135" t="s">
        <v>38</v>
      </c>
      <c r="D10" s="112" t="s">
        <v>2689</v>
      </c>
      <c r="E10" s="120" t="str">
        <f>HYPERLINK("https://youtu.be/fqm1EL3MNEk?t=4309","channel 2")</f>
        <v>channel 2</v>
      </c>
    </row>
    <row r="11">
      <c r="A11" s="90"/>
      <c r="B11" s="110" t="s">
        <v>3403</v>
      </c>
      <c r="C11" s="135" t="s">
        <v>183</v>
      </c>
      <c r="D11" s="112" t="s">
        <v>3554</v>
      </c>
      <c r="E11" s="120" t="str">
        <f>HYPERLINK("https://youtu.be/gt9uzaJFYkM?t=5468","channel 1")</f>
        <v>channel 1</v>
      </c>
    </row>
    <row r="12">
      <c r="A12" s="90"/>
      <c r="B12" s="110" t="s">
        <v>3123</v>
      </c>
      <c r="C12" s="135" t="s">
        <v>220</v>
      </c>
      <c r="D12" s="112" t="s">
        <v>3389</v>
      </c>
      <c r="E12" s="120" t="str">
        <f>HYPERLINK("https://youtu.be/fqm1EL3MNEk?t=5288","channel 2")</f>
        <v>channel 2</v>
      </c>
    </row>
    <row r="13">
      <c r="A13" s="90"/>
      <c r="B13" s="110" t="s">
        <v>3389</v>
      </c>
      <c r="C13" s="135" t="s">
        <v>41</v>
      </c>
      <c r="D13" s="112" t="s">
        <v>2689</v>
      </c>
      <c r="E13" s="120" t="str">
        <f>HYPERLINK("https://youtu.be/gt9uzaJFYkM?t=6409","channel 1")</f>
        <v>channel 1</v>
      </c>
    </row>
    <row r="14">
      <c r="A14" s="90"/>
      <c r="B14" s="110" t="s">
        <v>3123</v>
      </c>
      <c r="C14" s="135" t="s">
        <v>344</v>
      </c>
      <c r="D14" s="112" t="s">
        <v>3554</v>
      </c>
      <c r="E14" s="120" t="str">
        <f>HYPERLINK("https://youtu.be/fqm1EL3MNEk?t=6189","channel 2")</f>
        <v>channel 2</v>
      </c>
    </row>
    <row r="15">
      <c r="A15" s="90"/>
      <c r="B15" s="110" t="s">
        <v>2689</v>
      </c>
      <c r="C15" s="135" t="s">
        <v>248</v>
      </c>
      <c r="D15" s="112" t="s">
        <v>3403</v>
      </c>
      <c r="E15" s="120" t="str">
        <f>HYPERLINK("https://youtu.be/gt9uzaJFYkM?t=7314","channel 1")</f>
        <v>channel 1</v>
      </c>
    </row>
    <row r="16">
      <c r="A16" s="90"/>
      <c r="B16" s="110" t="s">
        <v>3389</v>
      </c>
      <c r="C16" s="135" t="s">
        <v>1334</v>
      </c>
      <c r="D16" s="112" t="s">
        <v>3554</v>
      </c>
      <c r="E16" s="120" t="str">
        <f>HYPERLINK("https://youtu.be/fqm1EL3MNEk?t=7120","channel 2")</f>
        <v>channel 2</v>
      </c>
    </row>
    <row r="17">
      <c r="A17" s="90"/>
      <c r="B17" s="110" t="s">
        <v>3123</v>
      </c>
      <c r="C17" s="135" t="s">
        <v>342</v>
      </c>
      <c r="D17" s="112" t="s">
        <v>3403</v>
      </c>
      <c r="E17" s="120" t="str">
        <f>HYPERLINK("https://youtu.be/gt9uzaJFYkM?t=8232","channel 1")</f>
        <v>channel 1</v>
      </c>
    </row>
    <row r="18">
      <c r="A18" s="90"/>
      <c r="B18" s="110" t="s">
        <v>2689</v>
      </c>
      <c r="C18" s="135" t="s">
        <v>319</v>
      </c>
      <c r="D18" s="112" t="s">
        <v>3554</v>
      </c>
      <c r="E18" s="120" t="str">
        <f>HYPERLINK("https://youtu.be/fqm1EL3MNEk?t=8057","channel 2")</f>
        <v>channel 2</v>
      </c>
    </row>
    <row r="19">
      <c r="A19" s="90"/>
      <c r="B19" s="110" t="s">
        <v>3389</v>
      </c>
      <c r="C19" s="135" t="s">
        <v>573</v>
      </c>
      <c r="D19" s="112" t="s">
        <v>3403</v>
      </c>
      <c r="E19" s="120" t="str">
        <f>HYPERLINK("https://youtu.be/gt9uzaJFYkM?t=9155","channel 1")</f>
        <v>channel 1</v>
      </c>
    </row>
    <row r="20">
      <c r="A20" s="90"/>
      <c r="B20" s="110" t="s">
        <v>2689</v>
      </c>
      <c r="C20" s="135" t="s">
        <v>366</v>
      </c>
      <c r="D20" s="112" t="s">
        <v>3123</v>
      </c>
      <c r="E20" s="120" t="str">
        <f>HYPERLINK("https://youtu.be/fqm1EL3MNEk?t=9061","channel 2")</f>
        <v>channel 2</v>
      </c>
    </row>
    <row r="21">
      <c r="A21" s="90"/>
      <c r="B21" s="110" t="s">
        <v>3554</v>
      </c>
      <c r="C21" s="135" t="s">
        <v>195</v>
      </c>
      <c r="D21" s="112" t="s">
        <v>3403</v>
      </c>
      <c r="E21" s="120" t="str">
        <f>HYPERLINK("https://youtu.be/gt9uzaJFYkM?t=10058","channel 1")</f>
        <v>channel 1</v>
      </c>
    </row>
    <row r="22">
      <c r="A22" s="90"/>
      <c r="B22" s="110" t="s">
        <v>3389</v>
      </c>
      <c r="C22" s="135" t="s">
        <v>366</v>
      </c>
      <c r="D22" s="112" t="s">
        <v>3123</v>
      </c>
      <c r="E22" s="120" t="str">
        <f>HYPERLINK("https://youtu.be/fqm1EL3MNEk?t=10055","channel 2")</f>
        <v>channel 2</v>
      </c>
    </row>
    <row r="23">
      <c r="A23" s="90"/>
      <c r="B23" s="52" t="s">
        <v>2685</v>
      </c>
      <c r="C23" s="2"/>
      <c r="D23" s="3"/>
      <c r="E23" s="53"/>
    </row>
    <row r="24">
      <c r="A24" s="90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90"/>
      <c r="B25" s="62" t="s">
        <v>949</v>
      </c>
      <c r="C25" s="57" t="s">
        <v>419</v>
      </c>
      <c r="D25" s="62" t="s">
        <v>93</v>
      </c>
      <c r="E25" s="11" t="str">
        <f>HYPERLINK("https://youtu.be/3CEIJxAcqk4?t=1693","channel 1")</f>
        <v>channel 1</v>
      </c>
    </row>
    <row r="26">
      <c r="A26" s="90"/>
      <c r="B26" s="62" t="s">
        <v>1873</v>
      </c>
      <c r="C26" s="57" t="s">
        <v>549</v>
      </c>
      <c r="D26" s="62" t="s">
        <v>1875</v>
      </c>
      <c r="E26" s="122" t="s">
        <v>13</v>
      </c>
    </row>
    <row r="27">
      <c r="A27" s="90"/>
      <c r="B27" s="62" t="s">
        <v>3147</v>
      </c>
      <c r="C27" s="57" t="s">
        <v>195</v>
      </c>
      <c r="D27" s="62" t="s">
        <v>949</v>
      </c>
      <c r="E27" s="11" t="str">
        <f>HYPERLINK("https://youtu.be/3CEIJxAcqk4?t=2619","channel 1")</f>
        <v>channel 1</v>
      </c>
    </row>
    <row r="28">
      <c r="A28" s="90"/>
      <c r="B28" s="62" t="s">
        <v>1873</v>
      </c>
      <c r="C28" s="57" t="s">
        <v>160</v>
      </c>
      <c r="D28" s="62" t="s">
        <v>93</v>
      </c>
      <c r="E28" s="122" t="s">
        <v>13</v>
      </c>
    </row>
    <row r="29">
      <c r="A29" s="90"/>
      <c r="B29" s="62" t="s">
        <v>3147</v>
      </c>
      <c r="C29" s="57" t="s">
        <v>352</v>
      </c>
      <c r="D29" s="62" t="s">
        <v>1875</v>
      </c>
      <c r="E29" s="11" t="str">
        <f>HYPERLINK("https://youtu.be/3CEIJxAcqk4?t=3666","channel 1")</f>
        <v>channel 1</v>
      </c>
    </row>
    <row r="30">
      <c r="A30" s="90"/>
      <c r="B30" s="62" t="s">
        <v>1873</v>
      </c>
      <c r="C30" s="57" t="s">
        <v>177</v>
      </c>
      <c r="D30" s="62" t="s">
        <v>949</v>
      </c>
      <c r="E30" s="122" t="s">
        <v>13</v>
      </c>
    </row>
    <row r="31">
      <c r="A31" s="90"/>
      <c r="B31" s="62" t="s">
        <v>3147</v>
      </c>
      <c r="C31" s="57" t="s">
        <v>7</v>
      </c>
      <c r="D31" s="62" t="s">
        <v>93</v>
      </c>
      <c r="E31" s="11" t="str">
        <f>HYPERLINK("https://youtu.be/3CEIJxAcqk4?t=4584","channel 1")</f>
        <v>channel 1</v>
      </c>
    </row>
    <row r="32">
      <c r="A32" s="90"/>
      <c r="B32" s="62" t="s">
        <v>1875</v>
      </c>
      <c r="C32" s="57" t="s">
        <v>220</v>
      </c>
      <c r="D32" s="62" t="s">
        <v>949</v>
      </c>
      <c r="E32" s="122" t="s">
        <v>13</v>
      </c>
    </row>
    <row r="33">
      <c r="A33" s="90"/>
      <c r="B33" s="62" t="s">
        <v>3147</v>
      </c>
      <c r="C33" s="57" t="s">
        <v>1402</v>
      </c>
      <c r="D33" s="62" t="s">
        <v>1873</v>
      </c>
      <c r="E33" s="11" t="str">
        <f>HYPERLINK("https://youtu.be/3CEIJxAcqk4?t=5514","channel 1")</f>
        <v>channel 1</v>
      </c>
    </row>
    <row r="34">
      <c r="A34" s="90"/>
      <c r="B34" s="62" t="s">
        <v>1875</v>
      </c>
      <c r="C34" s="57" t="s">
        <v>184</v>
      </c>
      <c r="D34" s="62" t="s">
        <v>93</v>
      </c>
      <c r="E34" s="122" t="s">
        <v>13</v>
      </c>
    </row>
    <row r="35">
      <c r="A35" s="90"/>
      <c r="B35" s="62" t="s">
        <v>93</v>
      </c>
      <c r="C35" s="57" t="s">
        <v>245</v>
      </c>
      <c r="D35" s="62" t="s">
        <v>949</v>
      </c>
      <c r="E35" s="11" t="str">
        <f>HYPERLINK("https://youtu.be/3CEIJxAcqk4?t=6444","channel 1")</f>
        <v>channel 1</v>
      </c>
    </row>
    <row r="36">
      <c r="A36" s="90"/>
      <c r="B36" s="62" t="s">
        <v>1875</v>
      </c>
      <c r="C36" s="57" t="s">
        <v>163</v>
      </c>
      <c r="D36" s="62" t="s">
        <v>1873</v>
      </c>
      <c r="E36" s="122" t="s">
        <v>13</v>
      </c>
    </row>
    <row r="37">
      <c r="A37" s="90"/>
      <c r="B37" s="62" t="s">
        <v>949</v>
      </c>
      <c r="C37" s="57" t="s">
        <v>251</v>
      </c>
      <c r="D37" s="62" t="s">
        <v>3147</v>
      </c>
      <c r="E37" s="11" t="str">
        <f>HYPERLINK("https://youtu.be/3CEIJxAcqk4?t=7330","channel 1")</f>
        <v>channel 1</v>
      </c>
    </row>
    <row r="38">
      <c r="A38" s="90"/>
      <c r="B38" s="62" t="s">
        <v>93</v>
      </c>
      <c r="C38" s="57" t="s">
        <v>576</v>
      </c>
      <c r="D38" s="62" t="s">
        <v>1873</v>
      </c>
      <c r="E38" s="122" t="s">
        <v>13</v>
      </c>
    </row>
    <row r="39">
      <c r="A39" s="90"/>
      <c r="B39" s="62" t="s">
        <v>1875</v>
      </c>
      <c r="C39" s="57" t="s">
        <v>425</v>
      </c>
      <c r="D39" s="62" t="s">
        <v>3147</v>
      </c>
      <c r="E39" s="11" t="str">
        <f>HYPERLINK("https://youtu.be/3CEIJxAcqk4?t=8273","channel 1")</f>
        <v>channel 1</v>
      </c>
    </row>
    <row r="40">
      <c r="A40" s="90"/>
      <c r="B40" s="62" t="s">
        <v>949</v>
      </c>
      <c r="C40" s="57" t="s">
        <v>545</v>
      </c>
      <c r="D40" s="62" t="s">
        <v>1873</v>
      </c>
      <c r="E40" s="122" t="s">
        <v>13</v>
      </c>
    </row>
    <row r="41">
      <c r="A41" s="90"/>
      <c r="B41" s="62" t="s">
        <v>93</v>
      </c>
      <c r="C41" s="57" t="s">
        <v>556</v>
      </c>
      <c r="D41" s="62" t="s">
        <v>3147</v>
      </c>
      <c r="E41" s="11" t="str">
        <f>HYPERLINK("https://youtu.be/3CEIJxAcqk4?t=9183","channel 1")</f>
        <v>channel 1</v>
      </c>
    </row>
    <row r="42">
      <c r="A42" s="90"/>
      <c r="B42" s="62" t="s">
        <v>949</v>
      </c>
      <c r="C42" s="57" t="s">
        <v>301</v>
      </c>
      <c r="D42" s="62" t="s">
        <v>1875</v>
      </c>
      <c r="E42" s="122" t="s">
        <v>13</v>
      </c>
    </row>
    <row r="43">
      <c r="A43" s="90"/>
      <c r="B43" s="62" t="s">
        <v>1873</v>
      </c>
      <c r="C43" s="57" t="s">
        <v>177</v>
      </c>
      <c r="D43" s="62" t="s">
        <v>3147</v>
      </c>
      <c r="E43" s="11" t="str">
        <f>HYPERLINK("https://youtu.be/3CEIJxAcqk4?t=10086","channel 1")</f>
        <v>channel 1</v>
      </c>
    </row>
    <row r="44">
      <c r="A44" s="90"/>
      <c r="B44" s="62" t="s">
        <v>93</v>
      </c>
      <c r="C44" s="57" t="s">
        <v>23</v>
      </c>
      <c r="D44" s="62" t="s">
        <v>1875</v>
      </c>
      <c r="E44" s="122" t="s">
        <v>13</v>
      </c>
    </row>
    <row r="45">
      <c r="A45" s="90"/>
      <c r="B45" s="96" t="s">
        <v>2471</v>
      </c>
      <c r="C45" s="2"/>
      <c r="D45" s="3"/>
      <c r="E45" s="53"/>
    </row>
    <row r="46">
      <c r="A46" s="90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90"/>
      <c r="B47" s="62" t="s">
        <v>3555</v>
      </c>
      <c r="C47" s="57" t="s">
        <v>193</v>
      </c>
      <c r="D47" s="62" t="s">
        <v>3556</v>
      </c>
      <c r="E47" s="11" t="str">
        <f>HYPERLINK("https://youtu.be/BtD8vd55k_4?t=1913","channel 1")</f>
        <v>channel 1</v>
      </c>
    </row>
    <row r="48">
      <c r="A48" s="90"/>
      <c r="B48" s="62" t="s">
        <v>3557</v>
      </c>
      <c r="C48" s="57" t="s">
        <v>164</v>
      </c>
      <c r="D48" s="62" t="s">
        <v>3167</v>
      </c>
      <c r="E48" s="11" t="str">
        <f>HYPERLINK("https://youtu.be/zATHGzx2sSo?t=1784","channel 2")</f>
        <v>channel 2</v>
      </c>
    </row>
    <row r="49">
      <c r="A49" s="90"/>
      <c r="B49" s="62" t="s">
        <v>3558</v>
      </c>
      <c r="C49" s="57" t="s">
        <v>158</v>
      </c>
      <c r="D49" s="62" t="s">
        <v>3555</v>
      </c>
      <c r="E49" s="11" t="str">
        <f>HYPERLINK("https://youtu.be/BtD8vd55k_4?t=2915","channel 1")</f>
        <v>channel 1</v>
      </c>
    </row>
    <row r="50">
      <c r="A50" s="90"/>
      <c r="B50" s="62" t="s">
        <v>3557</v>
      </c>
      <c r="C50" s="57" t="s">
        <v>280</v>
      </c>
      <c r="D50" s="62" t="s">
        <v>3556</v>
      </c>
      <c r="E50" s="11" t="str">
        <f>HYPERLINK("https://youtu.be/zATHGzx2sSo?t=2751","channel 2")</f>
        <v>channel 2</v>
      </c>
    </row>
    <row r="51">
      <c r="A51" s="90"/>
      <c r="B51" s="62" t="s">
        <v>3558</v>
      </c>
      <c r="C51" s="57" t="s">
        <v>281</v>
      </c>
      <c r="D51" s="62" t="s">
        <v>3167</v>
      </c>
      <c r="E51" s="11" t="str">
        <f>HYPERLINK("https://youtu.be/BtD8vd55k_4?t=3813","channel 1")</f>
        <v>channel 1</v>
      </c>
    </row>
    <row r="52">
      <c r="A52" s="90"/>
      <c r="B52" s="62" t="s">
        <v>3557</v>
      </c>
      <c r="C52" s="57" t="s">
        <v>194</v>
      </c>
      <c r="D52" s="62" t="s">
        <v>3555</v>
      </c>
      <c r="E52" s="11" t="str">
        <f>HYPERLINK("https://youtu.be/zATHGzx2sSo?t=3663","channel 2")</f>
        <v>channel 2</v>
      </c>
    </row>
    <row r="53">
      <c r="A53" s="90"/>
      <c r="B53" s="62" t="s">
        <v>3558</v>
      </c>
      <c r="C53" s="57" t="s">
        <v>198</v>
      </c>
      <c r="D53" s="62" t="s">
        <v>3556</v>
      </c>
      <c r="E53" s="11" t="str">
        <f>HYPERLINK("https://youtu.be/BtD8vd55k_4?t=4682","channel 1")</f>
        <v>channel 1</v>
      </c>
    </row>
    <row r="54">
      <c r="A54" s="90"/>
      <c r="B54" s="62" t="s">
        <v>3167</v>
      </c>
      <c r="C54" s="57" t="s">
        <v>181</v>
      </c>
      <c r="D54" s="62" t="s">
        <v>3555</v>
      </c>
      <c r="E54" s="11" t="str">
        <f>HYPERLINK("https://youtu.be/zATHGzx2sSo?t=4575","channel 2")</f>
        <v>channel 2</v>
      </c>
    </row>
    <row r="55">
      <c r="A55" s="90"/>
      <c r="B55" s="62" t="s">
        <v>3558</v>
      </c>
      <c r="C55" s="57" t="s">
        <v>17</v>
      </c>
      <c r="D55" s="62" t="s">
        <v>3557</v>
      </c>
      <c r="E55" s="11" t="str">
        <f>HYPERLINK("https://youtu.be/BtD8vd55k_4?t=5567","channel 1")</f>
        <v>channel 1</v>
      </c>
    </row>
    <row r="56">
      <c r="A56" s="90"/>
      <c r="B56" s="62" t="s">
        <v>3167</v>
      </c>
      <c r="C56" s="57" t="s">
        <v>231</v>
      </c>
      <c r="D56" s="62" t="s">
        <v>3556</v>
      </c>
      <c r="E56" s="11" t="str">
        <f>HYPERLINK("https://youtu.be/zATHGzx2sSo?t=5370","channel 2")</f>
        <v>channel 2</v>
      </c>
    </row>
    <row r="57">
      <c r="A57" s="90"/>
      <c r="B57" s="62" t="s">
        <v>3556</v>
      </c>
      <c r="C57" s="57" t="s">
        <v>524</v>
      </c>
      <c r="D57" s="62" t="s">
        <v>3555</v>
      </c>
      <c r="E57" s="11" t="str">
        <f>HYPERLINK("https://youtu.be/BtD8vd55k_4?t=6508","channel 1")</f>
        <v>channel 1</v>
      </c>
    </row>
    <row r="58">
      <c r="A58" s="90"/>
      <c r="B58" s="62" t="s">
        <v>3167</v>
      </c>
      <c r="C58" s="57" t="s">
        <v>209</v>
      </c>
      <c r="D58" s="62" t="s">
        <v>3557</v>
      </c>
      <c r="E58" s="11" t="str">
        <f>HYPERLINK("https://youtu.be/zATHGzx2sSo?t=6232","channel 2")</f>
        <v>channel 2</v>
      </c>
    </row>
    <row r="59">
      <c r="A59" s="90"/>
      <c r="B59" s="62" t="s">
        <v>3555</v>
      </c>
      <c r="C59" s="45" t="s">
        <v>279</v>
      </c>
      <c r="D59" s="62" t="s">
        <v>3558</v>
      </c>
      <c r="E59" s="11" t="str">
        <f>HYPERLINK("https://youtu.be/BtD8vd55k_4?t=6508","channel 1")</f>
        <v>channel 1</v>
      </c>
    </row>
    <row r="60">
      <c r="A60" s="90"/>
      <c r="B60" s="62" t="s">
        <v>3556</v>
      </c>
      <c r="C60" s="45" t="s">
        <v>525</v>
      </c>
      <c r="D60" s="62" t="s">
        <v>3557</v>
      </c>
      <c r="E60" s="11" t="str">
        <f>HYPERLINK("https://youtu.be/zATHGzx2sSo?t=7136","channel 2")</f>
        <v>channel 2</v>
      </c>
    </row>
    <row r="61">
      <c r="A61" s="90"/>
      <c r="B61" s="62" t="s">
        <v>3167</v>
      </c>
      <c r="C61" s="45" t="s">
        <v>257</v>
      </c>
      <c r="D61" s="62" t="s">
        <v>3558</v>
      </c>
      <c r="E61" s="11" t="str">
        <f>HYPERLINK("https://youtu.be/BtD8vd55k_4?t=8198","channel 1")</f>
        <v>channel 1</v>
      </c>
    </row>
    <row r="62">
      <c r="A62" s="90"/>
      <c r="B62" s="62" t="s">
        <v>3555</v>
      </c>
      <c r="C62" s="45" t="s">
        <v>517</v>
      </c>
      <c r="D62" s="62" t="s">
        <v>3557</v>
      </c>
      <c r="E62" s="11" t="str">
        <f>HYPERLINK("https://youtu.be/zATHGzx2sSo?t=8028","channel 2")</f>
        <v>channel 2</v>
      </c>
    </row>
    <row r="63">
      <c r="A63" s="90"/>
      <c r="B63" s="62" t="s">
        <v>3556</v>
      </c>
      <c r="C63" s="45" t="s">
        <v>229</v>
      </c>
      <c r="D63" s="62" t="s">
        <v>3558</v>
      </c>
      <c r="E63" s="11" t="str">
        <f>HYPERLINK("https://youtu.be/BtD8vd55k_4?t=9268","channel 1")</f>
        <v>channel 1</v>
      </c>
    </row>
    <row r="64">
      <c r="A64" s="90"/>
      <c r="B64" s="62" t="s">
        <v>3555</v>
      </c>
      <c r="C64" s="45" t="s">
        <v>193</v>
      </c>
      <c r="D64" s="62" t="s">
        <v>3167</v>
      </c>
      <c r="E64" s="11" t="str">
        <f>HYPERLINK("https://youtu.be/zATHGzx2sSo?t=9152","channel 2")</f>
        <v>channel 2</v>
      </c>
    </row>
    <row r="65">
      <c r="A65" s="90"/>
      <c r="B65" s="62" t="s">
        <v>3557</v>
      </c>
      <c r="C65" s="45" t="s">
        <v>19</v>
      </c>
      <c r="D65" s="62" t="s">
        <v>3558</v>
      </c>
      <c r="E65" s="11" t="str">
        <f>HYPERLINK("https://youtu.be/BtD8vd55k_4?t=10218","channel 1")</f>
        <v>channel 1</v>
      </c>
    </row>
    <row r="66">
      <c r="A66" s="90"/>
      <c r="B66" s="62" t="s">
        <v>3556</v>
      </c>
      <c r="C66" s="45" t="s">
        <v>185</v>
      </c>
      <c r="D66" s="62" t="s">
        <v>3167</v>
      </c>
      <c r="E66" s="11" t="str">
        <f>HYPERLINK("https://youtu.be/zATHGzx2sSo?t=10100","channel 2")</f>
        <v>channel 2</v>
      </c>
    </row>
    <row r="67">
      <c r="A67" s="90"/>
      <c r="B67" s="96" t="s">
        <v>2410</v>
      </c>
      <c r="C67" s="2"/>
      <c r="D67" s="3"/>
      <c r="E67" s="4"/>
    </row>
    <row r="68">
      <c r="A68" s="90"/>
      <c r="B68" s="21" t="s">
        <v>2</v>
      </c>
      <c r="C68" s="21" t="s">
        <v>3</v>
      </c>
      <c r="D68" s="21" t="s">
        <v>4</v>
      </c>
      <c r="E68" s="6" t="s">
        <v>5</v>
      </c>
    </row>
    <row r="69">
      <c r="A69" s="90"/>
      <c r="B69" s="61" t="s">
        <v>1142</v>
      </c>
      <c r="C69" s="94" t="s">
        <v>218</v>
      </c>
      <c r="D69" s="61" t="s">
        <v>3559</v>
      </c>
      <c r="E69" s="11" t="str">
        <f>HYPERLINK("https://youtu.be/BtD8vd55k_4","channel 1")</f>
        <v>channel 1</v>
      </c>
    </row>
    <row r="70">
      <c r="A70" s="90"/>
      <c r="B70" s="61" t="s">
        <v>3560</v>
      </c>
      <c r="C70" s="94" t="s">
        <v>286</v>
      </c>
      <c r="D70" s="61" t="s">
        <v>2329</v>
      </c>
      <c r="E70" s="11" t="str">
        <f>HYPERLINK("https://youtu.be/sm3UNF1uGus?t=1614","channel 2")</f>
        <v>channel 2</v>
      </c>
    </row>
    <row r="71">
      <c r="A71" s="90"/>
      <c r="B71" s="61" t="s">
        <v>3380</v>
      </c>
      <c r="C71" s="94" t="s">
        <v>762</v>
      </c>
      <c r="D71" s="61" t="s">
        <v>1142</v>
      </c>
      <c r="E71" s="11" t="str">
        <f>HYPERLINK("https://youtu.be/BtD8vd55k_4?t=2756","channel 1")</f>
        <v>channel 1</v>
      </c>
    </row>
    <row r="72">
      <c r="A72" s="90"/>
      <c r="B72" s="61" t="s">
        <v>3560</v>
      </c>
      <c r="C72" s="94" t="s">
        <v>298</v>
      </c>
      <c r="D72" s="61" t="s">
        <v>3559</v>
      </c>
      <c r="E72" s="11" t="str">
        <f>HYPERLINK("https://youtu.be/sm3UNF1uGus?t=2580","channel 2")</f>
        <v>channel 2</v>
      </c>
    </row>
    <row r="73">
      <c r="A73" s="90"/>
      <c r="B73" s="61" t="s">
        <v>3380</v>
      </c>
      <c r="C73" s="94" t="s">
        <v>18</v>
      </c>
      <c r="D73" s="61" t="s">
        <v>2329</v>
      </c>
      <c r="E73" s="11" t="str">
        <f>HYPERLINK("https://youtu.be/BtD8vd55k_4?t=3747","channel 1")</f>
        <v>channel 1</v>
      </c>
    </row>
    <row r="74">
      <c r="A74" s="90"/>
      <c r="B74" s="61" t="s">
        <v>3560</v>
      </c>
      <c r="C74" s="94" t="s">
        <v>291</v>
      </c>
      <c r="D74" s="61" t="s">
        <v>1142</v>
      </c>
      <c r="E74" s="11" t="str">
        <f>HYPERLINK("https://youtu.be/sm3UNF1uGus?t=3481","channel 2")</f>
        <v>channel 2</v>
      </c>
    </row>
    <row r="75">
      <c r="A75" s="90"/>
      <c r="B75" s="61" t="s">
        <v>3380</v>
      </c>
      <c r="C75" s="94" t="s">
        <v>524</v>
      </c>
      <c r="D75" s="61" t="s">
        <v>3559</v>
      </c>
      <c r="E75" s="11" t="str">
        <f>HYPERLINK("https://youtu.be/BtD8vd55k_4?t=4677","channel 1")</f>
        <v>channel 1</v>
      </c>
    </row>
    <row r="76">
      <c r="A76" s="90"/>
      <c r="B76" s="61" t="s">
        <v>2329</v>
      </c>
      <c r="C76" s="94" t="s">
        <v>41</v>
      </c>
      <c r="D76" s="61" t="s">
        <v>1142</v>
      </c>
      <c r="E76" s="11" t="str">
        <f>HYPERLINK("https://youtu.be/sm3UNF1uGus?t=4430","channel 2")</f>
        <v>channel 2</v>
      </c>
    </row>
    <row r="77">
      <c r="A77" s="90"/>
      <c r="B77" s="61" t="s">
        <v>3380</v>
      </c>
      <c r="C77" s="94" t="s">
        <v>258</v>
      </c>
      <c r="D77" s="61" t="s">
        <v>3560</v>
      </c>
      <c r="E77" s="11" t="str">
        <f>HYPERLINK("https://youtu.be/BtD8vd55k_4?t=5504","channel 1")</f>
        <v>channel 1</v>
      </c>
    </row>
    <row r="78">
      <c r="A78" s="90"/>
      <c r="B78" s="61" t="s">
        <v>2329</v>
      </c>
      <c r="C78" s="94" t="s">
        <v>16</v>
      </c>
      <c r="D78" s="61" t="s">
        <v>3559</v>
      </c>
      <c r="E78" s="11" t="str">
        <f>HYPERLINK("https://youtu.be/sm3UNF1uGus?t=5267","channel 2")</f>
        <v>channel 2</v>
      </c>
    </row>
    <row r="79">
      <c r="A79" s="90"/>
      <c r="B79" s="61" t="s">
        <v>3559</v>
      </c>
      <c r="C79" s="94" t="s">
        <v>176</v>
      </c>
      <c r="D79" s="61" t="s">
        <v>1142</v>
      </c>
      <c r="E79" s="11" t="str">
        <f>HYPERLINK("https://youtu.be/BtD8vd55k_4?t=6496","channel 1")</f>
        <v>channel 1</v>
      </c>
    </row>
    <row r="80">
      <c r="A80" s="90"/>
      <c r="B80" s="61" t="s">
        <v>2329</v>
      </c>
      <c r="C80" s="94" t="s">
        <v>250</v>
      </c>
      <c r="D80" s="61" t="s">
        <v>3560</v>
      </c>
      <c r="E80" s="11" t="str">
        <f>HYPERLINK("https://youtu.be/sm3UNF1uGus?t=6279","channel 2")</f>
        <v>channel 2</v>
      </c>
    </row>
    <row r="81">
      <c r="A81" s="90"/>
      <c r="B81" s="61" t="s">
        <v>1142</v>
      </c>
      <c r="C81" s="94" t="s">
        <v>2876</v>
      </c>
      <c r="D81" s="61" t="s">
        <v>3380</v>
      </c>
      <c r="E81" s="11" t="str">
        <f>HYPERLINK("https://youtu.be/BtD8vd55k_4?t=7308","channel 1")</f>
        <v>channel 1</v>
      </c>
    </row>
    <row r="82">
      <c r="A82" s="90"/>
      <c r="B82" s="61" t="s">
        <v>3559</v>
      </c>
      <c r="C82" s="94" t="s">
        <v>426</v>
      </c>
      <c r="D82" s="61" t="s">
        <v>3560</v>
      </c>
      <c r="E82" s="11" t="str">
        <f>HYPERLINK("https://youtu.be/sm3UNF1uGus?t=7200","channel 2")</f>
        <v>channel 2</v>
      </c>
    </row>
    <row r="83">
      <c r="A83" s="90"/>
      <c r="B83" s="61" t="s">
        <v>2329</v>
      </c>
      <c r="C83" s="94" t="s">
        <v>17</v>
      </c>
      <c r="D83" s="61" t="s">
        <v>3380</v>
      </c>
      <c r="E83" s="11" t="str">
        <f>HYPERLINK("https://youtu.be/BtD8vd55k_4?t=8097","channel 1")</f>
        <v>channel 1</v>
      </c>
    </row>
    <row r="84">
      <c r="A84" s="90"/>
      <c r="B84" s="61" t="s">
        <v>1142</v>
      </c>
      <c r="C84" s="64" t="s">
        <v>289</v>
      </c>
      <c r="D84" s="61" t="s">
        <v>3560</v>
      </c>
      <c r="E84" s="11" t="str">
        <f>HYPERLINK("https://youtu.be/sm3UNF1uGus?t=8199","channel 2")</f>
        <v>channel 2</v>
      </c>
    </row>
    <row r="85">
      <c r="A85" s="90"/>
      <c r="B85" s="61" t="s">
        <v>3559</v>
      </c>
      <c r="C85" s="94" t="s">
        <v>531</v>
      </c>
      <c r="D85" s="61" t="s">
        <v>3380</v>
      </c>
      <c r="E85" s="11" t="str">
        <f>HYPERLINK("https://youtu.be/BtD8vd55k_4?t=9026","channel 1")</f>
        <v>channel 1</v>
      </c>
    </row>
    <row r="86">
      <c r="A86" s="90"/>
      <c r="B86" s="61" t="s">
        <v>1142</v>
      </c>
      <c r="C86" s="94" t="s">
        <v>22</v>
      </c>
      <c r="D86" s="61" t="s">
        <v>2329</v>
      </c>
      <c r="E86" s="11" t="str">
        <f>HYPERLINK("https://youtu.be/sm3UNF1uGus?t=9124","channel 2")</f>
        <v>channel 2</v>
      </c>
    </row>
    <row r="87">
      <c r="A87" s="90"/>
      <c r="B87" s="61" t="s">
        <v>3560</v>
      </c>
      <c r="C87" s="94" t="s">
        <v>194</v>
      </c>
      <c r="D87" s="61" t="s">
        <v>3380</v>
      </c>
      <c r="E87" s="11" t="str">
        <f>HYPERLINK("https://youtu.be/BtD8vd55k_4?t=10096","channel 1")</f>
        <v>channel 1</v>
      </c>
    </row>
    <row r="88">
      <c r="A88" s="90"/>
      <c r="B88" s="61" t="s">
        <v>3559</v>
      </c>
      <c r="C88" s="94" t="s">
        <v>189</v>
      </c>
      <c r="D88" s="61" t="s">
        <v>2329</v>
      </c>
      <c r="E88" s="11" t="str">
        <f>HYPERLINK("https://youtu.be/sm3UNF1uGus?t=10026","channel 2")</f>
        <v>channel 2</v>
      </c>
    </row>
    <row r="89">
      <c r="A89" s="90"/>
      <c r="B89" s="96" t="s">
        <v>2919</v>
      </c>
      <c r="C89" s="2"/>
      <c r="D89" s="3"/>
      <c r="E89" s="4"/>
    </row>
    <row r="90">
      <c r="A90" s="90"/>
      <c r="B90" s="21" t="s">
        <v>2</v>
      </c>
      <c r="C90" s="21" t="s">
        <v>3</v>
      </c>
      <c r="D90" s="21" t="s">
        <v>4</v>
      </c>
      <c r="E90" s="6" t="s">
        <v>5</v>
      </c>
    </row>
    <row r="91">
      <c r="A91" s="90"/>
      <c r="B91" s="61" t="s">
        <v>690</v>
      </c>
      <c r="C91" s="94" t="s">
        <v>208</v>
      </c>
      <c r="D91" s="61" t="s">
        <v>3561</v>
      </c>
      <c r="E91" s="11" t="str">
        <f>HYPERLINK("https://youtu.be/aY4qBpR0DKM","channel 3")</f>
        <v>channel 3</v>
      </c>
    </row>
    <row r="92">
      <c r="A92" s="90"/>
      <c r="B92" s="61" t="s">
        <v>3562</v>
      </c>
      <c r="C92" s="94" t="s">
        <v>24</v>
      </c>
      <c r="D92" s="61" t="s">
        <v>3563</v>
      </c>
      <c r="E92" s="11" t="str">
        <f>HYPERLINK("https://youtu.be/ln-TQFJIQ0I","channel 4")</f>
        <v>channel 4</v>
      </c>
    </row>
    <row r="93">
      <c r="A93" s="90"/>
      <c r="B93" s="61" t="s">
        <v>3199</v>
      </c>
      <c r="C93" s="94" t="s">
        <v>20</v>
      </c>
      <c r="D93" s="61" t="s">
        <v>690</v>
      </c>
      <c r="E93" s="11" t="str">
        <f>HYPERLINK("https://youtu.be/aY4qBpR0DKM?t=962","channel 3")</f>
        <v>channel 3</v>
      </c>
    </row>
    <row r="94">
      <c r="A94" s="90"/>
      <c r="B94" s="61" t="s">
        <v>3562</v>
      </c>
      <c r="C94" s="94" t="s">
        <v>20</v>
      </c>
      <c r="D94" s="61" t="s">
        <v>3561</v>
      </c>
      <c r="E94" s="11" t="str">
        <f>HYPERLINK("https://youtu.be/ln-TQFJIQ0I?t=1091","channel 4")</f>
        <v>channel 4</v>
      </c>
    </row>
    <row r="95">
      <c r="A95" s="90"/>
      <c r="B95" s="61" t="s">
        <v>3199</v>
      </c>
      <c r="C95" s="94" t="s">
        <v>173</v>
      </c>
      <c r="D95" s="61" t="s">
        <v>3563</v>
      </c>
      <c r="E95" s="11" t="str">
        <f>HYPERLINK("https://youtu.be/aY4qBpR0DKM?t=1851","channel 3")</f>
        <v>channel 3</v>
      </c>
    </row>
    <row r="96">
      <c r="A96" s="90"/>
      <c r="B96" s="114" t="s">
        <v>3562</v>
      </c>
      <c r="C96" s="94" t="s">
        <v>292</v>
      </c>
      <c r="D96" s="114" t="s">
        <v>690</v>
      </c>
      <c r="E96" s="11" t="str">
        <f>HYPERLINK("https://youtu.be/ln-TQFJIQ0I?t=1961","channel 4")</f>
        <v>channel 4</v>
      </c>
    </row>
    <row r="97">
      <c r="A97" s="90"/>
      <c r="B97" s="61" t="s">
        <v>3199</v>
      </c>
      <c r="C97" s="94" t="s">
        <v>279</v>
      </c>
      <c r="D97" s="61" t="s">
        <v>3561</v>
      </c>
      <c r="E97" s="11" t="str">
        <f>HYPERLINK("https://youtu.be/aY4qBpR0DKM?t=2783","channel 3")</f>
        <v>channel 3</v>
      </c>
    </row>
    <row r="98">
      <c r="A98" s="90"/>
      <c r="B98" s="114" t="s">
        <v>3563</v>
      </c>
      <c r="C98" s="94" t="s">
        <v>20</v>
      </c>
      <c r="D98" s="114" t="s">
        <v>690</v>
      </c>
      <c r="E98" s="11" t="str">
        <f>HYPERLINK("https://youtu.be/ln-TQFJIQ0I?t=2837","channel 4")</f>
        <v>channel 4</v>
      </c>
    </row>
    <row r="99">
      <c r="A99" s="90"/>
      <c r="B99" s="61" t="s">
        <v>3199</v>
      </c>
      <c r="C99" s="94" t="s">
        <v>19</v>
      </c>
      <c r="D99" s="61" t="s">
        <v>3562</v>
      </c>
      <c r="E99" s="11" t="str">
        <f>HYPERLINK("https://youtu.be/aY4qBpR0DKM?t=3710","channel 3")</f>
        <v>channel 3</v>
      </c>
    </row>
    <row r="100">
      <c r="A100" s="90"/>
      <c r="B100" s="61" t="s">
        <v>3563</v>
      </c>
      <c r="C100" s="94" t="s">
        <v>195</v>
      </c>
      <c r="D100" s="61" t="s">
        <v>3561</v>
      </c>
      <c r="E100" s="11" t="str">
        <f>HYPERLINK("https://youtu.be/ln-TQFJIQ0I?t=3785","channel 4")</f>
        <v>channel 4</v>
      </c>
    </row>
    <row r="101">
      <c r="A101" s="90"/>
      <c r="B101" s="61" t="s">
        <v>3561</v>
      </c>
      <c r="C101" s="94" t="s">
        <v>227</v>
      </c>
      <c r="D101" s="61" t="s">
        <v>690</v>
      </c>
      <c r="E101" s="11" t="str">
        <f>HYPERLINK("https://youtu.be/aY4qBpR0DKM?t=4615","channel 3")</f>
        <v>channel 3</v>
      </c>
    </row>
    <row r="102">
      <c r="A102" s="90"/>
      <c r="B102" s="114" t="s">
        <v>3563</v>
      </c>
      <c r="C102" s="94" t="s">
        <v>166</v>
      </c>
      <c r="D102" s="114" t="s">
        <v>3562</v>
      </c>
      <c r="E102" s="11" t="str">
        <f>HYPERLINK("https://youtu.be/ln-TQFJIQ0I?t=4707","channel 4")</f>
        <v>channel 4</v>
      </c>
    </row>
    <row r="103">
      <c r="A103" s="90"/>
      <c r="B103" s="61" t="s">
        <v>690</v>
      </c>
      <c r="C103" s="94" t="s">
        <v>20</v>
      </c>
      <c r="D103" s="61" t="s">
        <v>3199</v>
      </c>
      <c r="E103" s="11" t="str">
        <f>HYPERLINK("https://youtu.be/aY4qBpR0DKM?t=5543","channel 3")</f>
        <v>channel 3</v>
      </c>
    </row>
    <row r="104">
      <c r="A104" s="90"/>
      <c r="B104" s="61" t="s">
        <v>3561</v>
      </c>
      <c r="C104" s="94" t="s">
        <v>7</v>
      </c>
      <c r="D104" s="61" t="s">
        <v>3562</v>
      </c>
      <c r="E104" s="11" t="str">
        <f>HYPERLINK("https://youtu.be/ln-TQFJIQ0I?t=5684","channel 4")</f>
        <v>channel 4</v>
      </c>
    </row>
    <row r="105">
      <c r="A105" s="90"/>
      <c r="B105" s="61" t="s">
        <v>3563</v>
      </c>
      <c r="C105" s="94" t="s">
        <v>380</v>
      </c>
      <c r="D105" s="61" t="s">
        <v>3199</v>
      </c>
      <c r="E105" s="11" t="str">
        <f>HYPERLINK("https://youtu.be/aY4qBpR0DKM?t=6463","channel 3")</f>
        <v>channel 3</v>
      </c>
    </row>
    <row r="106">
      <c r="A106" s="90"/>
      <c r="B106" s="61" t="s">
        <v>690</v>
      </c>
      <c r="C106" s="94" t="s">
        <v>289</v>
      </c>
      <c r="D106" s="61" t="s">
        <v>3562</v>
      </c>
      <c r="E106" s="11" t="str">
        <f>HYPERLINK("https://youtu.be/ln-TQFJIQ0I?t=6649","channel 4")</f>
        <v>channel 4</v>
      </c>
    </row>
    <row r="107">
      <c r="A107" s="90"/>
      <c r="B107" s="61" t="s">
        <v>3561</v>
      </c>
      <c r="C107" s="94" t="s">
        <v>298</v>
      </c>
      <c r="D107" s="61" t="s">
        <v>3199</v>
      </c>
      <c r="E107" s="11" t="str">
        <f>HYPERLINK("https://youtu.be/aY4qBpR0DKM?t=7417","channel 3")</f>
        <v>channel 3</v>
      </c>
    </row>
    <row r="108">
      <c r="A108" s="90"/>
      <c r="B108" s="61" t="s">
        <v>690</v>
      </c>
      <c r="C108" s="94" t="s">
        <v>165</v>
      </c>
      <c r="D108" s="61" t="s">
        <v>3563</v>
      </c>
      <c r="E108" s="11" t="str">
        <f>HYPERLINK("https://youtu.be/ln-TQFJIQ0I?t=7492","channel 4")</f>
        <v>channel 4</v>
      </c>
    </row>
    <row r="109">
      <c r="A109" s="90"/>
      <c r="B109" s="61" t="s">
        <v>3562</v>
      </c>
      <c r="C109" s="94" t="s">
        <v>175</v>
      </c>
      <c r="D109" s="61" t="s">
        <v>3199</v>
      </c>
      <c r="E109" s="11" t="str">
        <f>HYPERLINK("https://youtu.be/aY4qBpR0DKM?t=8328","channel 3")</f>
        <v>channel 3</v>
      </c>
    </row>
    <row r="110">
      <c r="A110" s="90"/>
      <c r="B110" s="61" t="s">
        <v>3561</v>
      </c>
      <c r="C110" s="94" t="s">
        <v>171</v>
      </c>
      <c r="D110" s="61" t="s">
        <v>3563</v>
      </c>
      <c r="E110" s="11" t="str">
        <f>HYPERLINK("https://youtu.be/ln-TQFJIQ0I?t=8401","channel 4")</f>
        <v>channel 4</v>
      </c>
    </row>
    <row r="111">
      <c r="A111" s="90"/>
      <c r="B111" s="96" t="s">
        <v>2741</v>
      </c>
      <c r="C111" s="2"/>
      <c r="D111" s="3"/>
      <c r="E111" s="4"/>
    </row>
    <row r="112">
      <c r="A112" s="90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90"/>
      <c r="B113" s="61" t="s">
        <v>2014</v>
      </c>
      <c r="C113" s="94" t="s">
        <v>198</v>
      </c>
      <c r="D113" s="61" t="s">
        <v>1725</v>
      </c>
      <c r="E113" s="69" t="str">
        <f>HYPERLINK("https://youtu.be/GPgJNzifeG4","channel 3")</f>
        <v>channel 3</v>
      </c>
    </row>
    <row r="114">
      <c r="A114" s="90"/>
      <c r="B114" s="61" t="s">
        <v>2142</v>
      </c>
      <c r="C114" s="94" t="s">
        <v>43</v>
      </c>
      <c r="D114" s="61" t="s">
        <v>3564</v>
      </c>
      <c r="E114" s="138" t="str">
        <f>HYPERLINK("https://youtu.be/WHf6IzRMCX4","channel 4")</f>
        <v>channel 4</v>
      </c>
    </row>
    <row r="115">
      <c r="A115" s="90"/>
      <c r="B115" s="61" t="s">
        <v>3565</v>
      </c>
      <c r="C115" s="94" t="s">
        <v>449</v>
      </c>
      <c r="D115" s="61" t="s">
        <v>2014</v>
      </c>
      <c r="E115" s="69" t="str">
        <f>HYPERLINK("https://youtu.be/GPgJNzifeG4?t=955","channel 3")</f>
        <v>channel 3</v>
      </c>
    </row>
    <row r="116">
      <c r="A116" s="90"/>
      <c r="B116" s="61" t="s">
        <v>2142</v>
      </c>
      <c r="C116" s="94" t="s">
        <v>258</v>
      </c>
      <c r="D116" s="61" t="s">
        <v>1725</v>
      </c>
      <c r="E116" s="138" t="str">
        <f>HYPERLINK("https://youtu.be/WHf6IzRMCX4?t=1002","channel 4")</f>
        <v>channel 4</v>
      </c>
    </row>
    <row r="117">
      <c r="A117" s="90"/>
      <c r="B117" s="61" t="s">
        <v>3565</v>
      </c>
      <c r="C117" s="94" t="s">
        <v>23</v>
      </c>
      <c r="D117" s="61" t="s">
        <v>3564</v>
      </c>
      <c r="E117" s="69" t="str">
        <f>HYPERLINK("https://youtu.be/GPgJNzifeG4?t=1892","channel 3")</f>
        <v>channel 3</v>
      </c>
    </row>
    <row r="118">
      <c r="A118" s="90"/>
      <c r="B118" s="114" t="s">
        <v>2142</v>
      </c>
      <c r="C118" s="94" t="s">
        <v>162</v>
      </c>
      <c r="D118" s="114" t="s">
        <v>2014</v>
      </c>
      <c r="E118" s="138" t="str">
        <f>HYPERLINK("https://youtu.be/WHf6IzRMCX4?t=1964","channel 4")</f>
        <v>channel 4</v>
      </c>
    </row>
    <row r="119">
      <c r="A119" s="90"/>
      <c r="B119" s="61" t="s">
        <v>3565</v>
      </c>
      <c r="C119" s="94" t="s">
        <v>394</v>
      </c>
      <c r="D119" s="61" t="s">
        <v>1725</v>
      </c>
      <c r="E119" s="69" t="str">
        <f>HYPERLINK("https://youtu.be/GPgJNzifeG4?t=2827","channel 3")</f>
        <v>channel 3</v>
      </c>
    </row>
    <row r="120">
      <c r="A120" s="90"/>
      <c r="B120" s="114" t="s">
        <v>3564</v>
      </c>
      <c r="C120" s="94" t="s">
        <v>18</v>
      </c>
      <c r="D120" s="114" t="s">
        <v>2014</v>
      </c>
      <c r="E120" s="138" t="str">
        <f>HYPERLINK("https://youtu.be/WHf6IzRMCX4?t=2872","channel 4")</f>
        <v>channel 4</v>
      </c>
    </row>
    <row r="121">
      <c r="A121" s="90"/>
      <c r="B121" s="61" t="s">
        <v>3565</v>
      </c>
      <c r="C121" s="94" t="s">
        <v>18</v>
      </c>
      <c r="D121" s="61" t="s">
        <v>2142</v>
      </c>
      <c r="E121" s="69" t="str">
        <f>HYPERLINK("https://youtu.be/GPgJNzifeG4?t=3732","channel 3")</f>
        <v>channel 3</v>
      </c>
    </row>
    <row r="122">
      <c r="A122" s="90"/>
      <c r="B122" s="114" t="s">
        <v>3564</v>
      </c>
      <c r="C122" s="94" t="s">
        <v>20</v>
      </c>
      <c r="D122" s="114" t="s">
        <v>1725</v>
      </c>
      <c r="E122" s="138" t="str">
        <f>HYPERLINK("https://youtu.be/WHf6IzRMCX4?t=3819","channel 4")</f>
        <v>channel 4</v>
      </c>
    </row>
    <row r="123">
      <c r="A123" s="90"/>
      <c r="B123" s="61" t="s">
        <v>1725</v>
      </c>
      <c r="C123" s="94" t="s">
        <v>302</v>
      </c>
      <c r="D123" s="61" t="s">
        <v>2014</v>
      </c>
      <c r="E123" s="69" t="str">
        <f>HYPERLINK("https://youtu.be/GPgJNzifeG4?t=4623","channel 3")</f>
        <v>channel 3</v>
      </c>
    </row>
    <row r="124">
      <c r="A124" s="90"/>
      <c r="B124" s="114" t="s">
        <v>3564</v>
      </c>
      <c r="C124" s="94" t="s">
        <v>442</v>
      </c>
      <c r="D124" s="114" t="s">
        <v>2142</v>
      </c>
      <c r="E124" s="138" t="str">
        <f>HYPERLINK("https://youtu.be/WHf6IzRMCX4?t=4752","channel 4")</f>
        <v>channel 4</v>
      </c>
    </row>
    <row r="125">
      <c r="A125" s="90"/>
      <c r="B125" s="61" t="s">
        <v>2014</v>
      </c>
      <c r="C125" s="94" t="s">
        <v>279</v>
      </c>
      <c r="D125" s="61" t="s">
        <v>3565</v>
      </c>
      <c r="E125" s="69" t="str">
        <f>HYPERLINK("https://youtu.be/GPgJNzifeG4?t=5530","channel 3")</f>
        <v>channel 3</v>
      </c>
    </row>
    <row r="126">
      <c r="A126" s="90"/>
      <c r="B126" s="114" t="s">
        <v>1725</v>
      </c>
      <c r="C126" s="94" t="s">
        <v>23</v>
      </c>
      <c r="D126" s="114" t="s">
        <v>2142</v>
      </c>
      <c r="E126" s="138" t="str">
        <f>HYPERLINK("https://youtu.be/WHf6IzRMCX4?t=5655","channel 4")</f>
        <v>channel 4</v>
      </c>
    </row>
    <row r="127">
      <c r="A127" s="90"/>
      <c r="B127" s="61" t="s">
        <v>3564</v>
      </c>
      <c r="C127" s="94" t="s">
        <v>19</v>
      </c>
      <c r="D127" s="61" t="s">
        <v>3565</v>
      </c>
      <c r="E127" s="69" t="str">
        <f>HYPERLINK("https://youtu.be/GPgJNzifeG4?t=6465","channel 3")</f>
        <v>channel 3</v>
      </c>
    </row>
    <row r="128">
      <c r="A128" s="90"/>
      <c r="B128" s="114" t="s">
        <v>2014</v>
      </c>
      <c r="C128" s="94" t="s">
        <v>189</v>
      </c>
      <c r="D128" s="114" t="s">
        <v>2142</v>
      </c>
      <c r="E128" s="138" t="str">
        <f>HYPERLINK("https://youtu.be/WHf6IzRMCX4?t=6556","channel 4")</f>
        <v>channel 4</v>
      </c>
    </row>
    <row r="129">
      <c r="A129" s="90"/>
      <c r="B129" s="114" t="s">
        <v>1725</v>
      </c>
      <c r="C129" s="94" t="s">
        <v>248</v>
      </c>
      <c r="D129" s="114" t="s">
        <v>3565</v>
      </c>
      <c r="E129" s="69" t="str">
        <f>HYPERLINK("https://youtu.be/GPgJNzifeG4?t=7441","channel 3")</f>
        <v>channel 3</v>
      </c>
    </row>
    <row r="130">
      <c r="A130" s="90"/>
      <c r="B130" s="114" t="s">
        <v>2014</v>
      </c>
      <c r="C130" s="94" t="s">
        <v>279</v>
      </c>
      <c r="D130" s="114" t="s">
        <v>3564</v>
      </c>
      <c r="E130" s="139" t="str">
        <f>HYPERLINK("https://youtu.be/WHf6IzRMCX4?t=7480","channel 4")</f>
        <v>channel 4</v>
      </c>
    </row>
    <row r="131">
      <c r="A131" s="90"/>
      <c r="B131" s="61" t="s">
        <v>2142</v>
      </c>
      <c r="C131" s="94" t="s">
        <v>18</v>
      </c>
      <c r="D131" s="61" t="s">
        <v>3565</v>
      </c>
      <c r="E131" s="69" t="str">
        <f>HYPERLINK("https://youtu.be/GPgJNzifeG4?t=8322","channel 3")</f>
        <v>channel 3</v>
      </c>
    </row>
    <row r="132">
      <c r="A132" s="91"/>
      <c r="B132" s="114" t="s">
        <v>1725</v>
      </c>
      <c r="C132" s="94" t="s">
        <v>545</v>
      </c>
      <c r="D132" s="114" t="s">
        <v>3564</v>
      </c>
      <c r="E132" s="138" t="str">
        <f>HYPERLINK("https://youtu.be/WHf6IzRMCX4?t=8425","channel 4")</f>
        <v>channel 4</v>
      </c>
    </row>
    <row r="133">
      <c r="B133" s="96" t="s">
        <v>2653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61" t="s">
        <v>3492</v>
      </c>
      <c r="C135" s="94" t="s">
        <v>198</v>
      </c>
      <c r="D135" s="61" t="s">
        <v>3566</v>
      </c>
      <c r="E135" s="11" t="str">
        <f>HYPERLINK("https://youtu.be/TREukcgO3v8","channel 1")</f>
        <v>channel 1</v>
      </c>
    </row>
    <row r="136">
      <c r="B136" s="61" t="s">
        <v>1347</v>
      </c>
      <c r="C136" s="94" t="s">
        <v>41</v>
      </c>
      <c r="D136" s="61" t="s">
        <v>3567</v>
      </c>
      <c r="E136" s="11" t="str">
        <f>HYPERLINK("https://youtu.be/hqY_XPRgjOM","channel 2")</f>
        <v>channel 2</v>
      </c>
    </row>
    <row r="137">
      <c r="B137" s="61" t="s">
        <v>3333</v>
      </c>
      <c r="C137" s="94" t="s">
        <v>1689</v>
      </c>
      <c r="D137" s="61" t="s">
        <v>3492</v>
      </c>
      <c r="E137" s="11" t="str">
        <f>HYPERLINK("https://youtu.be/TREukcgO3v8?t=828","channel 1")</f>
        <v>channel 1</v>
      </c>
    </row>
    <row r="138">
      <c r="B138" s="61" t="s">
        <v>1347</v>
      </c>
      <c r="C138" s="94" t="s">
        <v>43</v>
      </c>
      <c r="D138" s="61" t="s">
        <v>3566</v>
      </c>
      <c r="E138" s="11" t="str">
        <f>HYPERLINK("https://youtu.be/hqY_XPRgjOM?t=1012","channel 2")</f>
        <v>channel 2</v>
      </c>
    </row>
    <row r="139">
      <c r="B139" s="61" t="s">
        <v>3333</v>
      </c>
      <c r="C139" s="94" t="s">
        <v>291</v>
      </c>
      <c r="D139" s="61" t="s">
        <v>3567</v>
      </c>
      <c r="E139" s="11" t="str">
        <f>HYPERLINK("https://youtu.be/TREukcgO3v8?t=1694","channel 1")</f>
        <v>channel 1</v>
      </c>
    </row>
    <row r="140">
      <c r="B140" s="61" t="s">
        <v>1347</v>
      </c>
      <c r="C140" s="94" t="s">
        <v>11</v>
      </c>
      <c r="D140" s="61" t="s">
        <v>3492</v>
      </c>
      <c r="E140" s="11" t="str">
        <f>HYPERLINK("https://youtu.be/hqY_XPRgjOM?t=1964","channel 2")</f>
        <v>channel 2</v>
      </c>
    </row>
    <row r="141">
      <c r="B141" s="61" t="s">
        <v>3333</v>
      </c>
      <c r="C141" s="94" t="s">
        <v>173</v>
      </c>
      <c r="D141" s="61" t="s">
        <v>3566</v>
      </c>
      <c r="E141" s="11" t="str">
        <f>HYPERLINK("https://youtu.be/TREukcgO3v8?t=2754","channel 1")</f>
        <v>channel 1</v>
      </c>
    </row>
    <row r="142">
      <c r="B142" s="61" t="s">
        <v>3567</v>
      </c>
      <c r="C142" s="94" t="s">
        <v>915</v>
      </c>
      <c r="D142" s="61" t="s">
        <v>3492</v>
      </c>
      <c r="E142" s="11" t="str">
        <f>HYPERLINK("https://youtu.be/hqY_XPRgjOM?t=2892","channel 2")</f>
        <v>channel 2</v>
      </c>
    </row>
    <row r="143">
      <c r="B143" s="61" t="s">
        <v>3333</v>
      </c>
      <c r="C143" s="94" t="s">
        <v>173</v>
      </c>
      <c r="D143" s="61" t="s">
        <v>1347</v>
      </c>
      <c r="E143" s="11" t="str">
        <f>HYPERLINK("https://youtu.be/TREukcgO3v8?t=3579","channel 1")</f>
        <v>channel 1</v>
      </c>
    </row>
    <row r="144">
      <c r="B144" s="61" t="s">
        <v>3567</v>
      </c>
      <c r="C144" s="94" t="s">
        <v>324</v>
      </c>
      <c r="D144" s="61" t="s">
        <v>3566</v>
      </c>
      <c r="E144" s="11" t="str">
        <f>HYPERLINK("https://youtu.be/hqY_XPRgjOM?t=3826","channel 2")</f>
        <v>channel 2</v>
      </c>
    </row>
    <row r="145">
      <c r="B145" s="61" t="s">
        <v>3566</v>
      </c>
      <c r="C145" s="94" t="s">
        <v>376</v>
      </c>
      <c r="D145" s="61" t="s">
        <v>3492</v>
      </c>
      <c r="E145" s="11" t="str">
        <f>HYPERLINK("https://youtu.be/TREukcgO3v8?t=4632","channel 1")</f>
        <v>channel 1</v>
      </c>
    </row>
    <row r="146">
      <c r="B146" s="61" t="s">
        <v>3567</v>
      </c>
      <c r="C146" s="94" t="s">
        <v>23</v>
      </c>
      <c r="D146" s="61" t="s">
        <v>1347</v>
      </c>
      <c r="E146" s="11" t="str">
        <f>HYPERLINK("https://youtu.be/hqY_XPRgjOM?t=4839","channel 2")</f>
        <v>channel 2</v>
      </c>
    </row>
    <row r="147">
      <c r="B147" s="61" t="s">
        <v>3492</v>
      </c>
      <c r="C147" s="94" t="s">
        <v>36</v>
      </c>
      <c r="D147" s="61" t="s">
        <v>3333</v>
      </c>
      <c r="E147" s="11" t="str">
        <f>HYPERLINK("https://youtu.be/TREukcgO3v8?t=5527","channel 1")</f>
        <v>channel 1</v>
      </c>
    </row>
    <row r="148">
      <c r="B148" s="61" t="s">
        <v>3566</v>
      </c>
      <c r="C148" s="94" t="s">
        <v>248</v>
      </c>
      <c r="D148" s="61" t="s">
        <v>1347</v>
      </c>
      <c r="E148" s="11" t="str">
        <f>HYPERLINK("https://youtu.be/hqY_XPRgjOM?t=5779","channel 2")</f>
        <v>channel 2</v>
      </c>
    </row>
    <row r="149">
      <c r="B149" s="61" t="s">
        <v>3567</v>
      </c>
      <c r="C149" s="94" t="s">
        <v>366</v>
      </c>
      <c r="D149" s="61" t="s">
        <v>3333</v>
      </c>
      <c r="E149" s="11" t="str">
        <f>HYPERLINK("https://youtu.be/TREukcgO3v8?t=6492","channel 1")</f>
        <v>channel 1</v>
      </c>
    </row>
    <row r="150">
      <c r="B150" s="61" t="s">
        <v>3492</v>
      </c>
      <c r="C150" s="94" t="s">
        <v>193</v>
      </c>
      <c r="D150" s="61" t="s">
        <v>1347</v>
      </c>
      <c r="E150" s="11" t="str">
        <f>HYPERLINK("https://youtu.be/hqY_XPRgjOM?t=6702","channel 2")</f>
        <v>channel 2</v>
      </c>
    </row>
    <row r="151">
      <c r="B151" s="61" t="s">
        <v>3566</v>
      </c>
      <c r="C151" s="94" t="s">
        <v>1173</v>
      </c>
      <c r="D151" s="61" t="s">
        <v>3333</v>
      </c>
      <c r="E151" s="11" t="str">
        <f>HYPERLINK("https://youtu.be/TREukcgO3v8?t=7420","channel 1")</f>
        <v>channel 1</v>
      </c>
    </row>
    <row r="152">
      <c r="B152" s="61" t="s">
        <v>3492</v>
      </c>
      <c r="C152" s="94" t="s">
        <v>524</v>
      </c>
      <c r="D152" s="61" t="s">
        <v>3567</v>
      </c>
      <c r="E152" s="11" t="str">
        <f>HYPERLINK("https://youtu.be/hqY_XPRgjOM?t=7629","channel 2")</f>
        <v>channel 2</v>
      </c>
    </row>
    <row r="153">
      <c r="B153" s="61" t="s">
        <v>1347</v>
      </c>
      <c r="C153" s="94" t="s">
        <v>220</v>
      </c>
      <c r="D153" s="61" t="s">
        <v>3333</v>
      </c>
      <c r="E153" s="11" t="str">
        <f>HYPERLINK("https://youtu.be/TREukcgO3v8?t=8395","channel 1")</f>
        <v>channel 1</v>
      </c>
    </row>
    <row r="154">
      <c r="B154" s="61" t="s">
        <v>3566</v>
      </c>
      <c r="C154" s="94" t="s">
        <v>209</v>
      </c>
      <c r="D154" s="61" t="s">
        <v>3567</v>
      </c>
      <c r="E154" s="11" t="str">
        <f>HYPERLINK("https://youtu.be/hqY_XPRgjOM?t=8554","channel 2")</f>
        <v>channel 2</v>
      </c>
    </row>
    <row r="155">
      <c r="B155" s="96" t="s">
        <v>1803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61" t="s">
        <v>3506</v>
      </c>
      <c r="C157" s="94" t="s">
        <v>556</v>
      </c>
      <c r="D157" s="61" t="s">
        <v>3568</v>
      </c>
      <c r="E157" s="11" t="str">
        <f>HYPERLINK("https://youtu.be/nC1mdS4bl9M","channel 1")</f>
        <v>channel 1</v>
      </c>
    </row>
    <row r="158">
      <c r="B158" s="61" t="s">
        <v>1416</v>
      </c>
      <c r="C158" s="94" t="s">
        <v>16</v>
      </c>
      <c r="D158" s="61" t="s">
        <v>3569</v>
      </c>
      <c r="E158" s="11" t="str">
        <f>HYPERLINK("https://youtu.be/j-fVVDcarI0","channel 2")</f>
        <v>channel 2</v>
      </c>
    </row>
    <row r="159">
      <c r="B159" s="61" t="s">
        <v>3570</v>
      </c>
      <c r="C159" s="94" t="s">
        <v>750</v>
      </c>
      <c r="D159" s="61" t="s">
        <v>3506</v>
      </c>
      <c r="E159" s="11" t="str">
        <f>HYPERLINK("https://youtu.be/nC1mdS4bl9M","channel 1")</f>
        <v>channel 1</v>
      </c>
    </row>
    <row r="160">
      <c r="B160" s="61" t="s">
        <v>1416</v>
      </c>
      <c r="C160" s="94" t="s">
        <v>44</v>
      </c>
      <c r="D160" s="61" t="s">
        <v>3568</v>
      </c>
      <c r="E160" s="11" t="str">
        <f>HYPERLINK("https://youtu.be/j-fVVDcarI0?t=1081","channel 2")</f>
        <v>channel 2</v>
      </c>
    </row>
    <row r="161">
      <c r="B161" s="61" t="s">
        <v>3570</v>
      </c>
      <c r="C161" s="94" t="s">
        <v>166</v>
      </c>
      <c r="D161" s="61" t="s">
        <v>3569</v>
      </c>
      <c r="E161" s="11" t="str">
        <f>HYPERLINK("https://youtu.be/nC1mdS4bl9M?t=953","channel 1")</f>
        <v>channel 1</v>
      </c>
    </row>
    <row r="162">
      <c r="B162" s="61" t="s">
        <v>1416</v>
      </c>
      <c r="C162" s="94" t="s">
        <v>209</v>
      </c>
      <c r="D162" s="61" t="s">
        <v>3506</v>
      </c>
      <c r="E162" s="11" t="str">
        <f>HYPERLINK("https://youtu.be/j-fVVDcarI0?t=2092","channel 2")</f>
        <v>channel 2</v>
      </c>
    </row>
    <row r="163">
      <c r="B163" s="61" t="s">
        <v>3570</v>
      </c>
      <c r="C163" s="94" t="s">
        <v>439</v>
      </c>
      <c r="D163" s="61" t="s">
        <v>3568</v>
      </c>
      <c r="E163" s="11" t="str">
        <f>HYPERLINK("https://youtu.be/nC1mdS4bl9M?t=1890","channel 1")</f>
        <v>channel 1</v>
      </c>
    </row>
    <row r="164">
      <c r="B164" s="61" t="s">
        <v>3569</v>
      </c>
      <c r="C164" s="94" t="s">
        <v>545</v>
      </c>
      <c r="D164" s="61" t="s">
        <v>3506</v>
      </c>
      <c r="E164" s="11" t="str">
        <f>HYPERLINK("https://youtu.be/j-fVVDcarI0?t=3041","channel 2")</f>
        <v>channel 2</v>
      </c>
    </row>
    <row r="165">
      <c r="B165" s="61" t="s">
        <v>3570</v>
      </c>
      <c r="C165" s="94" t="s">
        <v>43</v>
      </c>
      <c r="D165" s="61" t="s">
        <v>1416</v>
      </c>
      <c r="E165" s="11" t="str">
        <f>HYPERLINK("https://youtu.be/nC1mdS4bl9M?t=2931","channel 1")</f>
        <v>channel 1</v>
      </c>
    </row>
    <row r="166">
      <c r="B166" s="61" t="s">
        <v>3569</v>
      </c>
      <c r="C166" s="94" t="s">
        <v>184</v>
      </c>
      <c r="D166" s="61" t="s">
        <v>3568</v>
      </c>
      <c r="E166" s="11" t="str">
        <f>HYPERLINK("https://youtu.be/j-fVVDcarI0?t=4063","channel 2")</f>
        <v>channel 2</v>
      </c>
    </row>
    <row r="167">
      <c r="B167" s="61" t="s">
        <v>3568</v>
      </c>
      <c r="C167" s="94" t="s">
        <v>155</v>
      </c>
      <c r="D167" s="61" t="s">
        <v>3506</v>
      </c>
      <c r="E167" s="11" t="str">
        <f>HYPERLINK("https://youtu.be/nC1mdS4bl9M?t=3881","channel 1")</f>
        <v>channel 1</v>
      </c>
    </row>
    <row r="168">
      <c r="B168" s="61" t="s">
        <v>3569</v>
      </c>
      <c r="C168" s="94" t="s">
        <v>958</v>
      </c>
      <c r="D168" s="61" t="s">
        <v>1416</v>
      </c>
      <c r="E168" s="11" t="str">
        <f>HYPERLINK("https://youtu.be/j-fVVDcarI0?t=5049","channel 2")</f>
        <v>channel 2</v>
      </c>
    </row>
    <row r="169">
      <c r="B169" s="61" t="s">
        <v>3506</v>
      </c>
      <c r="C169" s="94" t="s">
        <v>3571</v>
      </c>
      <c r="D169" s="61" t="s">
        <v>3570</v>
      </c>
      <c r="E169" s="11" t="str">
        <f>HYPERLINK("https://youtu.be/nC1mdS4bl9M?t=4738","channel 1")</f>
        <v>channel 1</v>
      </c>
    </row>
    <row r="170">
      <c r="B170" s="61" t="s">
        <v>3568</v>
      </c>
      <c r="C170" s="94" t="s">
        <v>184</v>
      </c>
      <c r="D170" s="61" t="s">
        <v>1416</v>
      </c>
      <c r="E170" s="11" t="str">
        <f>HYPERLINK("https://youtu.be/j-fVVDcarI0?t=5990","channel 2")</f>
        <v>channel 2</v>
      </c>
    </row>
    <row r="171">
      <c r="B171" s="61" t="s">
        <v>3569</v>
      </c>
      <c r="C171" s="94" t="s">
        <v>193</v>
      </c>
      <c r="D171" s="61" t="s">
        <v>3570</v>
      </c>
      <c r="E171" s="11" t="str">
        <f>HYPERLINK("https://youtu.be/nC1mdS4bl9M?t=5675","channel 1")</f>
        <v>channel 1</v>
      </c>
    </row>
    <row r="172">
      <c r="B172" s="61" t="s">
        <v>3506</v>
      </c>
      <c r="C172" s="94" t="s">
        <v>173</v>
      </c>
      <c r="D172" s="61" t="s">
        <v>1416</v>
      </c>
      <c r="E172" s="11" t="str">
        <f>HYPERLINK("https://youtu.be/j-fVVDcarI0?t=6908","channel 2")</f>
        <v>channel 2</v>
      </c>
    </row>
    <row r="173">
      <c r="B173" s="61" t="s">
        <v>3568</v>
      </c>
      <c r="C173" s="94" t="s">
        <v>155</v>
      </c>
      <c r="D173" s="61" t="s">
        <v>3570</v>
      </c>
      <c r="E173" s="11" t="str">
        <f>HYPERLINK("https://youtu.be/nC1mdS4bl9M?t=6602","channel 1")</f>
        <v>channel 1</v>
      </c>
    </row>
    <row r="174">
      <c r="B174" s="61" t="s">
        <v>3506</v>
      </c>
      <c r="C174" s="94" t="s">
        <v>448</v>
      </c>
      <c r="D174" s="61" t="s">
        <v>3569</v>
      </c>
      <c r="E174" s="11" t="str">
        <f>HYPERLINK("https://youtu.be/j-fVVDcarI0?t=7764","channel 2")</f>
        <v>channel 2</v>
      </c>
    </row>
    <row r="175">
      <c r="B175" s="61" t="s">
        <v>1416</v>
      </c>
      <c r="C175" s="94" t="s">
        <v>162</v>
      </c>
      <c r="D175" s="61" t="s">
        <v>3570</v>
      </c>
      <c r="E175" s="11" t="str">
        <f>HYPERLINK("https://youtu.be/nC1mdS4bl9M?t=7589","channel 1")</f>
        <v>channel 1</v>
      </c>
    </row>
    <row r="176">
      <c r="B176" s="61" t="s">
        <v>3568</v>
      </c>
      <c r="C176" s="94" t="s">
        <v>442</v>
      </c>
      <c r="D176" s="61" t="s">
        <v>3569</v>
      </c>
      <c r="E176" s="11" t="str">
        <f>HYPERLINK("https://youtu.be/j-fVVDcarI0?t=8696","channel 2")</f>
        <v>channel 2</v>
      </c>
    </row>
    <row r="177">
      <c r="B177" s="96" t="s">
        <v>2666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1165</v>
      </c>
      <c r="C179" s="94" t="s">
        <v>917</v>
      </c>
      <c r="D179" s="61" t="s">
        <v>1183</v>
      </c>
      <c r="E179" s="69" t="str">
        <f>HYPERLINK("https://youtu.be/AoM_QqQTmBo?t=1746","channel 3")</f>
        <v>channel 3</v>
      </c>
    </row>
    <row r="180">
      <c r="B180" s="133" t="s">
        <v>3425</v>
      </c>
      <c r="C180" s="94" t="s">
        <v>281</v>
      </c>
      <c r="D180" s="133" t="s">
        <v>3245</v>
      </c>
      <c r="E180" s="138" t="str">
        <f>HYPERLINK("https://youtu.be/yeE8qPS7WHc","channel 4")</f>
        <v>channel 4</v>
      </c>
    </row>
    <row r="181">
      <c r="B181" s="62" t="s">
        <v>3572</v>
      </c>
      <c r="C181" s="94" t="s">
        <v>173</v>
      </c>
      <c r="D181" s="62" t="s">
        <v>1165</v>
      </c>
      <c r="E181" s="69" t="str">
        <f>HYPERLINK("https://youtu.be/AoM_QqQTmBo?t=2678","channel 3")</f>
        <v>channel 3</v>
      </c>
    </row>
    <row r="182">
      <c r="B182" s="133" t="s">
        <v>3425</v>
      </c>
      <c r="C182" s="94" t="s">
        <v>176</v>
      </c>
      <c r="D182" s="114" t="s">
        <v>1183</v>
      </c>
      <c r="E182" s="138" t="str">
        <f>HYPERLINK("https://youtu.be/yeE8qPS7WHc?t=1029","channel 4")</f>
        <v>channel 4</v>
      </c>
    </row>
    <row r="183">
      <c r="B183" s="62" t="s">
        <v>3572</v>
      </c>
      <c r="C183" s="94" t="s">
        <v>163</v>
      </c>
      <c r="D183" s="62" t="s">
        <v>3245</v>
      </c>
      <c r="E183" s="69" t="str">
        <f>HYPERLINK("https://youtu.be/AoM_QqQTmBo?t=3611","channel 3")</f>
        <v>channel 3</v>
      </c>
    </row>
    <row r="184">
      <c r="B184" s="133" t="s">
        <v>3425</v>
      </c>
      <c r="C184" s="94" t="s">
        <v>459</v>
      </c>
      <c r="D184" s="133" t="s">
        <v>1165</v>
      </c>
      <c r="E184" s="138" t="str">
        <f>HYPERLINK("https://youtu.be/yeE8qPS7WHc?t=1922","channel 4")</f>
        <v>channel 4</v>
      </c>
    </row>
    <row r="185">
      <c r="B185" s="62" t="s">
        <v>3572</v>
      </c>
      <c r="C185" s="94" t="s">
        <v>383</v>
      </c>
      <c r="D185" s="61" t="s">
        <v>1183</v>
      </c>
      <c r="E185" s="69" t="str">
        <f>HYPERLINK("https://youtu.be/AoM_QqQTmBo?t=4539","channel 3")</f>
        <v>channel 3</v>
      </c>
    </row>
    <row r="186">
      <c r="B186" s="133" t="s">
        <v>3245</v>
      </c>
      <c r="C186" s="94" t="s">
        <v>1227</v>
      </c>
      <c r="D186" s="133" t="s">
        <v>1165</v>
      </c>
      <c r="E186" s="138" t="str">
        <f>HYPERLINK("https://youtu.be/yeE8qPS7WHc?t=2869","channel 4")</f>
        <v>channel 4</v>
      </c>
    </row>
    <row r="187">
      <c r="B187" s="62" t="s">
        <v>3572</v>
      </c>
      <c r="C187" s="94" t="s">
        <v>173</v>
      </c>
      <c r="D187" s="62" t="s">
        <v>3425</v>
      </c>
      <c r="E187" s="69" t="str">
        <f>HYPERLINK("https://youtu.be/AoM_QqQTmBo?t=5471","channel 3")</f>
        <v>channel 3</v>
      </c>
    </row>
    <row r="188">
      <c r="B188" s="133" t="s">
        <v>3245</v>
      </c>
      <c r="C188" s="94" t="s">
        <v>203</v>
      </c>
      <c r="D188" s="114" t="s">
        <v>1183</v>
      </c>
      <c r="E188" s="138" t="str">
        <f>HYPERLINK("https://youtu.be/yeE8qPS7WHc?t=3784","channel 4")</f>
        <v>channel 4</v>
      </c>
    </row>
    <row r="189">
      <c r="B189" s="61" t="s">
        <v>1183</v>
      </c>
      <c r="C189" s="94" t="s">
        <v>825</v>
      </c>
      <c r="D189" s="62" t="s">
        <v>1165</v>
      </c>
      <c r="E189" s="69" t="str">
        <f>HYPERLINK("https://youtu.be/AoM_QqQTmBo?t=6382","channel 3")</f>
        <v>channel 3</v>
      </c>
    </row>
    <row r="190">
      <c r="B190" s="133" t="s">
        <v>3245</v>
      </c>
      <c r="C190" s="94" t="s">
        <v>380</v>
      </c>
      <c r="D190" s="133" t="s">
        <v>3425</v>
      </c>
      <c r="E190" s="138" t="str">
        <f>HYPERLINK("https://youtu.be/yeE8qPS7WHc?t=4715","channel 4")</f>
        <v>channel 4</v>
      </c>
    </row>
    <row r="191">
      <c r="B191" s="133" t="s">
        <v>1165</v>
      </c>
      <c r="C191" s="94" t="s">
        <v>209</v>
      </c>
      <c r="D191" s="133" t="s">
        <v>3572</v>
      </c>
      <c r="E191" s="69" t="str">
        <f>HYPERLINK("https://youtu.be/AoM_QqQTmBo?t=7330","channel 3")</f>
        <v>channel 3</v>
      </c>
    </row>
    <row r="192">
      <c r="B192" s="114" t="s">
        <v>1183</v>
      </c>
      <c r="C192" s="94" t="s">
        <v>227</v>
      </c>
      <c r="D192" s="133" t="s">
        <v>3425</v>
      </c>
      <c r="E192" s="138" t="str">
        <f>HYPERLINK("https://youtu.be/yeE8qPS7WHc?t=5636","channel 4")</f>
        <v>channel 4</v>
      </c>
    </row>
    <row r="193">
      <c r="B193" s="62" t="s">
        <v>3245</v>
      </c>
      <c r="C193" s="94" t="s">
        <v>155</v>
      </c>
      <c r="D193" s="62" t="s">
        <v>3572</v>
      </c>
      <c r="E193" s="69" t="str">
        <f>HYPERLINK("https://youtu.be/AoM_QqQTmBo?t=8237","channel 3")</f>
        <v>channel 3</v>
      </c>
    </row>
    <row r="194">
      <c r="B194" s="133" t="s">
        <v>1165</v>
      </c>
      <c r="C194" s="94" t="s">
        <v>344</v>
      </c>
      <c r="D194" s="133" t="s">
        <v>3425</v>
      </c>
      <c r="E194" s="138" t="str">
        <f>HYPERLINK("https://youtu.be/yeE8qPS7WHc?t=6556","channel 4")</f>
        <v>channel 4</v>
      </c>
    </row>
    <row r="195">
      <c r="B195" s="61" t="s">
        <v>1183</v>
      </c>
      <c r="C195" s="94" t="s">
        <v>173</v>
      </c>
      <c r="D195" s="62" t="s">
        <v>3572</v>
      </c>
      <c r="E195" s="69" t="str">
        <f>HYPERLINK("https://youtu.be/AoM_QqQTmBo?t=9176","channel 3")</f>
        <v>channel 3</v>
      </c>
    </row>
    <row r="196">
      <c r="B196" s="133" t="s">
        <v>1165</v>
      </c>
      <c r="C196" s="94" t="s">
        <v>41</v>
      </c>
      <c r="D196" s="133" t="s">
        <v>3245</v>
      </c>
      <c r="E196" s="138" t="str">
        <f>HYPERLINK("https://youtu.be/yeE8qPS7WHc?t=7491","channel 4")</f>
        <v>channel 4</v>
      </c>
    </row>
    <row r="197">
      <c r="B197" s="133" t="s">
        <v>3425</v>
      </c>
      <c r="C197" s="94" t="s">
        <v>155</v>
      </c>
      <c r="D197" s="133" t="s">
        <v>3572</v>
      </c>
      <c r="E197" s="69" t="str">
        <f>HYPERLINK("https://youtu.be/AoM_QqQTmBo?t=10086","channel 3")</f>
        <v>channel 3</v>
      </c>
    </row>
    <row r="198">
      <c r="B198" s="114" t="s">
        <v>1183</v>
      </c>
      <c r="C198" s="94" t="s">
        <v>354</v>
      </c>
      <c r="D198" s="133" t="s">
        <v>3245</v>
      </c>
      <c r="E198" s="138" t="str">
        <f>HYPERLINK("https://youtu.be/yeE8qPS7WHc?t=8403","channel 4")</f>
        <v>channel 4</v>
      </c>
    </row>
    <row r="199">
      <c r="B199" s="96" t="s">
        <v>2712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2561</v>
      </c>
      <c r="C201" s="94" t="s">
        <v>19</v>
      </c>
      <c r="D201" s="61" t="s">
        <v>1795</v>
      </c>
      <c r="E201" s="69" t="str">
        <f>HYPERLINK("https://youtu.be/pUdJcW0XlVU","channel 3")</f>
        <v>channel 3</v>
      </c>
    </row>
    <row r="202">
      <c r="B202" s="114" t="s">
        <v>3573</v>
      </c>
      <c r="C202" s="94" t="s">
        <v>344</v>
      </c>
      <c r="D202" s="133" t="s">
        <v>3574</v>
      </c>
      <c r="E202" s="138" t="str">
        <f>HYPERLINK("https://youtu.be/iKL-o2h-QDs","channel 4")</f>
        <v>channel 4</v>
      </c>
    </row>
    <row r="203">
      <c r="B203" s="62" t="s">
        <v>3575</v>
      </c>
      <c r="C203" s="94" t="s">
        <v>439</v>
      </c>
      <c r="D203" s="62" t="s">
        <v>2561</v>
      </c>
      <c r="E203" s="69" t="str">
        <f>HYPERLINK("https://youtu.be/pUdJcW0XlVU?t=1102","channel 3")</f>
        <v>channel 3</v>
      </c>
    </row>
    <row r="204">
      <c r="B204" s="114" t="s">
        <v>3573</v>
      </c>
      <c r="C204" s="94" t="s">
        <v>18</v>
      </c>
      <c r="D204" s="114" t="s">
        <v>1795</v>
      </c>
      <c r="E204" s="138" t="str">
        <f>HYPERLINK("https://youtu.be/iKL-o2h-QDs?t=985","channel 4")</f>
        <v>channel 4</v>
      </c>
    </row>
    <row r="205">
      <c r="B205" s="62" t="s">
        <v>3575</v>
      </c>
      <c r="C205" s="94" t="s">
        <v>183</v>
      </c>
      <c r="D205" s="62" t="s">
        <v>3574</v>
      </c>
      <c r="E205" s="69" t="str">
        <f>HYPERLINK("https://youtu.be/pUdJcW0XlVU?t=2050","channel 3")</f>
        <v>channel 3</v>
      </c>
    </row>
    <row r="206">
      <c r="B206" s="114" t="s">
        <v>3573</v>
      </c>
      <c r="C206" s="94" t="s">
        <v>324</v>
      </c>
      <c r="D206" s="133" t="s">
        <v>2561</v>
      </c>
      <c r="E206" s="138" t="str">
        <f>HYPERLINK("https://youtu.be/iKL-o2h-QDs?t=1911","channel 4")</f>
        <v>channel 4</v>
      </c>
    </row>
    <row r="207">
      <c r="B207" s="62" t="s">
        <v>3575</v>
      </c>
      <c r="C207" s="94" t="s">
        <v>549</v>
      </c>
      <c r="D207" s="61" t="s">
        <v>1795</v>
      </c>
      <c r="E207" s="69" t="str">
        <f>HYPERLINK("https://youtu.be/pUdJcW0XlVU?t=3010","channel 3")</f>
        <v>channel 3</v>
      </c>
    </row>
    <row r="208">
      <c r="B208" s="133" t="s">
        <v>3574</v>
      </c>
      <c r="C208" s="94" t="s">
        <v>209</v>
      </c>
      <c r="D208" s="133" t="s">
        <v>2561</v>
      </c>
      <c r="E208" s="138" t="str">
        <f>HYPERLINK("https://youtu.be/iKL-o2h-QDs?t=2858","channel 4")</f>
        <v>channel 4</v>
      </c>
    </row>
    <row r="209">
      <c r="B209" s="62" t="s">
        <v>3575</v>
      </c>
      <c r="C209" s="94" t="s">
        <v>257</v>
      </c>
      <c r="D209" s="61" t="s">
        <v>3573</v>
      </c>
      <c r="E209" s="69" t="str">
        <f>HYPERLINK("https://youtu.be/pUdJcW0XlVU?t=3924","channel 3")</f>
        <v>channel 3</v>
      </c>
    </row>
    <row r="210">
      <c r="B210" s="133" t="s">
        <v>3574</v>
      </c>
      <c r="C210" s="94" t="s">
        <v>18</v>
      </c>
      <c r="D210" s="114" t="s">
        <v>1795</v>
      </c>
      <c r="E210" s="138" t="str">
        <f>HYPERLINK("https://youtu.be/iKL-o2h-QDs?t=3848","channel 4")</f>
        <v>channel 4</v>
      </c>
    </row>
    <row r="211">
      <c r="B211" s="61" t="s">
        <v>1795</v>
      </c>
      <c r="C211" s="94" t="s">
        <v>7</v>
      </c>
      <c r="D211" s="62" t="s">
        <v>2561</v>
      </c>
      <c r="E211" s="69" t="str">
        <f>HYPERLINK("https://youtu.be/pUdJcW0XlVU?t=4836","channel 3")</f>
        <v>channel 3</v>
      </c>
    </row>
    <row r="212">
      <c r="B212" s="133" t="s">
        <v>3574</v>
      </c>
      <c r="C212" s="94" t="s">
        <v>208</v>
      </c>
      <c r="D212" s="114" t="s">
        <v>3573</v>
      </c>
      <c r="E212" s="138" t="str">
        <f>HYPERLINK("https://youtu.be/iKL-o2h-QDs?t=4767","channel 4")</f>
        <v>channel 4</v>
      </c>
    </row>
    <row r="213">
      <c r="B213" s="62" t="s">
        <v>2561</v>
      </c>
      <c r="C213" s="94" t="s">
        <v>195</v>
      </c>
      <c r="D213" s="62" t="s">
        <v>3575</v>
      </c>
      <c r="E213" s="69" t="str">
        <f>HYPERLINK("https://youtu.be/pUdJcW0XlVU?t=5786","channel 3")</f>
        <v>channel 3</v>
      </c>
    </row>
    <row r="214">
      <c r="B214" s="114" t="s">
        <v>1795</v>
      </c>
      <c r="C214" s="94" t="s">
        <v>16</v>
      </c>
      <c r="D214" s="114" t="s">
        <v>3573</v>
      </c>
      <c r="E214" s="138" t="str">
        <f>HYPERLINK("https://youtu.be/iKL-o2h-QDs?t=5662","channel 4")</f>
        <v>channel 4</v>
      </c>
    </row>
    <row r="215">
      <c r="B215" s="62" t="s">
        <v>3574</v>
      </c>
      <c r="C215" s="94" t="s">
        <v>440</v>
      </c>
      <c r="D215" s="62" t="s">
        <v>3575</v>
      </c>
      <c r="E215" s="69" t="str">
        <f>HYPERLINK("https://youtu.be/pUdJcW0XlVU?t=6703","channel 3")</f>
        <v>channel 3</v>
      </c>
    </row>
    <row r="216">
      <c r="B216" s="133" t="s">
        <v>2561</v>
      </c>
      <c r="C216" s="94" t="s">
        <v>219</v>
      </c>
      <c r="D216" s="114" t="s">
        <v>3573</v>
      </c>
      <c r="E216" s="138" t="str">
        <f>HYPERLINK("https://youtu.be/iKL-o2h-QDs?t=6577","channel 4")</f>
        <v>channel 4</v>
      </c>
    </row>
    <row r="217">
      <c r="B217" s="61" t="s">
        <v>1795</v>
      </c>
      <c r="C217" s="94" t="s">
        <v>225</v>
      </c>
      <c r="D217" s="62" t="s">
        <v>3575</v>
      </c>
      <c r="E217" s="69" t="str">
        <f>HYPERLINK("https://youtu.be/pUdJcW0XlVU?t=7737","channel 3")</f>
        <v>channel 3</v>
      </c>
    </row>
    <row r="218">
      <c r="B218" s="133" t="s">
        <v>2561</v>
      </c>
      <c r="C218" s="94" t="s">
        <v>301</v>
      </c>
      <c r="D218" s="133" t="s">
        <v>3574</v>
      </c>
      <c r="E218" s="138" t="str">
        <f>HYPERLINK("https://youtu.be/iKL-o2h-QDs?t=7495","channel 4")</f>
        <v>channel 4</v>
      </c>
    </row>
    <row r="219">
      <c r="B219" s="61" t="s">
        <v>3573</v>
      </c>
      <c r="C219" s="94" t="s">
        <v>184</v>
      </c>
      <c r="D219" s="62" t="s">
        <v>3575</v>
      </c>
      <c r="E219" s="69" t="str">
        <f>HYPERLINK("https://youtu.be/pUdJcW0XlVU?t=8691","channel 3")</f>
        <v>channel 3</v>
      </c>
    </row>
    <row r="220">
      <c r="B220" s="114" t="s">
        <v>1795</v>
      </c>
      <c r="C220" s="94" t="s">
        <v>42</v>
      </c>
      <c r="D220" s="133" t="s">
        <v>3574</v>
      </c>
      <c r="E220" s="138" t="str">
        <f>HYPERLINK("https://youtu.be/iKL-o2h-QDs?t=8560","channel 4")</f>
        <v>channel 4</v>
      </c>
    </row>
    <row r="221">
      <c r="B221" s="96" t="s">
        <v>3576</v>
      </c>
      <c r="C221" s="2"/>
      <c r="D221" s="3"/>
      <c r="E221" s="53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62" t="s">
        <v>2782</v>
      </c>
      <c r="C223" s="94" t="s">
        <v>517</v>
      </c>
      <c r="D223" s="62" t="s">
        <v>1749</v>
      </c>
      <c r="E223" s="11" t="str">
        <f>HYPERLINK("https://youtu.be/ODqDY5LPVis","channel 1")</f>
        <v>channel 1</v>
      </c>
    </row>
    <row r="224">
      <c r="B224" s="62" t="s">
        <v>1883</v>
      </c>
      <c r="C224" s="94" t="s">
        <v>219</v>
      </c>
      <c r="D224" s="62" t="s">
        <v>3369</v>
      </c>
      <c r="E224" s="11" t="str">
        <f>HYPERLINK("https://youtu.be/Sv_sVUdDVxA","channel 2")</f>
        <v>channel 2</v>
      </c>
    </row>
    <row r="225">
      <c r="B225" s="62" t="s">
        <v>3263</v>
      </c>
      <c r="C225" s="94" t="s">
        <v>279</v>
      </c>
      <c r="D225" s="62" t="s">
        <v>2782</v>
      </c>
      <c r="E225" s="11" t="str">
        <f>HYPERLINK("https://youtu.be/ODqDY5LPVis?t=1029","channel 1")</f>
        <v>channel 1</v>
      </c>
    </row>
    <row r="226">
      <c r="B226" s="62" t="s">
        <v>1883</v>
      </c>
      <c r="C226" s="94" t="s">
        <v>41</v>
      </c>
      <c r="D226" s="62" t="s">
        <v>1749</v>
      </c>
      <c r="E226" s="11" t="str">
        <f>HYPERLINK("https://youtu.be/Sv_sVUdDVxA?t=1085","channel 2")</f>
        <v>channel 2</v>
      </c>
    </row>
    <row r="227">
      <c r="B227" s="62" t="s">
        <v>3263</v>
      </c>
      <c r="C227" s="94" t="s">
        <v>319</v>
      </c>
      <c r="D227" s="62" t="s">
        <v>3369</v>
      </c>
      <c r="E227" s="11" t="str">
        <f>HYPERLINK("https://youtu.be/ODqDY5LPVis?t=1945","channel 1")</f>
        <v>channel 1</v>
      </c>
    </row>
    <row r="228">
      <c r="B228" s="62" t="s">
        <v>1883</v>
      </c>
      <c r="C228" s="94" t="s">
        <v>394</v>
      </c>
      <c r="D228" s="62" t="s">
        <v>2782</v>
      </c>
      <c r="E228" s="11" t="str">
        <f>HYPERLINK("https://youtu.be/Sv_sVUdDVxA?t=1999","channel 2")</f>
        <v>channel 2</v>
      </c>
    </row>
    <row r="229">
      <c r="B229" s="62" t="s">
        <v>3263</v>
      </c>
      <c r="C229" s="94" t="s">
        <v>181</v>
      </c>
      <c r="D229" s="62" t="s">
        <v>1749</v>
      </c>
      <c r="E229" s="11" t="str">
        <f>HYPERLINK("https://youtu.be/ODqDY5LPVis?t=2888","channel 1")</f>
        <v>channel 1</v>
      </c>
    </row>
    <row r="230">
      <c r="B230" s="62" t="s">
        <v>3369</v>
      </c>
      <c r="C230" s="94" t="s">
        <v>168</v>
      </c>
      <c r="D230" s="62" t="s">
        <v>2782</v>
      </c>
      <c r="E230" s="11" t="str">
        <f>HYPERLINK("https://youtu.be/Sv_sVUdDVxA?t=2965","channel 2")</f>
        <v>channel 2</v>
      </c>
    </row>
    <row r="231">
      <c r="B231" s="62" t="s">
        <v>3263</v>
      </c>
      <c r="C231" s="94" t="s">
        <v>225</v>
      </c>
      <c r="D231" s="62" t="s">
        <v>1883</v>
      </c>
      <c r="E231" s="11" t="str">
        <f>HYPERLINK("https://youtu.be/ODqDY5LPVis?t=3881","channel 1")</f>
        <v>channel 1</v>
      </c>
    </row>
    <row r="232">
      <c r="B232" s="62" t="s">
        <v>3369</v>
      </c>
      <c r="C232" s="94" t="s">
        <v>24</v>
      </c>
      <c r="D232" s="62" t="s">
        <v>1749</v>
      </c>
      <c r="E232" s="11" t="str">
        <f>HYPERLINK("https://youtu.be/Sv_sVUdDVxA?t=3938","channel 2")</f>
        <v>channel 2</v>
      </c>
    </row>
    <row r="233">
      <c r="B233" s="62" t="s">
        <v>1749</v>
      </c>
      <c r="C233" s="94" t="s">
        <v>231</v>
      </c>
      <c r="D233" s="62" t="s">
        <v>2782</v>
      </c>
      <c r="E233" s="11" t="str">
        <f>HYPERLINK("https://youtu.be/ODqDY5LPVis?t=4793","channel 1")</f>
        <v>channel 1</v>
      </c>
    </row>
    <row r="234">
      <c r="B234" s="62" t="s">
        <v>3369</v>
      </c>
      <c r="C234" s="94" t="s">
        <v>209</v>
      </c>
      <c r="D234" s="62" t="s">
        <v>1883</v>
      </c>
      <c r="E234" s="11" t="str">
        <f>HYPERLINK("https://youtu.be/Sv_sVUdDVxA?t=4833","channel 2")</f>
        <v>channel 2</v>
      </c>
    </row>
    <row r="235">
      <c r="B235" s="62" t="s">
        <v>2782</v>
      </c>
      <c r="C235" s="94" t="s">
        <v>786</v>
      </c>
      <c r="D235" s="62" t="s">
        <v>3263</v>
      </c>
      <c r="E235" s="11" t="str">
        <f>HYPERLINK("https://youtu.be/ODqDY5LPVis?t=5712","channel 1")</f>
        <v>channel 1</v>
      </c>
    </row>
    <row r="236">
      <c r="B236" s="62" t="s">
        <v>1749</v>
      </c>
      <c r="C236" s="94" t="s">
        <v>38</v>
      </c>
      <c r="D236" s="62" t="s">
        <v>1883</v>
      </c>
      <c r="E236" s="11" t="str">
        <f>HYPERLINK("https://youtu.be/Sv_sVUdDVxA?t=5759","channel 2")</f>
        <v>channel 2</v>
      </c>
    </row>
    <row r="237">
      <c r="B237" s="62" t="s">
        <v>3369</v>
      </c>
      <c r="C237" s="94" t="s">
        <v>1149</v>
      </c>
      <c r="D237" s="62" t="s">
        <v>3263</v>
      </c>
      <c r="E237" s="11" t="str">
        <f>HYPERLINK("https://youtu.be/ODqDY5LPVis?t=6746","channel 1")</f>
        <v>channel 1</v>
      </c>
    </row>
    <row r="238">
      <c r="B238" s="62" t="s">
        <v>2782</v>
      </c>
      <c r="C238" s="94" t="s">
        <v>351</v>
      </c>
      <c r="D238" s="62" t="s">
        <v>1883</v>
      </c>
      <c r="E238" s="11" t="str">
        <f>HYPERLINK("https://youtu.be/Sv_sVUdDVxA?t=6792","channel 2")</f>
        <v>channel 2</v>
      </c>
    </row>
    <row r="239">
      <c r="B239" s="62" t="s">
        <v>1749</v>
      </c>
      <c r="C239" s="94" t="s">
        <v>301</v>
      </c>
      <c r="D239" s="62" t="s">
        <v>3263</v>
      </c>
      <c r="E239" s="11" t="str">
        <f>HYPERLINK("https://youtu.be/ODqDY5LPVis?t=7689","channel 1")</f>
        <v>channel 1</v>
      </c>
    </row>
    <row r="240">
      <c r="B240" s="62" t="s">
        <v>2782</v>
      </c>
      <c r="C240" s="94" t="s">
        <v>344</v>
      </c>
      <c r="D240" s="62" t="s">
        <v>3369</v>
      </c>
      <c r="E240" s="11" t="str">
        <f>HYPERLINK("https://youtu.be/Sv_sVUdDVxA?t=7745","channel 2")</f>
        <v>channel 2</v>
      </c>
    </row>
    <row r="241">
      <c r="B241" s="62" t="s">
        <v>1883</v>
      </c>
      <c r="C241" s="94" t="s">
        <v>1419</v>
      </c>
      <c r="D241" s="62" t="s">
        <v>3263</v>
      </c>
      <c r="E241" s="11" t="str">
        <f>HYPERLINK("https://youtu.be/ODqDY5LPVis?t=8648","channel 1")</f>
        <v>channel 1</v>
      </c>
    </row>
    <row r="242">
      <c r="B242" s="62" t="s">
        <v>1749</v>
      </c>
      <c r="C242" s="94" t="s">
        <v>175</v>
      </c>
      <c r="D242" s="62" t="s">
        <v>3369</v>
      </c>
      <c r="E242" s="11" t="str">
        <f>HYPERLINK("https://youtu.be/Sv_sVUdDVxA?t=8708","channel 2")</f>
        <v>channel 2</v>
      </c>
    </row>
    <row r="243">
      <c r="B243" s="96" t="s">
        <v>2565</v>
      </c>
      <c r="C243" s="2"/>
      <c r="D243" s="3"/>
      <c r="E243" s="53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62" t="s">
        <v>2795</v>
      </c>
      <c r="C245" s="94" t="s">
        <v>166</v>
      </c>
      <c r="D245" s="62" t="s">
        <v>2587</v>
      </c>
      <c r="E245" s="11" t="str">
        <f>HYPERLINK("https://youtu.be/PjuW44I-x5k","channel 1")</f>
        <v>channel 1</v>
      </c>
    </row>
    <row r="246">
      <c r="B246" s="62" t="s">
        <v>475</v>
      </c>
      <c r="C246" s="94" t="s">
        <v>184</v>
      </c>
      <c r="D246" s="62" t="s">
        <v>2613</v>
      </c>
      <c r="E246" s="11" t="str">
        <f>HYPERLINK("https://youtu.be/DfRmCUJwHQk","channel 2")</f>
        <v>channel 2</v>
      </c>
    </row>
    <row r="247">
      <c r="B247" s="62" t="s">
        <v>1709</v>
      </c>
      <c r="C247" s="94" t="s">
        <v>248</v>
      </c>
      <c r="D247" s="62" t="s">
        <v>2795</v>
      </c>
      <c r="E247" s="11" t="str">
        <f>HYPERLINK("https://youtu.be/PjuW44I-x5k?t=961","channel 1")</f>
        <v>channel 1</v>
      </c>
    </row>
    <row r="248">
      <c r="B248" s="62" t="s">
        <v>475</v>
      </c>
      <c r="C248" s="94" t="s">
        <v>2228</v>
      </c>
      <c r="D248" s="62" t="s">
        <v>2587</v>
      </c>
      <c r="E248" s="11" t="str">
        <f>HYPERLINK("https://youtu.be/DfRmCUJwHQk?t=1011","channel 2")</f>
        <v>channel 2</v>
      </c>
    </row>
    <row r="249">
      <c r="B249" s="62" t="s">
        <v>1709</v>
      </c>
      <c r="C249" s="94" t="s">
        <v>910</v>
      </c>
      <c r="D249" s="62" t="s">
        <v>2613</v>
      </c>
      <c r="E249" s="11" t="str">
        <f>HYPERLINK("https://youtu.be/PjuW44I-x5k?t=2064","channel 1")</f>
        <v>channel 1</v>
      </c>
    </row>
    <row r="250">
      <c r="B250" s="62" t="s">
        <v>475</v>
      </c>
      <c r="C250" s="94" t="s">
        <v>556</v>
      </c>
      <c r="D250" s="62" t="s">
        <v>2795</v>
      </c>
      <c r="E250" s="11" t="str">
        <f>HYPERLINK("https://youtu.be/DfRmCUJwHQk?t=2107","channel 2")</f>
        <v>channel 2</v>
      </c>
    </row>
    <row r="251">
      <c r="B251" s="62" t="s">
        <v>1709</v>
      </c>
      <c r="C251" s="94" t="s">
        <v>786</v>
      </c>
      <c r="D251" s="62" t="s">
        <v>2587</v>
      </c>
      <c r="E251" s="11" t="str">
        <f>HYPERLINK("https://youtu.be/PjuW44I-x5k?t=3117","channel 1")</f>
        <v>channel 1</v>
      </c>
    </row>
    <row r="252">
      <c r="B252" s="62" t="s">
        <v>2613</v>
      </c>
      <c r="C252" s="94" t="s">
        <v>547</v>
      </c>
      <c r="D252" s="62" t="s">
        <v>2795</v>
      </c>
      <c r="E252" s="11" t="str">
        <f>HYPERLINK("https://youtu.be/DfRmCUJwHQk?t=3161","channel 2")</f>
        <v>channel 2</v>
      </c>
    </row>
    <row r="253">
      <c r="B253" s="62" t="s">
        <v>1709</v>
      </c>
      <c r="C253" s="94" t="s">
        <v>218</v>
      </c>
      <c r="D253" s="62" t="s">
        <v>475</v>
      </c>
      <c r="E253" s="11" t="str">
        <f>HYPERLINK("https://youtu.be/PjuW44I-x5k?t=4069","channel 1")</f>
        <v>channel 1</v>
      </c>
    </row>
    <row r="254">
      <c r="B254" s="62" t="s">
        <v>2613</v>
      </c>
      <c r="C254" s="94" t="s">
        <v>1814</v>
      </c>
      <c r="D254" s="62" t="s">
        <v>2587</v>
      </c>
      <c r="E254" s="11" t="str">
        <f>HYPERLINK("https://youtu.be/DfRmCUJwHQk?t=4113","channel 2")</f>
        <v>channel 2</v>
      </c>
    </row>
    <row r="255">
      <c r="B255" s="62" t="s">
        <v>2587</v>
      </c>
      <c r="C255" s="94" t="s">
        <v>162</v>
      </c>
      <c r="D255" s="62" t="s">
        <v>2795</v>
      </c>
      <c r="E255" s="11" t="str">
        <f>HYPERLINK("https://youtu.be/PjuW44I-x5k?t=4960","channel 1")</f>
        <v>channel 1</v>
      </c>
    </row>
    <row r="256">
      <c r="B256" s="62" t="s">
        <v>2613</v>
      </c>
      <c r="C256" s="94" t="s">
        <v>196</v>
      </c>
      <c r="D256" s="62" t="s">
        <v>475</v>
      </c>
      <c r="E256" s="11" t="str">
        <f>HYPERLINK("https://youtu.be/DfRmCUJwHQk?t=5000","channel 2")</f>
        <v>channel 2</v>
      </c>
    </row>
    <row r="257">
      <c r="B257" s="62" t="s">
        <v>2795</v>
      </c>
      <c r="C257" s="94" t="s">
        <v>674</v>
      </c>
      <c r="D257" s="62" t="s">
        <v>1709</v>
      </c>
      <c r="E257" s="11" t="str">
        <f>HYPERLINK("https://youtu.be/PjuW44I-x5k?t=5920","channel 1")</f>
        <v>channel 1</v>
      </c>
    </row>
    <row r="258">
      <c r="B258" s="62" t="s">
        <v>2587</v>
      </c>
      <c r="C258" s="94" t="s">
        <v>570</v>
      </c>
      <c r="D258" s="62" t="s">
        <v>475</v>
      </c>
      <c r="E258" s="11" t="str">
        <f>HYPERLINK("https://youtu.be/DfRmCUJwHQk?t=6012","channel 2")</f>
        <v>channel 2</v>
      </c>
    </row>
    <row r="259">
      <c r="B259" s="62" t="s">
        <v>2613</v>
      </c>
      <c r="C259" s="94" t="s">
        <v>536</v>
      </c>
      <c r="D259" s="62" t="s">
        <v>1709</v>
      </c>
      <c r="E259" s="11" t="str">
        <f>HYPERLINK("https://youtu.be/PjuW44I-x5k?t=6844","channel 1")</f>
        <v>channel 1</v>
      </c>
    </row>
    <row r="260">
      <c r="B260" s="62" t="s">
        <v>2795</v>
      </c>
      <c r="C260" s="94" t="s">
        <v>189</v>
      </c>
      <c r="D260" s="62" t="s">
        <v>475</v>
      </c>
      <c r="E260" s="11" t="str">
        <f>HYPERLINK("https://youtu.be/DfRmCUJwHQk?t=6931","channel 2")</f>
        <v>channel 2</v>
      </c>
    </row>
    <row r="261">
      <c r="B261" s="62" t="s">
        <v>2587</v>
      </c>
      <c r="C261" s="94" t="s">
        <v>744</v>
      </c>
      <c r="D261" s="62" t="s">
        <v>1709</v>
      </c>
      <c r="E261" s="11" t="str">
        <f>HYPERLINK("https://youtu.be/PjuW44I-x5k?t=7751","channel 1")</f>
        <v>channel 1</v>
      </c>
    </row>
    <row r="262">
      <c r="B262" s="62" t="s">
        <v>2795</v>
      </c>
      <c r="C262" s="94" t="s">
        <v>248</v>
      </c>
      <c r="D262" s="62" t="s">
        <v>2613</v>
      </c>
      <c r="E262" s="11" t="str">
        <f>HYPERLINK("https://youtu.be/DfRmCUJwHQk?t=7882","channel 2")</f>
        <v>channel 2</v>
      </c>
    </row>
    <row r="263">
      <c r="B263" s="62" t="s">
        <v>475</v>
      </c>
      <c r="C263" s="94" t="s">
        <v>433</v>
      </c>
      <c r="D263" s="62" t="s">
        <v>1709</v>
      </c>
      <c r="E263" s="11" t="str">
        <f>HYPERLINK("https://youtu.be/PjuW44I-x5k?t=8573","channel 1")</f>
        <v>channel 1</v>
      </c>
    </row>
    <row r="264">
      <c r="B264" s="62" t="s">
        <v>2587</v>
      </c>
      <c r="C264" s="94" t="s">
        <v>368</v>
      </c>
      <c r="D264" s="62" t="s">
        <v>2613</v>
      </c>
      <c r="E264" s="11" t="str">
        <f>HYPERLINK("https://youtu.be/DfRmCUJwHQk?t=8738","channel 2")</f>
        <v>channel 2</v>
      </c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0"/>
      <c r="B1" s="96" t="s">
        <v>1526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142" t="s">
        <v>1666</v>
      </c>
      <c r="C3" s="94" t="s">
        <v>42</v>
      </c>
      <c r="D3" s="61" t="s">
        <v>3577</v>
      </c>
      <c r="E3" s="11" t="str">
        <f>HYPERLINK("https://youtu.be/wvzY3Gg-2jk","channel 1")</f>
        <v>channel 1</v>
      </c>
    </row>
    <row r="4">
      <c r="A4" s="141"/>
      <c r="B4" s="61" t="s">
        <v>3578</v>
      </c>
      <c r="C4" s="94" t="s">
        <v>376</v>
      </c>
      <c r="D4" s="61" t="s">
        <v>3579</v>
      </c>
      <c r="E4" s="11" t="str">
        <f>HYPERLINK("https://youtu.be/rG2tuuxJKDo","channel 2")</f>
        <v>channel 2</v>
      </c>
    </row>
    <row r="5">
      <c r="A5" s="141"/>
      <c r="B5" s="61" t="s">
        <v>3580</v>
      </c>
      <c r="C5" s="94" t="s">
        <v>193</v>
      </c>
      <c r="D5" s="61" t="s">
        <v>1666</v>
      </c>
      <c r="E5" s="11" t="str">
        <f>HYPERLINK("https://youtu.be/wvzY3Gg-2jk?t=955","channel 1")</f>
        <v>channel 1</v>
      </c>
    </row>
    <row r="6">
      <c r="A6" s="141"/>
      <c r="B6" s="61" t="s">
        <v>3578</v>
      </c>
      <c r="C6" s="94" t="s">
        <v>16</v>
      </c>
      <c r="D6" s="61" t="s">
        <v>3577</v>
      </c>
      <c r="E6" s="11" t="str">
        <f>HYPERLINK("https://youtu.be/rG2tuuxJKDo?t=1079","channel 2")</f>
        <v>channel 2</v>
      </c>
    </row>
    <row r="7">
      <c r="A7" s="141"/>
      <c r="B7" s="61" t="s">
        <v>3580</v>
      </c>
      <c r="C7" s="94" t="s">
        <v>210</v>
      </c>
      <c r="D7" s="61" t="s">
        <v>3579</v>
      </c>
      <c r="E7" s="11" t="str">
        <f>HYPERLINK("https://youtu.be/wvzY3Gg-2jk?t=1965","channel 1")</f>
        <v>channel 1</v>
      </c>
    </row>
    <row r="8">
      <c r="A8" s="141"/>
      <c r="B8" s="61" t="s">
        <v>3578</v>
      </c>
      <c r="C8" s="94" t="s">
        <v>229</v>
      </c>
      <c r="D8" s="61" t="s">
        <v>1666</v>
      </c>
      <c r="E8" s="11" t="str">
        <f>HYPERLINK("https://youtu.be/rG2tuuxJKDo?t=1986","channel 2")</f>
        <v>channel 2</v>
      </c>
    </row>
    <row r="9">
      <c r="A9" s="141"/>
      <c r="B9" s="61" t="s">
        <v>3580</v>
      </c>
      <c r="C9" s="94" t="s">
        <v>233</v>
      </c>
      <c r="D9" s="61" t="s">
        <v>3577</v>
      </c>
      <c r="E9" s="11" t="str">
        <f>HYPERLINK("https://youtu.be/wvzY3Gg-2jk?t=2899","channel 1")</f>
        <v>channel 1</v>
      </c>
    </row>
    <row r="10">
      <c r="A10" s="141"/>
      <c r="B10" s="61" t="s">
        <v>3579</v>
      </c>
      <c r="C10" s="94" t="s">
        <v>292</v>
      </c>
      <c r="D10" s="61" t="s">
        <v>1666</v>
      </c>
      <c r="E10" s="11" t="str">
        <f>HYPERLINK("https://youtu.be/rG2tuuxJKDo?t=2943","channel 2")</f>
        <v>channel 2</v>
      </c>
    </row>
    <row r="11">
      <c r="A11" s="141"/>
      <c r="B11" s="61" t="s">
        <v>3580</v>
      </c>
      <c r="C11" s="94" t="s">
        <v>181</v>
      </c>
      <c r="D11" s="61" t="s">
        <v>3578</v>
      </c>
      <c r="E11" s="11" t="str">
        <f>HYPERLINK("https://youtu.be/wvzY3Gg-2jk?t=3872","channel 1")</f>
        <v>channel 1</v>
      </c>
    </row>
    <row r="12">
      <c r="A12" s="141"/>
      <c r="B12" s="61" t="s">
        <v>3579</v>
      </c>
      <c r="C12" s="94" t="s">
        <v>311</v>
      </c>
      <c r="D12" s="61" t="s">
        <v>3577</v>
      </c>
      <c r="E12" s="11" t="str">
        <f>HYPERLINK("https://youtu.be/rG2tuuxJKDo?t=2943","channel 2")</f>
        <v>channel 2</v>
      </c>
    </row>
    <row r="13">
      <c r="A13" s="141"/>
      <c r="B13" s="61" t="s">
        <v>3577</v>
      </c>
      <c r="C13" s="94" t="s">
        <v>41</v>
      </c>
      <c r="D13" s="61" t="s">
        <v>1666</v>
      </c>
      <c r="E13" s="11" t="str">
        <f>HYPERLINK("https://youtu.be/wvzY3Gg-2jk?t=4796","channel 1")</f>
        <v>channel 1</v>
      </c>
    </row>
    <row r="14">
      <c r="A14" s="141"/>
      <c r="B14" s="61" t="s">
        <v>3579</v>
      </c>
      <c r="C14" s="94" t="s">
        <v>442</v>
      </c>
      <c r="D14" s="61" t="s">
        <v>3578</v>
      </c>
      <c r="E14" s="11" t="str">
        <f>HYPERLINK("https://youtu.be/rG2tuuxJKDo?t=4839","channel 2")</f>
        <v>channel 2</v>
      </c>
    </row>
    <row r="15">
      <c r="A15" s="141"/>
      <c r="B15" s="61" t="s">
        <v>1666</v>
      </c>
      <c r="C15" s="94" t="s">
        <v>165</v>
      </c>
      <c r="D15" s="61" t="s">
        <v>3580</v>
      </c>
      <c r="E15" s="11" t="str">
        <f>HYPERLINK("https://youtu.be/wvzY3Gg-2jk?t=5750","channel 1")</f>
        <v>channel 1</v>
      </c>
    </row>
    <row r="16">
      <c r="A16" s="141"/>
      <c r="B16" s="61" t="s">
        <v>3577</v>
      </c>
      <c r="C16" s="94" t="s">
        <v>454</v>
      </c>
      <c r="D16" s="61" t="s">
        <v>3578</v>
      </c>
      <c r="E16" s="11" t="str">
        <f>HYPERLINK("https://youtu.be/rG2tuuxJKDo?t=5824","channel 2")</f>
        <v>channel 2</v>
      </c>
    </row>
    <row r="17">
      <c r="A17" s="141"/>
      <c r="B17" s="61" t="s">
        <v>3579</v>
      </c>
      <c r="C17" s="94" t="s">
        <v>239</v>
      </c>
      <c r="D17" s="61" t="s">
        <v>3580</v>
      </c>
      <c r="E17" s="11" t="str">
        <f>HYPERLINK("https://youtu.be/wvzY3Gg-2jk?t=6668","channel 1")</f>
        <v>channel 1</v>
      </c>
    </row>
    <row r="18">
      <c r="A18" s="141"/>
      <c r="B18" s="61" t="s">
        <v>1666</v>
      </c>
      <c r="C18" s="94" t="s">
        <v>248</v>
      </c>
      <c r="D18" s="61" t="s">
        <v>3578</v>
      </c>
      <c r="E18" s="11" t="str">
        <f>HYPERLINK("https://youtu.be/rG2tuuxJKDo?t=6685","channel 2")</f>
        <v>channel 2</v>
      </c>
    </row>
    <row r="19">
      <c r="A19" s="141"/>
      <c r="B19" s="61" t="s">
        <v>3577</v>
      </c>
      <c r="C19" s="94" t="s">
        <v>165</v>
      </c>
      <c r="D19" s="61" t="s">
        <v>3580</v>
      </c>
      <c r="E19" s="11" t="str">
        <f>HYPERLINK("https://youtu.be/wvzY3Gg-2jk?t=7609","channel 1")</f>
        <v>channel 1</v>
      </c>
    </row>
    <row r="20">
      <c r="A20" s="141"/>
      <c r="B20" s="61" t="s">
        <v>1666</v>
      </c>
      <c r="C20" s="94" t="s">
        <v>20</v>
      </c>
      <c r="D20" s="61" t="s">
        <v>3579</v>
      </c>
      <c r="E20" s="11" t="str">
        <f>HYPERLINK("https://youtu.be/rG2tuuxJKDo?t=7608","channel 2")</f>
        <v>channel 2</v>
      </c>
    </row>
    <row r="21">
      <c r="A21" s="141"/>
      <c r="B21" s="61" t="s">
        <v>3578</v>
      </c>
      <c r="C21" s="54" t="s">
        <v>178</v>
      </c>
      <c r="D21" s="61" t="s">
        <v>3580</v>
      </c>
      <c r="E21" s="11" t="str">
        <f>HYPERLINK("https://youtu.be/wvzY3Gg-2jk?t=8565","channel 1")</f>
        <v>channel 1</v>
      </c>
    </row>
    <row r="22">
      <c r="A22" s="141"/>
      <c r="B22" s="61" t="s">
        <v>3577</v>
      </c>
      <c r="C22" s="143" t="s">
        <v>194</v>
      </c>
      <c r="D22" s="61" t="s">
        <v>3579</v>
      </c>
      <c r="E22" s="11" t="str">
        <f>HYPERLINK("https://youtu.be/rG2tuuxJKDo?t=8506","channel 2")</f>
        <v>channel 2</v>
      </c>
    </row>
    <row r="23">
      <c r="A23" s="141"/>
      <c r="B23" s="96" t="s">
        <v>2266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2637</v>
      </c>
      <c r="C25" s="94" t="s">
        <v>2793</v>
      </c>
      <c r="D25" s="61" t="s">
        <v>3581</v>
      </c>
      <c r="E25" s="11" t="str">
        <f>HYPERLINK("https://youtu.be/16PslcwxXs4","channel 1")</f>
        <v>channel 1</v>
      </c>
    </row>
    <row r="26">
      <c r="A26" s="141"/>
      <c r="B26" s="61" t="s">
        <v>3582</v>
      </c>
      <c r="C26" s="94" t="s">
        <v>220</v>
      </c>
      <c r="D26" s="61" t="s">
        <v>3583</v>
      </c>
      <c r="E26" s="11" t="str">
        <f>HYPERLINK("https://youtu.be/0igJDcDiLWI","channel 2")</f>
        <v>channel 2</v>
      </c>
    </row>
    <row r="27">
      <c r="A27" s="141"/>
      <c r="B27" s="61" t="s">
        <v>3584</v>
      </c>
      <c r="C27" s="94" t="s">
        <v>311</v>
      </c>
      <c r="D27" s="61" t="s">
        <v>2637</v>
      </c>
      <c r="E27" s="11" t="str">
        <f>HYPERLINK("https://youtu.be/16PslcwxXs4?t=1069","channel 1")</f>
        <v>channel 1</v>
      </c>
    </row>
    <row r="28">
      <c r="A28" s="141"/>
      <c r="B28" s="61" t="s">
        <v>3582</v>
      </c>
      <c r="C28" s="94" t="s">
        <v>233</v>
      </c>
      <c r="D28" s="61" t="s">
        <v>3581</v>
      </c>
      <c r="E28" s="11" t="str">
        <f>HYPERLINK("https://youtu.be/0igJDcDiLWI?t=1099","channel 2")</f>
        <v>channel 2</v>
      </c>
    </row>
    <row r="29">
      <c r="A29" s="141"/>
      <c r="B29" s="61" t="s">
        <v>3584</v>
      </c>
      <c r="C29" s="94" t="s">
        <v>19</v>
      </c>
      <c r="D29" s="61" t="s">
        <v>3583</v>
      </c>
      <c r="E29" s="11" t="str">
        <f>HYPERLINK("https://youtu.be/16PslcwxXs4?t=1987","channel 1")</f>
        <v>channel 1</v>
      </c>
    </row>
    <row r="30">
      <c r="A30" s="141"/>
      <c r="B30" s="61" t="s">
        <v>3582</v>
      </c>
      <c r="C30" s="94" t="s">
        <v>208</v>
      </c>
      <c r="D30" s="61" t="s">
        <v>2637</v>
      </c>
      <c r="E30" s="11" t="str">
        <f>HYPERLINK("https://youtu.be/0igJDcDiLWI?t=2054","channel 2")</f>
        <v>channel 2</v>
      </c>
    </row>
    <row r="31">
      <c r="A31" s="141"/>
      <c r="B31" s="61" t="s">
        <v>3584</v>
      </c>
      <c r="C31" s="94" t="s">
        <v>1123</v>
      </c>
      <c r="D31" s="61" t="s">
        <v>3581</v>
      </c>
      <c r="E31" s="11" t="str">
        <f>HYPERLINK("https://youtu.be/16PslcwxXs4?t=2927","channel 1")</f>
        <v>channel 1</v>
      </c>
    </row>
    <row r="32">
      <c r="A32" s="141"/>
      <c r="B32" s="61" t="s">
        <v>3583</v>
      </c>
      <c r="C32" s="94" t="s">
        <v>161</v>
      </c>
      <c r="D32" s="61" t="s">
        <v>2637</v>
      </c>
      <c r="E32" s="11" t="str">
        <f>HYPERLINK("https://youtu.be/0igJDcDiLWI?t=3018","channel 2")</f>
        <v>channel 2</v>
      </c>
    </row>
    <row r="33">
      <c r="A33" s="141"/>
      <c r="B33" s="61" t="s">
        <v>3584</v>
      </c>
      <c r="C33" s="94" t="s">
        <v>209</v>
      </c>
      <c r="D33" s="61" t="s">
        <v>3582</v>
      </c>
      <c r="E33" s="11" t="str">
        <f>HYPERLINK("https://youtu.be/16PslcwxXs4?t=3874","channel 1")</f>
        <v>channel 1</v>
      </c>
    </row>
    <row r="34">
      <c r="A34" s="141"/>
      <c r="B34" s="61" t="s">
        <v>3583</v>
      </c>
      <c r="C34" s="94" t="s">
        <v>195</v>
      </c>
      <c r="D34" s="61" t="s">
        <v>3581</v>
      </c>
      <c r="E34" s="11" t="str">
        <f>HYPERLINK("https://youtu.be/0igJDcDiLWI?t=3949","channel 2")</f>
        <v>channel 2</v>
      </c>
    </row>
    <row r="35">
      <c r="A35" s="141"/>
      <c r="B35" s="61" t="s">
        <v>3581</v>
      </c>
      <c r="C35" s="94" t="s">
        <v>286</v>
      </c>
      <c r="D35" s="61" t="s">
        <v>2637</v>
      </c>
      <c r="E35" s="11" t="str">
        <f>HYPERLINK("https://youtu.be/16PslcwxXs4?t=4828","channel 1")</f>
        <v>channel 1</v>
      </c>
    </row>
    <row r="36">
      <c r="A36" s="141"/>
      <c r="B36" s="61" t="s">
        <v>3583</v>
      </c>
      <c r="C36" s="94" t="s">
        <v>162</v>
      </c>
      <c r="D36" s="61" t="s">
        <v>3582</v>
      </c>
      <c r="E36" s="11" t="str">
        <f>HYPERLINK("https://youtu.be/0igJDcDiLWI?t=4879","channel 2")</f>
        <v>channel 2</v>
      </c>
    </row>
    <row r="37">
      <c r="A37" s="141"/>
      <c r="B37" s="61" t="s">
        <v>2637</v>
      </c>
      <c r="C37" s="94" t="s">
        <v>163</v>
      </c>
      <c r="D37" s="61" t="s">
        <v>3584</v>
      </c>
      <c r="E37" s="11" t="str">
        <f>HYPERLINK("https://youtu.be/16PslcwxXs4?t=5782","channel 1")</f>
        <v>channel 1</v>
      </c>
    </row>
    <row r="38">
      <c r="A38" s="141"/>
      <c r="B38" s="61" t="s">
        <v>3581</v>
      </c>
      <c r="C38" s="94" t="s">
        <v>292</v>
      </c>
      <c r="D38" s="61" t="s">
        <v>3582</v>
      </c>
      <c r="E38" s="11" t="str">
        <f>HYPERLINK("https://youtu.be/0igJDcDiLWI?t=5865","channel 2")</f>
        <v>channel 2</v>
      </c>
    </row>
    <row r="39">
      <c r="A39" s="141"/>
      <c r="B39" s="61" t="s">
        <v>3583</v>
      </c>
      <c r="C39" s="94" t="s">
        <v>182</v>
      </c>
      <c r="D39" s="61" t="s">
        <v>3584</v>
      </c>
      <c r="E39" s="11" t="str">
        <f>HYPERLINK("https://youtu.be/16PslcwxXs4?t=6709","channel 1")</f>
        <v>channel 1</v>
      </c>
    </row>
    <row r="40">
      <c r="A40" s="141"/>
      <c r="B40" s="61" t="s">
        <v>2637</v>
      </c>
      <c r="C40" s="94" t="s">
        <v>19</v>
      </c>
      <c r="D40" s="61" t="s">
        <v>3582</v>
      </c>
      <c r="E40" s="11" t="str">
        <f>HYPERLINK("https://youtu.be/0igJDcDiLWI?t=6858","channel 2")</f>
        <v>channel 2</v>
      </c>
    </row>
    <row r="41">
      <c r="A41" s="141"/>
      <c r="B41" s="61" t="s">
        <v>3581</v>
      </c>
      <c r="C41" s="94" t="s">
        <v>326</v>
      </c>
      <c r="D41" s="61" t="s">
        <v>3584</v>
      </c>
      <c r="E41" s="11" t="str">
        <f>HYPERLINK("https://youtu.be/16PslcwxXs4?t=7597","channel 1")</f>
        <v>channel 1</v>
      </c>
    </row>
    <row r="42">
      <c r="A42" s="141"/>
      <c r="B42" s="61" t="s">
        <v>2637</v>
      </c>
      <c r="C42" s="94" t="s">
        <v>264</v>
      </c>
      <c r="D42" s="61" t="s">
        <v>3583</v>
      </c>
      <c r="E42" s="11" t="str">
        <f>HYPERLINK("https://youtu.be/0igJDcDiLWI?t=7822","channel 2")</f>
        <v>channel 2</v>
      </c>
    </row>
    <row r="43">
      <c r="A43" s="141"/>
      <c r="B43" s="61" t="s">
        <v>3582</v>
      </c>
      <c r="C43" s="94" t="s">
        <v>218</v>
      </c>
      <c r="D43" s="61" t="s">
        <v>3584</v>
      </c>
      <c r="E43" s="11" t="str">
        <f>HYPERLINK("https://youtu.be/16PslcwxXs4?t=7597","channel 1")</f>
        <v>channel 1</v>
      </c>
    </row>
    <row r="44">
      <c r="A44" s="141"/>
      <c r="B44" s="61" t="s">
        <v>3581</v>
      </c>
      <c r="C44" s="94" t="s">
        <v>744</v>
      </c>
      <c r="D44" s="61" t="s">
        <v>3583</v>
      </c>
      <c r="E44" s="11" t="str">
        <f>HYPERLINK("https://youtu.be/0igJDcDiLWI?t=8715","channel 2")</f>
        <v>channel 2</v>
      </c>
    </row>
    <row r="45">
      <c r="A45" s="141"/>
      <c r="B45" s="96" t="s">
        <v>3293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1273</v>
      </c>
      <c r="C47" s="81" t="s">
        <v>668</v>
      </c>
      <c r="D47" s="61" t="s">
        <v>918</v>
      </c>
      <c r="E47" s="125" t="str">
        <f>HYPERLINK("","channel 3")</f>
        <v>channel 3</v>
      </c>
    </row>
    <row r="48">
      <c r="A48" s="141"/>
      <c r="B48" s="61" t="s">
        <v>63</v>
      </c>
      <c r="C48" s="81" t="s">
        <v>668</v>
      </c>
      <c r="D48" s="61" t="s">
        <v>3585</v>
      </c>
      <c r="E48" s="144" t="s">
        <v>33</v>
      </c>
    </row>
    <row r="49">
      <c r="A49" s="141"/>
      <c r="B49" s="61" t="s">
        <v>3535</v>
      </c>
      <c r="C49" s="81" t="s">
        <v>668</v>
      </c>
      <c r="D49" s="61" t="s">
        <v>1273</v>
      </c>
      <c r="E49" s="122" t="s">
        <v>29</v>
      </c>
    </row>
    <row r="50">
      <c r="A50" s="141"/>
      <c r="B50" s="61" t="s">
        <v>63</v>
      </c>
      <c r="C50" s="81" t="s">
        <v>668</v>
      </c>
      <c r="D50" s="61" t="s">
        <v>918</v>
      </c>
      <c r="E50" s="125" t="s">
        <v>33</v>
      </c>
    </row>
    <row r="51">
      <c r="A51" s="141"/>
      <c r="B51" s="61" t="s">
        <v>3535</v>
      </c>
      <c r="C51" s="94" t="s">
        <v>162</v>
      </c>
      <c r="D51" s="61" t="s">
        <v>3585</v>
      </c>
      <c r="E51" s="11" t="str">
        <f>HYPERLINK("https://youtu.be/P8OBWxFe0KI","channel 3")</f>
        <v>channel 3</v>
      </c>
    </row>
    <row r="52">
      <c r="A52" s="141"/>
      <c r="B52" s="61" t="s">
        <v>63</v>
      </c>
      <c r="C52" s="94" t="s">
        <v>193</v>
      </c>
      <c r="D52" s="61" t="s">
        <v>1273</v>
      </c>
      <c r="E52" s="11" t="str">
        <f>HYPERLINK("https://youtu.be/jG09pv6isgc","channel 4")</f>
        <v>channel 4</v>
      </c>
    </row>
    <row r="53">
      <c r="A53" s="141"/>
      <c r="B53" s="61" t="s">
        <v>3535</v>
      </c>
      <c r="C53" s="94" t="s">
        <v>162</v>
      </c>
      <c r="D53" s="61" t="s">
        <v>918</v>
      </c>
      <c r="E53" s="11" t="str">
        <f>HYPERLINK("https://youtu.be/P8OBWxFe0KI?t=955","channel 3")</f>
        <v>channel 3</v>
      </c>
    </row>
    <row r="54">
      <c r="A54" s="141"/>
      <c r="B54" s="61" t="s">
        <v>3585</v>
      </c>
      <c r="C54" s="94" t="s">
        <v>20</v>
      </c>
      <c r="D54" s="61" t="s">
        <v>1273</v>
      </c>
      <c r="E54" s="11" t="str">
        <f>HYPERLINK("https://youtu.be/jG09pv6isgc?t=922","channel 4")</f>
        <v>channel 4</v>
      </c>
    </row>
    <row r="55">
      <c r="A55" s="141"/>
      <c r="B55" s="61" t="s">
        <v>3535</v>
      </c>
      <c r="C55" s="94" t="s">
        <v>20</v>
      </c>
      <c r="D55" s="61" t="s">
        <v>63</v>
      </c>
      <c r="E55" s="11" t="str">
        <f>HYPERLINK("https://youtu.be/P8OBWxFe0KI?t=1867","channel 3")</f>
        <v>channel 3</v>
      </c>
    </row>
    <row r="56">
      <c r="A56" s="141"/>
      <c r="B56" s="61" t="s">
        <v>3585</v>
      </c>
      <c r="C56" s="94" t="s">
        <v>220</v>
      </c>
      <c r="D56" s="61" t="s">
        <v>918</v>
      </c>
      <c r="E56" s="11" t="str">
        <f>HYPERLINK("https://youtu.be/jG09pv6isgc?t=1873","channel 4")</f>
        <v>channel 4</v>
      </c>
    </row>
    <row r="57">
      <c r="A57" s="141"/>
      <c r="B57" s="61" t="s">
        <v>918</v>
      </c>
      <c r="C57" s="94" t="s">
        <v>439</v>
      </c>
      <c r="D57" s="61" t="s">
        <v>1273</v>
      </c>
      <c r="E57" s="11" t="str">
        <f>HYPERLINK("https://youtu.be/P8OBWxFe0KI?t=2773","channel 3")</f>
        <v>channel 3</v>
      </c>
    </row>
    <row r="58">
      <c r="A58" s="141"/>
      <c r="B58" s="61" t="s">
        <v>3585</v>
      </c>
      <c r="C58" s="94" t="s">
        <v>301</v>
      </c>
      <c r="D58" s="61" t="s">
        <v>63</v>
      </c>
      <c r="E58" s="11" t="str">
        <f>HYPERLINK("https://youtu.be/jG09pv6isgc?t=2770","channel 4")</f>
        <v>channel 4</v>
      </c>
    </row>
    <row r="59">
      <c r="A59" s="141"/>
      <c r="B59" s="61" t="s">
        <v>1273</v>
      </c>
      <c r="C59" s="94" t="s">
        <v>193</v>
      </c>
      <c r="D59" s="61" t="s">
        <v>3535</v>
      </c>
      <c r="E59" s="11" t="str">
        <f>HYPERLINK("https://youtu.be/P8OBWxFe0KI?t=3829","channel 3")</f>
        <v>channel 3</v>
      </c>
    </row>
    <row r="60">
      <c r="A60" s="141"/>
      <c r="B60" s="61" t="s">
        <v>918</v>
      </c>
      <c r="C60" s="94" t="s">
        <v>155</v>
      </c>
      <c r="D60" s="61" t="s">
        <v>63</v>
      </c>
      <c r="E60" s="11" t="str">
        <f>HYPERLINK("https://youtu.be/jG09pv6isgc?t=3741","channel 4")</f>
        <v>channel 4</v>
      </c>
    </row>
    <row r="61">
      <c r="A61" s="141"/>
      <c r="B61" s="61" t="s">
        <v>3585</v>
      </c>
      <c r="C61" s="94" t="s">
        <v>180</v>
      </c>
      <c r="D61" s="61" t="s">
        <v>3535</v>
      </c>
      <c r="E61" s="11" t="str">
        <f>HYPERLINK("https://youtu.be/P8OBWxFe0KI?t=4722","channel 3")</f>
        <v>channel 3</v>
      </c>
    </row>
    <row r="62">
      <c r="A62" s="141"/>
      <c r="B62" s="61" t="s">
        <v>1273</v>
      </c>
      <c r="C62" s="94" t="s">
        <v>264</v>
      </c>
      <c r="D62" s="61" t="s">
        <v>63</v>
      </c>
      <c r="E62" s="11" t="str">
        <f>HYPERLINK("https://youtu.be/jG09pv6isgc?t=4706","channel 4")</f>
        <v>channel 4</v>
      </c>
    </row>
    <row r="63">
      <c r="A63" s="141"/>
      <c r="B63" s="61" t="s">
        <v>918</v>
      </c>
      <c r="C63" s="94" t="s">
        <v>380</v>
      </c>
      <c r="D63" s="61" t="s">
        <v>3535</v>
      </c>
      <c r="E63" s="11" t="str">
        <f>HYPERLINK("https://youtu.be/P8OBWxFe0KI?t=5711","channel 3")</f>
        <v>channel 3</v>
      </c>
    </row>
    <row r="64">
      <c r="A64" s="141"/>
      <c r="B64" s="61" t="s">
        <v>1273</v>
      </c>
      <c r="C64" s="94" t="s">
        <v>184</v>
      </c>
      <c r="D64" s="61" t="s">
        <v>3585</v>
      </c>
      <c r="E64" s="11" t="str">
        <f>HYPERLINK("https://youtu.be/jG09pv6isgc?t=5653","channel 4")</f>
        <v>channel 4</v>
      </c>
    </row>
    <row r="65">
      <c r="A65" s="141"/>
      <c r="B65" s="61" t="s">
        <v>63</v>
      </c>
      <c r="C65" s="94" t="s">
        <v>220</v>
      </c>
      <c r="D65" s="61" t="s">
        <v>3535</v>
      </c>
      <c r="E65" s="11" t="str">
        <f>HYPERLINK("https://youtu.be/P8OBWxFe0KI?t=6628","channel 3")</f>
        <v>channel 3</v>
      </c>
    </row>
    <row r="66">
      <c r="A66" s="141"/>
      <c r="B66" s="61" t="s">
        <v>918</v>
      </c>
      <c r="C66" s="94" t="s">
        <v>220</v>
      </c>
      <c r="D66" s="61" t="s">
        <v>3585</v>
      </c>
      <c r="E66" s="11" t="str">
        <f>HYPERLINK("https://youtu.be/jG09pv6isgc?t=6619","channel 4")</f>
        <v>channel 4</v>
      </c>
    </row>
    <row r="67">
      <c r="A67" s="141"/>
      <c r="B67" s="96" t="s">
        <v>2741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142" t="s">
        <v>3586</v>
      </c>
      <c r="C69" s="57" t="s">
        <v>41</v>
      </c>
      <c r="D69" s="61" t="s">
        <v>1616</v>
      </c>
      <c r="E69" s="11" t="str">
        <f>HYPERLINK("https://youtu.be/PtnoG1q6T_Q","channel 3")</f>
        <v>channel 3</v>
      </c>
    </row>
    <row r="70">
      <c r="A70" s="141"/>
      <c r="B70" s="61" t="s">
        <v>3587</v>
      </c>
      <c r="C70" s="57" t="s">
        <v>230</v>
      </c>
      <c r="D70" s="61" t="s">
        <v>3588</v>
      </c>
      <c r="E70" s="11" t="str">
        <f>HYPERLINK("https://youtu.be/dBUF-2VM7qM","channel 4")</f>
        <v>channel 4</v>
      </c>
    </row>
    <row r="71">
      <c r="A71" s="141"/>
      <c r="B71" s="61" t="s">
        <v>3565</v>
      </c>
      <c r="C71" s="57" t="s">
        <v>301</v>
      </c>
      <c r="D71" s="61" t="s">
        <v>3586</v>
      </c>
      <c r="E71" s="11" t="str">
        <f>HYPERLINK("https://youtu.be/PtnoG1q6T_Q?t=1035","channel 3")</f>
        <v>channel 3</v>
      </c>
    </row>
    <row r="72">
      <c r="A72" s="141"/>
      <c r="B72" s="61" t="s">
        <v>3587</v>
      </c>
      <c r="C72" s="57" t="s">
        <v>177</v>
      </c>
      <c r="D72" s="61" t="s">
        <v>1616</v>
      </c>
      <c r="E72" s="11" t="str">
        <f>HYPERLINK("https://youtu.be/dBUF-2VM7qM?t=1110","channel 4")</f>
        <v>channel 4</v>
      </c>
    </row>
    <row r="73">
      <c r="A73" s="141"/>
      <c r="B73" s="61" t="s">
        <v>3565</v>
      </c>
      <c r="C73" s="57" t="s">
        <v>302</v>
      </c>
      <c r="D73" s="61" t="s">
        <v>3588</v>
      </c>
      <c r="E73" s="11" t="str">
        <f>HYPERLINK("https://youtu.be/PtnoG1q6T_Q?t=1971","channel 3")</f>
        <v>channel 3</v>
      </c>
    </row>
    <row r="74">
      <c r="A74" s="141"/>
      <c r="B74" s="61" t="s">
        <v>3587</v>
      </c>
      <c r="C74" s="57" t="s">
        <v>19</v>
      </c>
      <c r="D74" s="61" t="s">
        <v>3586</v>
      </c>
      <c r="E74" s="11" t="str">
        <f>HYPERLINK("https://youtu.be/dBUF-2VM7qM?t=1935","channel 4")</f>
        <v>channel 4</v>
      </c>
    </row>
    <row r="75">
      <c r="A75" s="141"/>
      <c r="B75" s="61" t="s">
        <v>3565</v>
      </c>
      <c r="C75" s="57" t="s">
        <v>610</v>
      </c>
      <c r="D75" s="61" t="s">
        <v>1616</v>
      </c>
      <c r="E75" s="11" t="str">
        <f>HYPERLINK("https://youtu.be/PtnoG1q6T_Q?t=2925","channel 3")</f>
        <v>channel 3</v>
      </c>
    </row>
    <row r="76">
      <c r="A76" s="141"/>
      <c r="B76" s="61" t="s">
        <v>3588</v>
      </c>
      <c r="C76" s="57" t="s">
        <v>164</v>
      </c>
      <c r="D76" s="61" t="s">
        <v>3586</v>
      </c>
      <c r="E76" s="11" t="str">
        <f>HYPERLINK("https://youtu.be/dBUF-2VM7qM?t=2799","channel 4")</f>
        <v>channel 4</v>
      </c>
    </row>
    <row r="77">
      <c r="A77" s="141"/>
      <c r="B77" s="61" t="s">
        <v>3565</v>
      </c>
      <c r="C77" s="57" t="s">
        <v>158</v>
      </c>
      <c r="D77" s="61" t="s">
        <v>3587</v>
      </c>
      <c r="E77" s="11" t="str">
        <f>HYPERLINK("https://youtu.be/PtnoG1q6T_Q?t=3867","channel 3")</f>
        <v>channel 3</v>
      </c>
    </row>
    <row r="78">
      <c r="A78" s="141"/>
      <c r="B78" s="61" t="s">
        <v>3588</v>
      </c>
      <c r="C78" s="57" t="s">
        <v>193</v>
      </c>
      <c r="D78" s="61" t="s">
        <v>1616</v>
      </c>
      <c r="E78" s="11" t="str">
        <f>HYPERLINK("https://youtu.be/dBUF-2VM7qM?t=3669","channel 4")</f>
        <v>channel 4</v>
      </c>
    </row>
    <row r="79">
      <c r="A79" s="141"/>
      <c r="B79" s="61" t="s">
        <v>1616</v>
      </c>
      <c r="C79" s="57" t="s">
        <v>42</v>
      </c>
      <c r="D79" s="61" t="s">
        <v>3586</v>
      </c>
      <c r="E79" s="11" t="str">
        <f>HYPERLINK("https://youtu.be/PtnoG1q6T_Q?t=4754","channel 3")</f>
        <v>channel 3</v>
      </c>
    </row>
    <row r="80">
      <c r="A80" s="141"/>
      <c r="B80" s="61" t="s">
        <v>3588</v>
      </c>
      <c r="C80" s="57" t="s">
        <v>248</v>
      </c>
      <c r="D80" s="61" t="s">
        <v>3587</v>
      </c>
      <c r="E80" s="11" t="str">
        <f>HYPERLINK("https://youtu.be/dBUF-2VM7qM?t=4556","channel 4")</f>
        <v>channel 4</v>
      </c>
    </row>
    <row r="81">
      <c r="A81" s="141"/>
      <c r="B81" s="61" t="s">
        <v>3586</v>
      </c>
      <c r="C81" s="57" t="s">
        <v>181</v>
      </c>
      <c r="D81" s="61" t="s">
        <v>3565</v>
      </c>
      <c r="E81" s="11" t="str">
        <f>HYPERLINK("https://youtu.be/PtnoG1q6T_Q?t=5666","channel 3")</f>
        <v>channel 3</v>
      </c>
    </row>
    <row r="82">
      <c r="A82" s="141"/>
      <c r="B82" s="61" t="s">
        <v>1616</v>
      </c>
      <c r="C82" s="57" t="s">
        <v>155</v>
      </c>
      <c r="D82" s="61" t="s">
        <v>3587</v>
      </c>
      <c r="E82" s="11" t="str">
        <f>HYPERLINK("https://youtu.be/dBUF-2VM7qM?t=5453","channel 4")</f>
        <v>channel 4</v>
      </c>
    </row>
    <row r="83">
      <c r="A83" s="141"/>
      <c r="B83" s="61" t="s">
        <v>3588</v>
      </c>
      <c r="C83" s="57" t="s">
        <v>7</v>
      </c>
      <c r="D83" s="61" t="s">
        <v>3565</v>
      </c>
      <c r="E83" s="11" t="str">
        <f>HYPERLINK("https://youtu.be/PtnoG1q6T_Q?t=6567","channel 3")</f>
        <v>channel 3</v>
      </c>
    </row>
    <row r="84">
      <c r="A84" s="141"/>
      <c r="B84" s="61" t="s">
        <v>3586</v>
      </c>
      <c r="C84" s="57" t="s">
        <v>155</v>
      </c>
      <c r="D84" s="61" t="s">
        <v>3587</v>
      </c>
      <c r="E84" s="11" t="str">
        <f>HYPERLINK("https://youtu.be/dBUF-2VM7qM?t=6358","channel 4")</f>
        <v>channel 4</v>
      </c>
    </row>
    <row r="85">
      <c r="A85" s="141"/>
      <c r="B85" s="61" t="s">
        <v>1616</v>
      </c>
      <c r="C85" s="57" t="s">
        <v>1330</v>
      </c>
      <c r="D85" s="61" t="s">
        <v>3565</v>
      </c>
      <c r="E85" s="11" t="str">
        <f>HYPERLINK("https://youtu.be/PtnoG1q6T_Q?t=7465","channel 3")</f>
        <v>channel 3</v>
      </c>
    </row>
    <row r="86">
      <c r="A86" s="141"/>
      <c r="B86" s="61" t="s">
        <v>3586</v>
      </c>
      <c r="C86" s="57" t="s">
        <v>203</v>
      </c>
      <c r="D86" s="61" t="s">
        <v>3588</v>
      </c>
      <c r="E86" s="11" t="str">
        <f>HYPERLINK("https://youtu.be/dBUF-2VM7qM?t=7290","channel 4")</f>
        <v>channel 4</v>
      </c>
    </row>
    <row r="87">
      <c r="A87" s="141"/>
      <c r="B87" s="61" t="s">
        <v>3587</v>
      </c>
      <c r="C87" s="57" t="s">
        <v>185</v>
      </c>
      <c r="D87" s="61" t="s">
        <v>3565</v>
      </c>
      <c r="E87" s="11" t="str">
        <f>HYPERLINK("https://youtu.be/PtnoG1q6T_Q?t=8401","channel 3")</f>
        <v>channel 3</v>
      </c>
    </row>
    <row r="88">
      <c r="A88" s="141"/>
      <c r="B88" s="61" t="s">
        <v>1616</v>
      </c>
      <c r="C88" s="57" t="s">
        <v>3589</v>
      </c>
      <c r="D88" s="61" t="s">
        <v>3588</v>
      </c>
      <c r="E88" s="11" t="str">
        <f>HYPERLINK("https://youtu.be/dBUF-2VM7qM?t=8251","channel 4")</f>
        <v>channel 4</v>
      </c>
    </row>
    <row r="89">
      <c r="A89" s="141"/>
      <c r="B89" s="96" t="s">
        <v>2653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142" t="s">
        <v>3590</v>
      </c>
      <c r="C91" s="94" t="s">
        <v>640</v>
      </c>
      <c r="D91" s="61" t="s">
        <v>1941</v>
      </c>
      <c r="E91" s="11" t="str">
        <f>HYPERLINK("https://youtu.be/Spp7hHiGB7M","channel 1")</f>
        <v>channel 1</v>
      </c>
    </row>
    <row r="92">
      <c r="A92" s="141"/>
      <c r="B92" s="61" t="s">
        <v>1416</v>
      </c>
      <c r="C92" s="94" t="s">
        <v>18</v>
      </c>
      <c r="D92" s="61" t="s">
        <v>3591</v>
      </c>
      <c r="E92" s="11" t="str">
        <f>HYPERLINK("https://youtu.be/Q2M-jCWwlU4","channel 2")</f>
        <v>channel 2</v>
      </c>
    </row>
    <row r="93">
      <c r="A93" s="141"/>
      <c r="B93" s="61" t="s">
        <v>3592</v>
      </c>
      <c r="C93" s="94" t="s">
        <v>23</v>
      </c>
      <c r="D93" s="61" t="s">
        <v>3590</v>
      </c>
      <c r="E93" s="11" t="str">
        <f>HYPERLINK("https://youtu.be/Spp7hHiGB7M?t=771","channel 1")</f>
        <v>channel 1</v>
      </c>
    </row>
    <row r="94">
      <c r="A94" s="141"/>
      <c r="B94" s="61" t="s">
        <v>1416</v>
      </c>
      <c r="C94" s="94" t="s">
        <v>185</v>
      </c>
      <c r="D94" s="61" t="s">
        <v>1941</v>
      </c>
      <c r="E94" s="11" t="str">
        <f>HYPERLINK("https://youtu.be/Q2M-jCWwlU4?t=1063","channel 2")</f>
        <v>channel 2</v>
      </c>
    </row>
    <row r="95">
      <c r="A95" s="141"/>
      <c r="B95" s="61" t="s">
        <v>3592</v>
      </c>
      <c r="C95" s="94" t="s">
        <v>164</v>
      </c>
      <c r="D95" s="61" t="s">
        <v>3591</v>
      </c>
      <c r="E95" s="11" t="str">
        <f>HYPERLINK("https://youtu.be/Spp7hHiGB7M?t=1641","channel 1")</f>
        <v>channel 1</v>
      </c>
    </row>
    <row r="96">
      <c r="A96" s="141"/>
      <c r="B96" s="61" t="s">
        <v>1416</v>
      </c>
      <c r="C96" s="94" t="s">
        <v>20</v>
      </c>
      <c r="D96" s="61" t="s">
        <v>3590</v>
      </c>
      <c r="E96" s="11" t="str">
        <f>HYPERLINK("https://youtu.be/Q2M-jCWwlU4?t=1972","channel 2")</f>
        <v>channel 2</v>
      </c>
    </row>
    <row r="97">
      <c r="A97" s="141"/>
      <c r="B97" s="61" t="s">
        <v>3592</v>
      </c>
      <c r="C97" s="94" t="s">
        <v>344</v>
      </c>
      <c r="D97" s="61" t="s">
        <v>1941</v>
      </c>
      <c r="E97" s="11" t="str">
        <f>HYPERLINK("https://youtu.be/Spp7hHiGB7M?t=2577","channel 1")</f>
        <v>channel 1</v>
      </c>
    </row>
    <row r="98">
      <c r="A98" s="141"/>
      <c r="B98" s="61" t="s">
        <v>3591</v>
      </c>
      <c r="C98" s="94" t="s">
        <v>31</v>
      </c>
      <c r="D98" s="61" t="s">
        <v>3590</v>
      </c>
      <c r="E98" s="11" t="str">
        <f>HYPERLINK("https://youtu.be/Q2M-jCWwlU4?t=2839","channel 2")</f>
        <v>channel 2</v>
      </c>
    </row>
    <row r="99">
      <c r="A99" s="141"/>
      <c r="B99" s="61" t="s">
        <v>3592</v>
      </c>
      <c r="C99" s="94" t="s">
        <v>181</v>
      </c>
      <c r="D99" s="61" t="s">
        <v>1416</v>
      </c>
      <c r="E99" s="11" t="str">
        <f>HYPERLINK("https://youtu.be/Spp7hHiGB7M?t=3394","channel 1")</f>
        <v>channel 1</v>
      </c>
    </row>
    <row r="100">
      <c r="A100" s="141"/>
      <c r="B100" s="61" t="s">
        <v>3591</v>
      </c>
      <c r="C100" s="94" t="s">
        <v>158</v>
      </c>
      <c r="D100" s="61" t="s">
        <v>1941</v>
      </c>
      <c r="E100" s="11" t="str">
        <f>HYPERLINK("https://youtu.be/Q2M-jCWwlU4?t=3768","channel 2")</f>
        <v>channel 2</v>
      </c>
    </row>
    <row r="101">
      <c r="A101" s="141"/>
      <c r="B101" s="61" t="s">
        <v>1941</v>
      </c>
      <c r="C101" s="94" t="s">
        <v>688</v>
      </c>
      <c r="D101" s="61" t="s">
        <v>3590</v>
      </c>
      <c r="E101" s="11" t="str">
        <f>HYPERLINK("https://youtu.be/Spp7hHiGB7M?t=4348","channel 1")</f>
        <v>channel 1</v>
      </c>
    </row>
    <row r="102">
      <c r="A102" s="141"/>
      <c r="B102" s="61" t="s">
        <v>3591</v>
      </c>
      <c r="C102" s="94" t="s">
        <v>31</v>
      </c>
      <c r="D102" s="61" t="s">
        <v>1416</v>
      </c>
      <c r="E102" s="11" t="str">
        <f>HYPERLINK("https://youtu.be/Q2M-jCWwlU4?t=4667","channel 2")</f>
        <v>channel 2</v>
      </c>
    </row>
    <row r="103">
      <c r="A103" s="141"/>
      <c r="B103" s="61" t="s">
        <v>3590</v>
      </c>
      <c r="C103" s="94" t="s">
        <v>38</v>
      </c>
      <c r="D103" s="61" t="s">
        <v>3592</v>
      </c>
      <c r="E103" s="11" t="str">
        <f>HYPERLINK("https://youtu.be/Spp7hHiGB7M?t=5253","channel 1")</f>
        <v>channel 1</v>
      </c>
    </row>
    <row r="104">
      <c r="A104" s="141"/>
      <c r="B104" s="61" t="s">
        <v>1941</v>
      </c>
      <c r="C104" s="94" t="s">
        <v>3593</v>
      </c>
      <c r="D104" s="61" t="s">
        <v>1416</v>
      </c>
      <c r="E104" s="11" t="str">
        <f>HYPERLINK("https://youtu.be/Q2M-jCWwlU4?t=5581","channel 2")</f>
        <v>channel 2</v>
      </c>
    </row>
    <row r="105">
      <c r="A105" s="141"/>
      <c r="B105" s="61" t="s">
        <v>3591</v>
      </c>
      <c r="C105" s="94" t="s">
        <v>16</v>
      </c>
      <c r="D105" s="61" t="s">
        <v>3592</v>
      </c>
      <c r="E105" s="11" t="str">
        <f>HYPERLINK("https://youtu.be/Spp7hHiGB7M?t=6256","channel 1")</f>
        <v>channel 1</v>
      </c>
    </row>
    <row r="106">
      <c r="A106" s="141"/>
      <c r="B106" s="61" t="s">
        <v>3590</v>
      </c>
      <c r="C106" s="94" t="s">
        <v>16</v>
      </c>
      <c r="D106" s="61" t="s">
        <v>1416</v>
      </c>
      <c r="E106" s="11" t="str">
        <f>HYPERLINK("https://youtu.be/Q2M-jCWwlU4?t=6507","channel 2")</f>
        <v>channel 2</v>
      </c>
    </row>
    <row r="107">
      <c r="A107" s="141"/>
      <c r="B107" s="61" t="s">
        <v>1941</v>
      </c>
      <c r="C107" s="94" t="s">
        <v>198</v>
      </c>
      <c r="D107" s="61" t="s">
        <v>3592</v>
      </c>
      <c r="E107" s="11" t="str">
        <f>HYPERLINK("https://youtu.be/Spp7hHiGB7M?t=7095","channel 1")</f>
        <v>channel 1</v>
      </c>
    </row>
    <row r="108">
      <c r="A108" s="141"/>
      <c r="B108" s="61" t="s">
        <v>3590</v>
      </c>
      <c r="C108" s="94" t="s">
        <v>20</v>
      </c>
      <c r="D108" s="61" t="s">
        <v>3591</v>
      </c>
      <c r="E108" s="11" t="str">
        <f>HYPERLINK("https://youtu.be/Q2M-jCWwlU4?t=7403","channel 2")</f>
        <v>channel 2</v>
      </c>
    </row>
    <row r="109">
      <c r="A109" s="141"/>
      <c r="B109" s="61" t="s">
        <v>1416</v>
      </c>
      <c r="C109" s="94" t="s">
        <v>17</v>
      </c>
      <c r="D109" s="61" t="s">
        <v>3592</v>
      </c>
      <c r="E109" s="11" t="str">
        <f>HYPERLINK("https://youtu.be/Spp7hHiGB7M?t=7964","channel 1")</f>
        <v>channel 1</v>
      </c>
    </row>
    <row r="110">
      <c r="A110" s="141"/>
      <c r="B110" s="61" t="s">
        <v>1941</v>
      </c>
      <c r="C110" s="94" t="s">
        <v>158</v>
      </c>
      <c r="D110" s="61" t="s">
        <v>3591</v>
      </c>
      <c r="E110" s="11" t="str">
        <f>HYPERLINK("https://youtu.be/Q2M-jCWwlU4?t=8322","channel 2")</f>
        <v>channel 2</v>
      </c>
    </row>
    <row r="111">
      <c r="A111" s="141"/>
      <c r="B111" s="96" t="s">
        <v>1560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3445</v>
      </c>
      <c r="C113" s="94" t="s">
        <v>286</v>
      </c>
      <c r="D113" s="61" t="s">
        <v>6</v>
      </c>
      <c r="E113" s="11" t="str">
        <f>HYPERLINK("https://youtu.be/0ZYYxypENB4","channel 1")</f>
        <v>channel 1</v>
      </c>
    </row>
    <row r="114">
      <c r="A114" s="141"/>
      <c r="B114" s="61" t="s">
        <v>1076</v>
      </c>
      <c r="C114" s="94" t="s">
        <v>22</v>
      </c>
      <c r="D114" s="61" t="s">
        <v>3594</v>
      </c>
      <c r="E114" s="11" t="str">
        <f>HYPERLINK("https://youtu.be/U2_Nh0isl5U","channel 2")</f>
        <v>channel 2</v>
      </c>
    </row>
    <row r="115">
      <c r="A115" s="141"/>
      <c r="B115" s="61" t="s">
        <v>3446</v>
      </c>
      <c r="C115" s="94" t="s">
        <v>537</v>
      </c>
      <c r="D115" s="61" t="s">
        <v>3445</v>
      </c>
      <c r="E115" s="11" t="str">
        <f>HYPERLINK("https://youtu.be/0ZYYxypENB4?t=916","channel 1")</f>
        <v>channel 1</v>
      </c>
    </row>
    <row r="116">
      <c r="A116" s="141"/>
      <c r="B116" s="61" t="s">
        <v>1076</v>
      </c>
      <c r="C116" s="94" t="s">
        <v>18</v>
      </c>
      <c r="D116" s="61" t="s">
        <v>6</v>
      </c>
      <c r="E116" s="11" t="str">
        <f>HYPERLINK("https://youtu.be/U2_Nh0isl5U?t=1105","channel 2")</f>
        <v>channel 2</v>
      </c>
    </row>
    <row r="117">
      <c r="A117" s="141"/>
      <c r="B117" s="61" t="s">
        <v>3446</v>
      </c>
      <c r="C117" s="94" t="s">
        <v>433</v>
      </c>
      <c r="D117" s="61" t="s">
        <v>3594</v>
      </c>
      <c r="E117" s="11" t="str">
        <f>HYPERLINK("https://youtu.be/0ZYYxypENB4?t=1869","channel 1")</f>
        <v>channel 1</v>
      </c>
    </row>
    <row r="118">
      <c r="A118" s="141"/>
      <c r="B118" s="61" t="s">
        <v>1076</v>
      </c>
      <c r="C118" s="94" t="s">
        <v>466</v>
      </c>
      <c r="D118" s="61" t="s">
        <v>3445</v>
      </c>
      <c r="E118" s="11" t="str">
        <f>HYPERLINK("https://youtu.be/U2_Nh0isl5U?t=2015","channel 2")</f>
        <v>channel 2</v>
      </c>
    </row>
    <row r="119">
      <c r="A119" s="141"/>
      <c r="B119" s="61" t="s">
        <v>3446</v>
      </c>
      <c r="C119" s="94" t="s">
        <v>1265</v>
      </c>
      <c r="D119" s="61" t="s">
        <v>6</v>
      </c>
      <c r="E119" s="11" t="str">
        <f>HYPERLINK("https://youtu.be/0ZYYxypENB4?t=2665","channel 1")</f>
        <v>channel 1</v>
      </c>
    </row>
    <row r="120">
      <c r="A120" s="141"/>
      <c r="B120" s="61" t="s">
        <v>3594</v>
      </c>
      <c r="C120" s="94" t="s">
        <v>291</v>
      </c>
      <c r="D120" s="61" t="s">
        <v>3445</v>
      </c>
      <c r="E120" s="11" t="str">
        <f>HYPERLINK("https://youtu.be/U2_Nh0isl5U?t=2914","channel 2")</f>
        <v>channel 2</v>
      </c>
    </row>
    <row r="121">
      <c r="A121" s="141"/>
      <c r="B121" s="61" t="s">
        <v>3446</v>
      </c>
      <c r="C121" s="94" t="s">
        <v>155</v>
      </c>
      <c r="D121" s="61" t="s">
        <v>1076</v>
      </c>
      <c r="E121" s="11" t="str">
        <f>HYPERLINK("https://youtu.be/0ZYYxypENB4?t=3628","channel 1")</f>
        <v>channel 1</v>
      </c>
    </row>
    <row r="122">
      <c r="A122" s="141"/>
      <c r="B122" s="61" t="s">
        <v>3594</v>
      </c>
      <c r="C122" s="94" t="s">
        <v>380</v>
      </c>
      <c r="D122" s="61" t="s">
        <v>6</v>
      </c>
      <c r="E122" s="11" t="str">
        <f>HYPERLINK("https://youtu.be/U2_Nh0isl5U?t=3858","channel 2")</f>
        <v>channel 2</v>
      </c>
    </row>
    <row r="123">
      <c r="A123" s="141"/>
      <c r="B123" s="61" t="s">
        <v>6</v>
      </c>
      <c r="C123" s="94" t="s">
        <v>159</v>
      </c>
      <c r="D123" s="61" t="s">
        <v>3445</v>
      </c>
      <c r="E123" s="11" t="str">
        <f>HYPERLINK("https://youtu.be/0ZYYxypENB4?t=4510","channel 1")</f>
        <v>channel 1</v>
      </c>
    </row>
    <row r="124">
      <c r="A124" s="141"/>
      <c r="B124" s="61" t="s">
        <v>3594</v>
      </c>
      <c r="C124" s="94" t="s">
        <v>41</v>
      </c>
      <c r="D124" s="61" t="s">
        <v>1076</v>
      </c>
      <c r="E124" s="11" t="str">
        <f>HYPERLINK("https://youtu.be/U2_Nh0isl5U?t=4766","channel 2")</f>
        <v>channel 2</v>
      </c>
    </row>
    <row r="125">
      <c r="A125" s="141"/>
      <c r="B125" s="61" t="s">
        <v>3445</v>
      </c>
      <c r="C125" s="94" t="s">
        <v>22</v>
      </c>
      <c r="D125" s="61" t="s">
        <v>3446</v>
      </c>
      <c r="E125" s="11" t="str">
        <f>HYPERLINK("https://youtu.be/0ZYYxypENB4?t=5363","channel 1")</f>
        <v>channel 1</v>
      </c>
    </row>
    <row r="126">
      <c r="A126" s="141"/>
      <c r="B126" s="61" t="s">
        <v>6</v>
      </c>
      <c r="C126" s="94" t="s">
        <v>27</v>
      </c>
      <c r="D126" s="61" t="s">
        <v>1076</v>
      </c>
      <c r="E126" s="11" t="str">
        <f>HYPERLINK("https://youtu.be/U2_Nh0isl5U?t=5653","channel 2")</f>
        <v>channel 2</v>
      </c>
    </row>
    <row r="127">
      <c r="A127" s="141"/>
      <c r="B127" s="61" t="s">
        <v>3594</v>
      </c>
      <c r="C127" s="94" t="s">
        <v>366</v>
      </c>
      <c r="D127" s="61" t="s">
        <v>3446</v>
      </c>
      <c r="E127" s="11" t="str">
        <f>HYPERLINK("https://youtu.be/0ZYYxypENB4?t=6326","channel 1")</f>
        <v>channel 1</v>
      </c>
    </row>
    <row r="128">
      <c r="A128" s="141"/>
      <c r="B128" s="61" t="s">
        <v>3445</v>
      </c>
      <c r="C128" s="94" t="s">
        <v>20</v>
      </c>
      <c r="D128" s="61" t="s">
        <v>1076</v>
      </c>
      <c r="E128" s="11" t="str">
        <f>HYPERLINK("https://youtu.be/U2_Nh0isl5U?t=6555","channel 2")</f>
        <v>channel 2</v>
      </c>
    </row>
    <row r="129">
      <c r="A129" s="141"/>
      <c r="B129" s="61" t="s">
        <v>6</v>
      </c>
      <c r="C129" s="94" t="s">
        <v>17</v>
      </c>
      <c r="D129" s="61" t="s">
        <v>3446</v>
      </c>
      <c r="E129" s="11" t="str">
        <f>HYPERLINK("https://youtu.be/0ZYYxypENB4?t=7158","channel 1")</f>
        <v>channel 1</v>
      </c>
    </row>
    <row r="130">
      <c r="A130" s="141"/>
      <c r="B130" s="61" t="s">
        <v>3445</v>
      </c>
      <c r="C130" s="94" t="s">
        <v>279</v>
      </c>
      <c r="D130" s="61" t="s">
        <v>3594</v>
      </c>
      <c r="E130" s="11" t="str">
        <f>HYPERLINK("https://youtu.be/U2_Nh0isl5U?t=7454","channel 2")</f>
        <v>channel 2</v>
      </c>
    </row>
    <row r="131">
      <c r="A131" s="141"/>
      <c r="B131" s="61" t="s">
        <v>1076</v>
      </c>
      <c r="C131" s="94" t="s">
        <v>334</v>
      </c>
      <c r="D131" s="61" t="s">
        <v>3446</v>
      </c>
      <c r="E131" s="11" t="str">
        <f>HYPERLINK("https://youtu.be/0ZYYxypENB4?t=8099","channel 1")</f>
        <v>channel 1</v>
      </c>
    </row>
    <row r="132">
      <c r="A132" s="145"/>
      <c r="B132" s="61" t="s">
        <v>6</v>
      </c>
      <c r="C132" s="94" t="s">
        <v>36</v>
      </c>
      <c r="D132" s="61" t="s">
        <v>3594</v>
      </c>
      <c r="E132" s="11" t="str">
        <f>HYPERLINK("https://youtu.be/U2_Nh0isl5U?t=8416","channel 2")</f>
        <v>channel 2</v>
      </c>
    </row>
    <row r="133">
      <c r="B133" s="96" t="s">
        <v>2861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1382</v>
      </c>
      <c r="C135" s="94" t="s">
        <v>863</v>
      </c>
      <c r="D135" s="61" t="s">
        <v>3595</v>
      </c>
      <c r="E135" s="11" t="str">
        <f>HYPERLINK("https://youtu.be/4NMHaulp8kw","channel 3")</f>
        <v>channel 3</v>
      </c>
    </row>
    <row r="136">
      <c r="B136" s="62" t="s">
        <v>3596</v>
      </c>
      <c r="C136" s="94" t="s">
        <v>158</v>
      </c>
      <c r="D136" s="62" t="s">
        <v>3235</v>
      </c>
      <c r="E136" s="11" t="str">
        <f>HYPERLINK("https://youtu.be/a5cpa5iTrl4","channel 4")</f>
        <v>channel 4</v>
      </c>
    </row>
    <row r="137">
      <c r="B137" s="62" t="s">
        <v>3597</v>
      </c>
      <c r="C137" s="94" t="s">
        <v>301</v>
      </c>
      <c r="D137" s="62" t="s">
        <v>1382</v>
      </c>
      <c r="E137" s="11" t="str">
        <f>HYPERLINK("https://youtu.be/4NMHaulp8kw?t=1097","channel 3")</f>
        <v>channel 3</v>
      </c>
    </row>
    <row r="138">
      <c r="B138" s="62" t="s">
        <v>3596</v>
      </c>
      <c r="C138" s="94" t="s">
        <v>175</v>
      </c>
      <c r="D138" s="61" t="s">
        <v>3595</v>
      </c>
      <c r="E138" s="11" t="str">
        <f>HYPERLINK("https://youtu.be/a5cpa5iTrl4?t=1158","channel 4")</f>
        <v>channel 4</v>
      </c>
    </row>
    <row r="139">
      <c r="B139" s="62" t="s">
        <v>3597</v>
      </c>
      <c r="C139" s="94" t="s">
        <v>23</v>
      </c>
      <c r="D139" s="62" t="s">
        <v>3235</v>
      </c>
      <c r="E139" s="11" t="str">
        <f>HYPERLINK("https://youtu.be/4NMHaulp8kw?t=2063","channel 3")</f>
        <v>channel 3</v>
      </c>
    </row>
    <row r="140">
      <c r="B140" s="62" t="s">
        <v>3596</v>
      </c>
      <c r="C140" s="94" t="s">
        <v>23</v>
      </c>
      <c r="D140" s="62" t="s">
        <v>1382</v>
      </c>
      <c r="E140" s="11" t="str">
        <f>HYPERLINK("https://youtu.be/a5cpa5iTrl4?t=2035","channel 4")</f>
        <v>channel 4</v>
      </c>
    </row>
    <row r="141">
      <c r="B141" s="62" t="s">
        <v>3597</v>
      </c>
      <c r="C141" s="94" t="s">
        <v>193</v>
      </c>
      <c r="D141" s="61" t="s">
        <v>3595</v>
      </c>
      <c r="E141" s="11" t="str">
        <f>HYPERLINK("https://youtu.be/4NMHaulp8kw?t=3001","channel 3")</f>
        <v>channel 3</v>
      </c>
    </row>
    <row r="142">
      <c r="B142" s="62" t="s">
        <v>3235</v>
      </c>
      <c r="C142" s="94" t="s">
        <v>163</v>
      </c>
      <c r="D142" s="62" t="s">
        <v>1382</v>
      </c>
      <c r="E142" s="11" t="str">
        <f>HYPERLINK("https://youtu.be/a5cpa5iTrl4?t=2972","channel 4")</f>
        <v>channel 4</v>
      </c>
    </row>
    <row r="143">
      <c r="B143" s="62" t="s">
        <v>3597</v>
      </c>
      <c r="C143" s="94" t="s">
        <v>271</v>
      </c>
      <c r="D143" s="62" t="s">
        <v>3596</v>
      </c>
      <c r="E143" s="11" t="str">
        <f>HYPERLINK("https://youtu.be/4NMHaulp8kw?t=3916","channel 3")</f>
        <v>channel 3</v>
      </c>
    </row>
    <row r="144">
      <c r="B144" s="62" t="s">
        <v>3235</v>
      </c>
      <c r="C144" s="94" t="s">
        <v>181</v>
      </c>
      <c r="D144" s="61" t="s">
        <v>3595</v>
      </c>
      <c r="E144" s="11" t="str">
        <f>HYPERLINK("https://youtu.be/a5cpa5iTrl4?t=3843","channel 4")</f>
        <v>channel 4</v>
      </c>
    </row>
    <row r="145">
      <c r="B145" s="61" t="s">
        <v>3595</v>
      </c>
      <c r="C145" s="94" t="s">
        <v>225</v>
      </c>
      <c r="D145" s="62" t="s">
        <v>1382</v>
      </c>
      <c r="E145" s="11" t="str">
        <f>HYPERLINK("https://youtu.be/4NMHaulp8kw?t=4827","channel 3")</f>
        <v>channel 3</v>
      </c>
    </row>
    <row r="146">
      <c r="B146" s="62" t="s">
        <v>3235</v>
      </c>
      <c r="C146" s="94" t="s">
        <v>23</v>
      </c>
      <c r="D146" s="62" t="s">
        <v>3596</v>
      </c>
      <c r="E146" s="11" t="str">
        <f>HYPERLINK("https://youtu.be/a5cpa5iTrl4?t=4789","channel 4")</f>
        <v>channel 4</v>
      </c>
    </row>
    <row r="147">
      <c r="B147" s="62" t="s">
        <v>1382</v>
      </c>
      <c r="C147" s="94" t="s">
        <v>425</v>
      </c>
      <c r="D147" s="62" t="s">
        <v>3597</v>
      </c>
      <c r="E147" s="11" t="str">
        <f>HYPERLINK("https://youtu.be/4NMHaulp8kw?t=5750","channel 3")</f>
        <v>channel 3</v>
      </c>
    </row>
    <row r="148">
      <c r="B148" s="61" t="s">
        <v>3595</v>
      </c>
      <c r="C148" s="94" t="s">
        <v>20</v>
      </c>
      <c r="D148" s="62" t="s">
        <v>3596</v>
      </c>
      <c r="E148" s="11" t="str">
        <f>HYPERLINK("https://youtu.be/a5cpa5iTrl4?t=5781","channel 4")</f>
        <v>channel 4</v>
      </c>
    </row>
    <row r="149">
      <c r="B149" s="62" t="s">
        <v>3235</v>
      </c>
      <c r="C149" s="94" t="s">
        <v>23</v>
      </c>
      <c r="D149" s="62" t="s">
        <v>3597</v>
      </c>
      <c r="E149" s="11" t="str">
        <f>HYPERLINK("https://youtu.be/4NMHaulp8kw?t=6676","channel 3")</f>
        <v>channel 3</v>
      </c>
    </row>
    <row r="150">
      <c r="B150" s="62" t="s">
        <v>1382</v>
      </c>
      <c r="C150" s="94" t="s">
        <v>289</v>
      </c>
      <c r="D150" s="62" t="s">
        <v>3596</v>
      </c>
      <c r="E150" s="11" t="str">
        <f>HYPERLINK("https://youtu.be/a5cpa5iTrl4?t=7021","channel 4")</f>
        <v>channel 4</v>
      </c>
    </row>
    <row r="151">
      <c r="B151" s="61" t="s">
        <v>3595</v>
      </c>
      <c r="C151" s="94" t="s">
        <v>163</v>
      </c>
      <c r="D151" s="62" t="s">
        <v>3597</v>
      </c>
      <c r="E151" s="11" t="str">
        <f>HYPERLINK("https://youtu.be/4NMHaulp8kw?t=7628","channel 3")</f>
        <v>channel 3</v>
      </c>
    </row>
    <row r="152">
      <c r="B152" s="62" t="s">
        <v>1382</v>
      </c>
      <c r="C152" s="94" t="s">
        <v>163</v>
      </c>
      <c r="D152" s="62" t="s">
        <v>3235</v>
      </c>
      <c r="E152" s="11" t="str">
        <f>HYPERLINK("https://youtu.be/a5cpa5iTrl4?t=7954","channel 4")</f>
        <v>channel 4</v>
      </c>
    </row>
    <row r="153">
      <c r="B153" s="62" t="s">
        <v>3596</v>
      </c>
      <c r="C153" s="94" t="s">
        <v>325</v>
      </c>
      <c r="D153" s="62" t="s">
        <v>3597</v>
      </c>
      <c r="E153" s="11" t="str">
        <f>HYPERLINK("https://youtu.be/4NMHaulp8kw?t=8579","channel 3")</f>
        <v>channel 3</v>
      </c>
    </row>
    <row r="154">
      <c r="B154" s="61" t="s">
        <v>3595</v>
      </c>
      <c r="C154" s="94" t="s">
        <v>20</v>
      </c>
      <c r="D154" s="62" t="s">
        <v>3235</v>
      </c>
      <c r="E154" s="11" t="str">
        <f>HYPERLINK("https://youtu.be/a5cpa5iTrl4?t=8882","channel 4")</f>
        <v>channel 4</v>
      </c>
    </row>
    <row r="155">
      <c r="B155" s="96" t="s">
        <v>2862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2233</v>
      </c>
      <c r="C157" s="57" t="s">
        <v>281</v>
      </c>
      <c r="D157" s="61" t="s">
        <v>3598</v>
      </c>
      <c r="E157" s="11" t="str">
        <f>HYPERLINK("https://youtu.be/GHBmiK1giL8","channel 3")</f>
        <v>channel 3</v>
      </c>
    </row>
    <row r="158">
      <c r="B158" s="61" t="s">
        <v>3599</v>
      </c>
      <c r="C158" s="57" t="s">
        <v>158</v>
      </c>
      <c r="D158" s="62" t="s">
        <v>3600</v>
      </c>
      <c r="E158" s="11" t="str">
        <f>HYPERLINK("https://youtu.be/tdNUsi9Ura4","channel 4")</f>
        <v>channel 4</v>
      </c>
    </row>
    <row r="159">
      <c r="B159" s="62" t="s">
        <v>3601</v>
      </c>
      <c r="C159" s="57" t="s">
        <v>289</v>
      </c>
      <c r="D159" s="62" t="s">
        <v>2233</v>
      </c>
      <c r="E159" s="11" t="str">
        <f>HYPERLINK("https://youtu.be/GHBmiK1giL8?t=1053","channel 3")</f>
        <v>channel 3</v>
      </c>
    </row>
    <row r="160">
      <c r="B160" s="61" t="s">
        <v>3599</v>
      </c>
      <c r="C160" s="57" t="s">
        <v>43</v>
      </c>
      <c r="D160" s="61" t="s">
        <v>3598</v>
      </c>
      <c r="E160" s="11" t="str">
        <f>HYPERLINK("https://youtu.be/tdNUsi9Ura4?t=996","channel 4")</f>
        <v>channel 4</v>
      </c>
    </row>
    <row r="161">
      <c r="B161" s="62" t="s">
        <v>3601</v>
      </c>
      <c r="C161" s="57" t="s">
        <v>354</v>
      </c>
      <c r="D161" s="62" t="s">
        <v>3600</v>
      </c>
      <c r="E161" s="11" t="str">
        <f>HYPERLINK("https://youtu.be/GHBmiK1giL8?t=1985","channel 3")</f>
        <v>channel 3</v>
      </c>
    </row>
    <row r="162">
      <c r="B162" s="61" t="s">
        <v>3599</v>
      </c>
      <c r="C162" s="57" t="s">
        <v>184</v>
      </c>
      <c r="D162" s="62" t="s">
        <v>2233</v>
      </c>
      <c r="E162" s="11" t="str">
        <f>HYPERLINK("https://youtu.be/tdNUsi9Ura4?t=1922","channel 4")</f>
        <v>channel 4</v>
      </c>
    </row>
    <row r="163">
      <c r="B163" s="62" t="s">
        <v>3601</v>
      </c>
      <c r="C163" s="57" t="s">
        <v>383</v>
      </c>
      <c r="D163" s="61" t="s">
        <v>3598</v>
      </c>
      <c r="E163" s="11" t="str">
        <f>HYPERLINK("https://youtu.be/GHBmiK1giL8?t=2947","channel 3")</f>
        <v>channel 3</v>
      </c>
    </row>
    <row r="164">
      <c r="B164" s="62" t="s">
        <v>3600</v>
      </c>
      <c r="C164" s="57" t="s">
        <v>164</v>
      </c>
      <c r="D164" s="62" t="s">
        <v>2233</v>
      </c>
      <c r="E164" s="11" t="str">
        <f>HYPERLINK("https://youtu.be/tdNUsi9Ura4?t=2877","channel 4")</f>
        <v>channel 4</v>
      </c>
    </row>
    <row r="165">
      <c r="B165" s="62" t="s">
        <v>3601</v>
      </c>
      <c r="C165" s="57" t="s">
        <v>18</v>
      </c>
      <c r="D165" s="61" t="s">
        <v>3599</v>
      </c>
      <c r="E165" s="11" t="str">
        <f>HYPERLINK("https://youtu.be/GHBmiK1giL8?t=3866","channel 3")</f>
        <v>channel 3</v>
      </c>
    </row>
    <row r="166">
      <c r="B166" s="62" t="s">
        <v>3600</v>
      </c>
      <c r="C166" s="57" t="s">
        <v>219</v>
      </c>
      <c r="D166" s="61" t="s">
        <v>3598</v>
      </c>
      <c r="E166" s="11" t="str">
        <f>HYPERLINK("https://youtu.be/tdNUsi9Ura4?t=3795","channel 4")</f>
        <v>channel 4</v>
      </c>
    </row>
    <row r="167">
      <c r="B167" s="61" t="s">
        <v>3598</v>
      </c>
      <c r="C167" s="57" t="s">
        <v>16</v>
      </c>
      <c r="D167" s="62" t="s">
        <v>2233</v>
      </c>
      <c r="E167" s="11" t="str">
        <f>HYPERLINK("https://youtu.be/GHBmiK1giL8?t=4765","channel 3")</f>
        <v>channel 3</v>
      </c>
    </row>
    <row r="168">
      <c r="B168" s="62" t="s">
        <v>3600</v>
      </c>
      <c r="C168" s="57" t="s">
        <v>18</v>
      </c>
      <c r="D168" s="61" t="s">
        <v>3599</v>
      </c>
      <c r="E168" s="11" t="str">
        <f>HYPERLINK("https://youtu.be/tdNUsi9Ura4?t=4781","channel 4")</f>
        <v>channel 4</v>
      </c>
    </row>
    <row r="169">
      <c r="B169" s="62" t="s">
        <v>2233</v>
      </c>
      <c r="C169" s="57" t="s">
        <v>464</v>
      </c>
      <c r="D169" s="62" t="s">
        <v>3601</v>
      </c>
      <c r="E169" s="11" t="str">
        <f>HYPERLINK("https://youtu.be/GHBmiK1giL8?t=5694","channel 3")</f>
        <v>channel 3</v>
      </c>
    </row>
    <row r="170">
      <c r="B170" s="61" t="s">
        <v>3598</v>
      </c>
      <c r="C170" s="57" t="s">
        <v>357</v>
      </c>
      <c r="D170" s="61" t="s">
        <v>3599</v>
      </c>
      <c r="E170" s="11" t="str">
        <f>HYPERLINK("https://youtu.be/tdNUsi9Ura4?t=5746","channel 4")</f>
        <v>channel 4</v>
      </c>
    </row>
    <row r="171">
      <c r="B171" s="62" t="s">
        <v>3600</v>
      </c>
      <c r="C171" s="57" t="s">
        <v>24</v>
      </c>
      <c r="D171" s="62" t="s">
        <v>3601</v>
      </c>
      <c r="E171" s="11" t="str">
        <f>HYPERLINK("https://youtu.be/GHBmiK1giL8?t=6625","channel 3")</f>
        <v>channel 3</v>
      </c>
    </row>
    <row r="172">
      <c r="B172" s="62" t="s">
        <v>2233</v>
      </c>
      <c r="C172" s="57" t="s">
        <v>18</v>
      </c>
      <c r="D172" s="61" t="s">
        <v>3599</v>
      </c>
      <c r="E172" s="11" t="str">
        <f>HYPERLINK("https://youtu.be/tdNUsi9Ura4?t=6678","channel 4")</f>
        <v>channel 4</v>
      </c>
    </row>
    <row r="173">
      <c r="B173" s="61" t="s">
        <v>3598</v>
      </c>
      <c r="C173" s="57" t="s">
        <v>219</v>
      </c>
      <c r="D173" s="62" t="s">
        <v>3601</v>
      </c>
      <c r="E173" s="11" t="str">
        <f>HYPERLINK("https://youtu.be/GHBmiK1giL8?t=7558","channel 3")</f>
        <v>channel 3</v>
      </c>
    </row>
    <row r="174">
      <c r="B174" s="62" t="s">
        <v>2233</v>
      </c>
      <c r="C174" s="57" t="s">
        <v>2264</v>
      </c>
      <c r="D174" s="62" t="s">
        <v>3600</v>
      </c>
      <c r="E174" s="11" t="str">
        <f>HYPERLINK("https://youtu.be/tdNUsi9Ura4?t=7617","channel 4")</f>
        <v>channel 4</v>
      </c>
    </row>
    <row r="175">
      <c r="B175" s="61" t="s">
        <v>3599</v>
      </c>
      <c r="C175" s="57" t="s">
        <v>208</v>
      </c>
      <c r="D175" s="62" t="s">
        <v>3601</v>
      </c>
      <c r="E175" s="11" t="str">
        <f>HYPERLINK("https://youtu.be/GHBmiK1giL8?t=8453","channel 3")</f>
        <v>channel 3</v>
      </c>
    </row>
    <row r="176">
      <c r="B176" s="61" t="s">
        <v>3598</v>
      </c>
      <c r="C176" s="57" t="s">
        <v>158</v>
      </c>
      <c r="D176" s="62" t="s">
        <v>3600</v>
      </c>
      <c r="E176" s="11" t="str">
        <f>HYPERLINK("https://youtu.be/tdNUsi9Ura4?t=8536","channel 4")</f>
        <v>channel 4</v>
      </c>
    </row>
    <row r="177">
      <c r="B177" s="96" t="s">
        <v>3576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3602</v>
      </c>
      <c r="C179" s="94" t="s">
        <v>421</v>
      </c>
      <c r="D179" s="62" t="s">
        <v>1749</v>
      </c>
      <c r="E179" s="11" t="str">
        <f>HYPERLINK("https://youtu.be/evMwSpAaYtU","channel 1")</f>
        <v>channel 1</v>
      </c>
    </row>
    <row r="180">
      <c r="B180" s="62" t="s">
        <v>1883</v>
      </c>
      <c r="C180" s="94" t="s">
        <v>20</v>
      </c>
      <c r="D180" s="62" t="s">
        <v>3369</v>
      </c>
      <c r="E180" s="11" t="str">
        <f>HYPERLINK("https://youtu.be/Ouvoum5tdpI","channel 2")</f>
        <v>channel 2</v>
      </c>
    </row>
    <row r="181">
      <c r="B181" s="62" t="s">
        <v>3263</v>
      </c>
      <c r="C181" s="94" t="s">
        <v>915</v>
      </c>
      <c r="D181" s="62" t="s">
        <v>3602</v>
      </c>
      <c r="E181" s="11" t="str">
        <f>HYPERLINK("https://youtu.be/evMwSpAaYtU?t=581","channel 1")</f>
        <v>channel 1</v>
      </c>
    </row>
    <row r="182">
      <c r="B182" s="62" t="s">
        <v>1883</v>
      </c>
      <c r="C182" s="94" t="s">
        <v>216</v>
      </c>
      <c r="D182" s="62" t="s">
        <v>1749</v>
      </c>
      <c r="E182" s="11" t="str">
        <f>HYPERLINK("https://youtu.be/Ouvoum5tdpI?t=959","channel 2")</f>
        <v>channel 2</v>
      </c>
    </row>
    <row r="183">
      <c r="B183" s="62" t="s">
        <v>3263</v>
      </c>
      <c r="C183" s="94" t="s">
        <v>165</v>
      </c>
      <c r="D183" s="62" t="s">
        <v>3369</v>
      </c>
      <c r="E183" s="11" t="str">
        <f>HYPERLINK("https://youtu.be/evMwSpAaYtU?t=1471","channel 1")</f>
        <v>channel 1</v>
      </c>
    </row>
    <row r="184">
      <c r="B184" s="62" t="s">
        <v>1883</v>
      </c>
      <c r="C184" s="94" t="s">
        <v>248</v>
      </c>
      <c r="D184" s="62" t="s">
        <v>3602</v>
      </c>
      <c r="E184" s="11" t="str">
        <f>HYPERLINK("https://youtu.be/Ouvoum5tdpI?t=1864","channel 2")</f>
        <v>channel 2</v>
      </c>
    </row>
    <row r="185">
      <c r="B185" s="62" t="s">
        <v>3263</v>
      </c>
      <c r="C185" s="94" t="s">
        <v>189</v>
      </c>
      <c r="D185" s="62" t="s">
        <v>1749</v>
      </c>
      <c r="E185" s="11" t="str">
        <f>HYPERLINK("https://youtu.be/evMwSpAaYtU?t=2357","channel 1")</f>
        <v>channel 1</v>
      </c>
    </row>
    <row r="186">
      <c r="B186" s="62" t="s">
        <v>3369</v>
      </c>
      <c r="C186" s="94" t="s">
        <v>42</v>
      </c>
      <c r="D186" s="62" t="s">
        <v>3602</v>
      </c>
      <c r="E186" s="11" t="str">
        <f>HYPERLINK("https://youtu.be/Ouvoum5tdpI?t=2747","channel 2")</f>
        <v>channel 2</v>
      </c>
    </row>
    <row r="187">
      <c r="B187" s="62" t="s">
        <v>3263</v>
      </c>
      <c r="C187" s="94" t="s">
        <v>290</v>
      </c>
      <c r="D187" s="62" t="s">
        <v>1883</v>
      </c>
      <c r="E187" s="11" t="str">
        <f>HYPERLINK("https://youtu.be/evMwSpAaYtU?t=3208","channel 1")</f>
        <v>channel 1</v>
      </c>
    </row>
    <row r="188">
      <c r="B188" s="62" t="s">
        <v>3369</v>
      </c>
      <c r="C188" s="94" t="s">
        <v>279</v>
      </c>
      <c r="D188" s="62" t="s">
        <v>1749</v>
      </c>
      <c r="E188" s="11" t="str">
        <f>HYPERLINK("https://youtu.be/Ouvoum5tdpI?t=3606","channel 2")</f>
        <v>channel 2</v>
      </c>
    </row>
    <row r="189">
      <c r="B189" s="62" t="s">
        <v>1749</v>
      </c>
      <c r="C189" s="94" t="s">
        <v>525</v>
      </c>
      <c r="D189" s="62" t="s">
        <v>3602</v>
      </c>
      <c r="E189" s="11" t="str">
        <f>HYPERLINK("https://youtu.be/evMwSpAaYtU?t=4081","channel 1")</f>
        <v>channel 1</v>
      </c>
    </row>
    <row r="190">
      <c r="B190" s="62" t="s">
        <v>3369</v>
      </c>
      <c r="C190" s="94" t="s">
        <v>534</v>
      </c>
      <c r="D190" s="62" t="s">
        <v>1883</v>
      </c>
      <c r="E190" s="11" t="str">
        <f>HYPERLINK("https://youtu.be/Ouvoum5tdpI?t=4452","channel 2")</f>
        <v>channel 2</v>
      </c>
    </row>
    <row r="191">
      <c r="B191" s="62" t="s">
        <v>3602</v>
      </c>
      <c r="C191" s="94" t="s">
        <v>2563</v>
      </c>
      <c r="D191" s="62" t="s">
        <v>3263</v>
      </c>
      <c r="E191" s="11" t="str">
        <f>HYPERLINK("https://youtu.be/evMwSpAaYtU?t=4991","channel 1")</f>
        <v>channel 1</v>
      </c>
    </row>
    <row r="192">
      <c r="B192" s="62" t="s">
        <v>1749</v>
      </c>
      <c r="C192" s="94" t="s">
        <v>16</v>
      </c>
      <c r="D192" s="62" t="s">
        <v>1883</v>
      </c>
      <c r="E192" s="11" t="str">
        <f>HYPERLINK("https://youtu.be/Ouvoum5tdpI?t=5357","channel 2")</f>
        <v>channel 2</v>
      </c>
    </row>
    <row r="193">
      <c r="B193" s="62" t="s">
        <v>3369</v>
      </c>
      <c r="C193" s="94" t="s">
        <v>651</v>
      </c>
      <c r="D193" s="62" t="s">
        <v>3263</v>
      </c>
      <c r="E193" s="11" t="str">
        <f>HYPERLINK("https://youtu.be/evMwSpAaYtU?t=5866","channel 1")</f>
        <v>channel 1</v>
      </c>
    </row>
    <row r="194">
      <c r="B194" s="62" t="s">
        <v>3602</v>
      </c>
      <c r="C194" s="94" t="s">
        <v>23</v>
      </c>
      <c r="D194" s="62" t="s">
        <v>1883</v>
      </c>
      <c r="E194" s="11" t="str">
        <f>HYPERLINK("https://youtu.be/Ouvoum5tdpI?t=6270","channel 2")</f>
        <v>channel 2</v>
      </c>
    </row>
    <row r="195">
      <c r="B195" s="62" t="s">
        <v>1749</v>
      </c>
      <c r="C195" s="94" t="s">
        <v>651</v>
      </c>
      <c r="D195" s="62" t="s">
        <v>3263</v>
      </c>
      <c r="E195" s="11" t="str">
        <f>HYPERLINK("https://youtu.be/evMwSpAaYtU?t=6769","channel 1")</f>
        <v>channel 1</v>
      </c>
    </row>
    <row r="196">
      <c r="B196" s="62" t="s">
        <v>3602</v>
      </c>
      <c r="C196" s="94" t="s">
        <v>157</v>
      </c>
      <c r="D196" s="62" t="s">
        <v>3369</v>
      </c>
      <c r="E196" s="11" t="str">
        <f>HYPERLINK("https://youtu.be/Ouvoum5tdpI?t=7199","channel 2")</f>
        <v>channel 2</v>
      </c>
    </row>
    <row r="197">
      <c r="B197" s="62" t="s">
        <v>1883</v>
      </c>
      <c r="C197" s="94" t="s">
        <v>764</v>
      </c>
      <c r="D197" s="62" t="s">
        <v>3263</v>
      </c>
      <c r="E197" s="11" t="str">
        <f>HYPERLINK("https://youtu.be/evMwSpAaYtU?t=7683","channel 1")</f>
        <v>channel 1</v>
      </c>
    </row>
    <row r="198">
      <c r="B198" s="62" t="s">
        <v>1749</v>
      </c>
      <c r="C198" s="94" t="s">
        <v>280</v>
      </c>
      <c r="D198" s="62" t="s">
        <v>3369</v>
      </c>
      <c r="E198" s="11" t="str">
        <f>HYPERLINK("https://youtu.be/Ouvoum5tdpI?t=8121","channel 2")</f>
        <v>channel 2</v>
      </c>
    </row>
    <row r="199">
      <c r="B199" s="96" t="s">
        <v>2304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3603</v>
      </c>
      <c r="C201" s="94" t="s">
        <v>43</v>
      </c>
      <c r="D201" s="62" t="s">
        <v>2027</v>
      </c>
      <c r="E201" s="11" t="str">
        <f>HYPERLINK("https://youtu.be/8hwZTiRniL0?t=1475","channel 1")</f>
        <v>channel 1</v>
      </c>
    </row>
    <row r="202">
      <c r="B202" s="62" t="s">
        <v>2436</v>
      </c>
      <c r="C202" s="94" t="s">
        <v>2875</v>
      </c>
      <c r="D202" s="62" t="s">
        <v>2083</v>
      </c>
      <c r="E202" s="11" t="str">
        <f>HYPERLINK("https://youtu.be/6s7rRFkVnTk?t=1455","channel 2")</f>
        <v>channel 2</v>
      </c>
    </row>
    <row r="203">
      <c r="B203" s="62" t="s">
        <v>1712</v>
      </c>
      <c r="C203" s="94" t="s">
        <v>3604</v>
      </c>
      <c r="D203" s="62" t="s">
        <v>3603</v>
      </c>
      <c r="E203" s="11" t="str">
        <f>HYPERLINK("https://youtu.be/8hwZTiRniL0?t=2431","channel 1")</f>
        <v>channel 1</v>
      </c>
    </row>
    <row r="204">
      <c r="B204" s="62" t="s">
        <v>2436</v>
      </c>
      <c r="C204" s="94" t="s">
        <v>43</v>
      </c>
      <c r="D204" s="62" t="s">
        <v>2027</v>
      </c>
      <c r="E204" s="11" t="str">
        <f>HYPERLINK("https://youtu.be/6s7rRFkVnTk?t=2415","channel 2")</f>
        <v>channel 2</v>
      </c>
    </row>
    <row r="205">
      <c r="B205" s="62" t="s">
        <v>1712</v>
      </c>
      <c r="C205" s="94" t="s">
        <v>1186</v>
      </c>
      <c r="D205" s="62" t="s">
        <v>2083</v>
      </c>
      <c r="E205" s="11" t="str">
        <f>HYPERLINK("https://youtu.be/8hwZTiRniL0?t=3387","channel 1")</f>
        <v>channel 1</v>
      </c>
    </row>
    <row r="206">
      <c r="B206" s="62" t="s">
        <v>2436</v>
      </c>
      <c r="C206" s="94" t="s">
        <v>289</v>
      </c>
      <c r="D206" s="62" t="s">
        <v>3603</v>
      </c>
      <c r="E206" s="11" t="str">
        <f>HYPERLINK("https://youtu.be/6s7rRFkVnTk?t=3308","channel 2")</f>
        <v>channel 2</v>
      </c>
    </row>
    <row r="207">
      <c r="B207" s="62" t="s">
        <v>1712</v>
      </c>
      <c r="C207" s="94" t="s">
        <v>19</v>
      </c>
      <c r="D207" s="62" t="s">
        <v>2027</v>
      </c>
      <c r="E207" s="11" t="str">
        <f>HYPERLINK("https://youtu.be/8hwZTiRniL0?t=4294","channel 1")</f>
        <v>channel 1</v>
      </c>
    </row>
    <row r="208">
      <c r="B208" s="62" t="s">
        <v>2083</v>
      </c>
      <c r="C208" s="94" t="s">
        <v>42</v>
      </c>
      <c r="D208" s="62" t="s">
        <v>3603</v>
      </c>
      <c r="E208" s="11" t="str">
        <f>HYPERLINK("https://youtu.be/6s7rRFkVnTk?t=4258","channel 2")</f>
        <v>channel 2</v>
      </c>
    </row>
    <row r="209">
      <c r="B209" s="62" t="s">
        <v>1712</v>
      </c>
      <c r="C209" s="94" t="s">
        <v>19</v>
      </c>
      <c r="D209" s="62" t="s">
        <v>2436</v>
      </c>
      <c r="E209" s="11" t="str">
        <f>HYPERLINK("https://youtu.be/8hwZTiRniL0?t=5298","channel 1")</f>
        <v>channel 1</v>
      </c>
    </row>
    <row r="210">
      <c r="B210" s="62" t="s">
        <v>2083</v>
      </c>
      <c r="C210" s="94" t="s">
        <v>289</v>
      </c>
      <c r="D210" s="62" t="s">
        <v>2027</v>
      </c>
      <c r="E210" s="11" t="str">
        <f>HYPERLINK("https://youtu.be/6s7rRFkVnTk?t=5260","channel 2")</f>
        <v>channel 2</v>
      </c>
    </row>
    <row r="211">
      <c r="B211" s="62" t="s">
        <v>2027</v>
      </c>
      <c r="C211" s="94" t="s">
        <v>225</v>
      </c>
      <c r="D211" s="62" t="s">
        <v>3603</v>
      </c>
      <c r="E211" s="11" t="str">
        <f>HYPERLINK("https://youtu.be/8hwZTiRniL0?t=6231","channel 1")</f>
        <v>channel 1</v>
      </c>
    </row>
    <row r="212">
      <c r="B212" s="62" t="s">
        <v>2083</v>
      </c>
      <c r="C212" s="94" t="s">
        <v>292</v>
      </c>
      <c r="D212" s="62" t="s">
        <v>2436</v>
      </c>
      <c r="E212" s="11" t="str">
        <f>HYPERLINK("https://youtu.be/6s7rRFkVnTk?t=6216","channel 2")</f>
        <v>channel 2</v>
      </c>
    </row>
    <row r="213">
      <c r="B213" s="62" t="s">
        <v>3603</v>
      </c>
      <c r="C213" s="94" t="s">
        <v>464</v>
      </c>
      <c r="D213" s="62" t="s">
        <v>1712</v>
      </c>
      <c r="E213" s="11" t="str">
        <f>HYPERLINK("https://youtu.be/8hwZTiRniL0?t=7170","channel 1")</f>
        <v>channel 1</v>
      </c>
    </row>
    <row r="214">
      <c r="B214" s="62" t="s">
        <v>2027</v>
      </c>
      <c r="C214" s="94" t="s">
        <v>173</v>
      </c>
      <c r="D214" s="62" t="s">
        <v>2436</v>
      </c>
      <c r="E214" s="11" t="str">
        <f>HYPERLINK("https://youtu.be/6s7rRFkVnTk?t=7097","channel 2")</f>
        <v>channel 2</v>
      </c>
    </row>
    <row r="215">
      <c r="B215" s="62" t="s">
        <v>2083</v>
      </c>
      <c r="C215" s="94" t="s">
        <v>220</v>
      </c>
      <c r="D215" s="62" t="s">
        <v>1712</v>
      </c>
      <c r="E215" s="11" t="str">
        <f>HYPERLINK("https://youtu.be/8hwZTiRniL0?t=8085","channel 1")</f>
        <v>channel 1</v>
      </c>
    </row>
    <row r="216">
      <c r="B216" s="62" t="s">
        <v>3603</v>
      </c>
      <c r="C216" s="94" t="s">
        <v>163</v>
      </c>
      <c r="D216" s="62" t="s">
        <v>2436</v>
      </c>
      <c r="E216" s="11" t="str">
        <f>HYPERLINK("https://youtu.be/6s7rRFkVnTk?t=8018","channel 2")</f>
        <v>channel 2</v>
      </c>
    </row>
    <row r="217">
      <c r="B217" s="62" t="s">
        <v>2027</v>
      </c>
      <c r="C217" s="94" t="s">
        <v>302</v>
      </c>
      <c r="D217" s="62" t="s">
        <v>1712</v>
      </c>
      <c r="E217" s="11" t="str">
        <f>HYPERLINK("https://youtu.be/8hwZTiRniL0?t=8979","channel 1")</f>
        <v>channel 1</v>
      </c>
    </row>
    <row r="218">
      <c r="B218" s="62" t="s">
        <v>3603</v>
      </c>
      <c r="C218" s="94" t="s">
        <v>230</v>
      </c>
      <c r="D218" s="62" t="s">
        <v>2083</v>
      </c>
      <c r="E218" s="11" t="str">
        <f>HYPERLINK("https://youtu.be/6s7rRFkVnTk?t=9008","channel 2")</f>
        <v>channel 2</v>
      </c>
    </row>
    <row r="219">
      <c r="B219" s="62" t="s">
        <v>2436</v>
      </c>
      <c r="C219" s="94" t="s">
        <v>465</v>
      </c>
      <c r="D219" s="62" t="s">
        <v>1712</v>
      </c>
      <c r="E219" s="11" t="str">
        <f>HYPERLINK("https://youtu.be/8hwZTiRniL0?t=9872","channel 1")</f>
        <v>channel 1</v>
      </c>
    </row>
    <row r="220">
      <c r="B220" s="62" t="s">
        <v>2027</v>
      </c>
      <c r="C220" s="94" t="s">
        <v>271</v>
      </c>
      <c r="D220" s="62" t="s">
        <v>2083</v>
      </c>
      <c r="E220" s="11" t="str">
        <f>HYPERLINK("https://youtu.be/6s7rRFkVnTk?t=9981","channel 2")</f>
        <v>channel 2</v>
      </c>
    </row>
    <row r="221">
      <c r="B221" s="146"/>
      <c r="C221" s="146"/>
      <c r="D221" s="146"/>
      <c r="E221" s="146"/>
    </row>
    <row r="222">
      <c r="B222" s="146"/>
      <c r="C222" s="146"/>
      <c r="D222" s="146"/>
      <c r="E222" s="146"/>
    </row>
    <row r="223">
      <c r="B223" s="146"/>
      <c r="C223" s="146"/>
      <c r="D223" s="146"/>
      <c r="E223" s="146"/>
    </row>
    <row r="224">
      <c r="B224" s="146"/>
      <c r="C224" s="146"/>
      <c r="D224" s="146"/>
      <c r="E224" s="146"/>
    </row>
    <row r="225">
      <c r="B225" s="146"/>
      <c r="C225" s="146"/>
      <c r="D225" s="146"/>
      <c r="E225" s="146"/>
    </row>
    <row r="226">
      <c r="B226" s="146"/>
      <c r="C226" s="146"/>
      <c r="D226" s="146"/>
      <c r="E226" s="146"/>
    </row>
    <row r="227">
      <c r="B227" s="146"/>
      <c r="C227" s="146"/>
      <c r="D227" s="146"/>
      <c r="E227" s="146"/>
    </row>
    <row r="228">
      <c r="B228" s="146"/>
      <c r="C228" s="146"/>
      <c r="D228" s="146"/>
      <c r="E228" s="146"/>
    </row>
    <row r="229">
      <c r="B229" s="146"/>
      <c r="C229" s="146"/>
      <c r="D229" s="146"/>
      <c r="E229" s="146"/>
    </row>
    <row r="230">
      <c r="B230" s="146"/>
      <c r="C230" s="146"/>
      <c r="D230" s="146"/>
      <c r="E230" s="146"/>
    </row>
    <row r="231">
      <c r="B231" s="146"/>
      <c r="C231" s="146"/>
      <c r="D231" s="146"/>
      <c r="E231" s="146"/>
    </row>
    <row r="232">
      <c r="B232" s="146"/>
      <c r="C232" s="146"/>
      <c r="D232" s="146"/>
      <c r="E232" s="146"/>
    </row>
    <row r="233">
      <c r="B233" s="146"/>
      <c r="C233" s="146"/>
      <c r="D233" s="146"/>
      <c r="E233" s="146"/>
    </row>
    <row r="234">
      <c r="B234" s="146"/>
      <c r="C234" s="146"/>
      <c r="D234" s="146"/>
      <c r="E234" s="146"/>
    </row>
    <row r="235">
      <c r="B235" s="146"/>
      <c r="C235" s="146"/>
      <c r="D235" s="146"/>
      <c r="E235" s="146"/>
    </row>
    <row r="236">
      <c r="B236" s="146"/>
      <c r="C236" s="146"/>
      <c r="D236" s="146"/>
      <c r="E236" s="146"/>
    </row>
    <row r="237">
      <c r="B237" s="146"/>
      <c r="C237" s="146"/>
      <c r="D237" s="146"/>
      <c r="E237" s="146"/>
    </row>
    <row r="238">
      <c r="B238" s="146"/>
      <c r="C238" s="146"/>
      <c r="D238" s="146"/>
      <c r="E238" s="146"/>
    </row>
    <row r="239">
      <c r="B239" s="146"/>
      <c r="C239" s="146"/>
      <c r="D239" s="146"/>
      <c r="E239" s="146"/>
    </row>
    <row r="240">
      <c r="B240" s="146"/>
      <c r="C240" s="146"/>
      <c r="D240" s="146"/>
      <c r="E240" s="146"/>
    </row>
    <row r="241">
      <c r="B241" s="146"/>
      <c r="C241" s="146"/>
      <c r="D241" s="146"/>
      <c r="E241" s="146"/>
    </row>
    <row r="242">
      <c r="B242" s="146"/>
      <c r="C242" s="146"/>
      <c r="D242" s="146"/>
      <c r="E242" s="146"/>
    </row>
    <row r="243">
      <c r="B243" s="146"/>
      <c r="C243" s="146"/>
      <c r="D243" s="146"/>
      <c r="E243" s="146"/>
    </row>
    <row r="244">
      <c r="B244" s="146"/>
      <c r="C244" s="146"/>
      <c r="D244" s="146"/>
      <c r="E244" s="146"/>
    </row>
    <row r="245">
      <c r="B245" s="146"/>
      <c r="C245" s="146"/>
      <c r="D245" s="146"/>
      <c r="E245" s="146"/>
    </row>
    <row r="246">
      <c r="B246" s="146"/>
      <c r="C246" s="146"/>
      <c r="D246" s="146"/>
      <c r="E246" s="146"/>
    </row>
    <row r="247">
      <c r="B247" s="146"/>
      <c r="C247" s="146"/>
      <c r="D247" s="146"/>
      <c r="E247" s="146"/>
    </row>
    <row r="248">
      <c r="B248" s="146"/>
      <c r="C248" s="146"/>
      <c r="D248" s="146"/>
      <c r="E248" s="146"/>
    </row>
    <row r="249">
      <c r="B249" s="146"/>
      <c r="C249" s="146"/>
      <c r="D249" s="146"/>
      <c r="E249" s="146"/>
    </row>
    <row r="250">
      <c r="B250" s="146"/>
      <c r="C250" s="146"/>
      <c r="D250" s="146"/>
      <c r="E250" s="146"/>
    </row>
    <row r="251">
      <c r="B251" s="146"/>
      <c r="C251" s="146"/>
      <c r="D251" s="146"/>
      <c r="E251" s="146"/>
    </row>
    <row r="252">
      <c r="B252" s="146"/>
      <c r="C252" s="146"/>
      <c r="D252" s="146"/>
      <c r="E252" s="146"/>
    </row>
    <row r="253">
      <c r="B253" s="146"/>
      <c r="C253" s="146"/>
      <c r="D253" s="146"/>
      <c r="E253" s="146"/>
    </row>
    <row r="254">
      <c r="B254" s="146"/>
      <c r="C254" s="146"/>
      <c r="D254" s="146"/>
      <c r="E254" s="146"/>
    </row>
    <row r="255">
      <c r="B255" s="146"/>
      <c r="C255" s="146"/>
      <c r="D255" s="146"/>
      <c r="E255" s="146"/>
    </row>
    <row r="256">
      <c r="B256" s="146"/>
      <c r="C256" s="146"/>
      <c r="D256" s="146"/>
      <c r="E256" s="146"/>
    </row>
    <row r="257">
      <c r="B257" s="146"/>
      <c r="C257" s="146"/>
      <c r="D257" s="146"/>
      <c r="E257" s="146"/>
    </row>
    <row r="258">
      <c r="B258" s="146"/>
      <c r="C258" s="146"/>
      <c r="D258" s="146"/>
      <c r="E258" s="146"/>
    </row>
    <row r="259">
      <c r="B259" s="146"/>
      <c r="C259" s="146"/>
      <c r="D259" s="146"/>
      <c r="E259" s="146"/>
    </row>
    <row r="260">
      <c r="B260" s="146"/>
      <c r="C260" s="146"/>
      <c r="D260" s="146"/>
      <c r="E260" s="146"/>
    </row>
    <row r="261">
      <c r="B261" s="146"/>
      <c r="C261" s="146"/>
      <c r="D261" s="146"/>
      <c r="E261" s="146"/>
    </row>
    <row r="262">
      <c r="B262" s="146"/>
      <c r="C262" s="146"/>
      <c r="D262" s="146"/>
      <c r="E262" s="146"/>
    </row>
    <row r="263">
      <c r="B263" s="146"/>
      <c r="C263" s="146"/>
      <c r="D263" s="146"/>
      <c r="E263" s="146"/>
    </row>
    <row r="264">
      <c r="B264" s="146"/>
      <c r="C264" s="146"/>
      <c r="D264" s="146"/>
      <c r="E264" s="146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0"/>
      <c r="B1" s="96" t="s">
        <v>2471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142" t="s">
        <v>3042</v>
      </c>
      <c r="C3" s="94" t="s">
        <v>163</v>
      </c>
      <c r="D3" s="61" t="s">
        <v>3605</v>
      </c>
      <c r="E3" s="11" t="str">
        <f>HYPERLINK("https://youtu.be/Trv7qcciils","channel 1")</f>
        <v>channel 1</v>
      </c>
    </row>
    <row r="4">
      <c r="A4" s="141"/>
      <c r="B4" s="61" t="s">
        <v>3606</v>
      </c>
      <c r="C4" s="94" t="s">
        <v>418</v>
      </c>
      <c r="D4" s="61" t="s">
        <v>3607</v>
      </c>
      <c r="E4" s="11" t="str">
        <f>HYPERLINK("https://youtu.be/QvMl00QbqsA","channel 2")</f>
        <v>channel 2</v>
      </c>
    </row>
    <row r="5">
      <c r="A5" s="141"/>
      <c r="B5" s="61" t="s">
        <v>3205</v>
      </c>
      <c r="C5" s="94" t="s">
        <v>41</v>
      </c>
      <c r="D5" s="61" t="s">
        <v>3042</v>
      </c>
      <c r="E5" s="11" t="str">
        <f>HYPERLINK("https://youtu.be/Trv7qcciils?t=892","channel 1")</f>
        <v>channel 1</v>
      </c>
    </row>
    <row r="6">
      <c r="A6" s="141"/>
      <c r="B6" s="61" t="s">
        <v>3606</v>
      </c>
      <c r="C6" s="94" t="s">
        <v>425</v>
      </c>
      <c r="D6" s="61" t="s">
        <v>3605</v>
      </c>
      <c r="E6" s="11" t="str">
        <f>HYPERLINK("https://youtu.be/QvMl00QbqsA?t=748","channel 2")</f>
        <v>channel 2</v>
      </c>
    </row>
    <row r="7">
      <c r="A7" s="141"/>
      <c r="B7" s="61" t="s">
        <v>3205</v>
      </c>
      <c r="C7" s="94" t="s">
        <v>194</v>
      </c>
      <c r="D7" s="61" t="s">
        <v>3607</v>
      </c>
      <c r="E7" s="11" t="str">
        <f>HYPERLINK("https://youtu.be/Trv7qcciils?t=1804","channel 1")</f>
        <v>channel 1</v>
      </c>
    </row>
    <row r="8">
      <c r="A8" s="141"/>
      <c r="B8" s="61" t="s">
        <v>3606</v>
      </c>
      <c r="C8" s="94" t="s">
        <v>352</v>
      </c>
      <c r="D8" s="61" t="s">
        <v>3042</v>
      </c>
      <c r="E8" s="11" t="str">
        <f>HYPERLINK("https://youtu.be/QvMl00QbqsA?t=1694","channel 2")</f>
        <v>channel 2</v>
      </c>
    </row>
    <row r="9">
      <c r="A9" s="141"/>
      <c r="B9" s="61" t="s">
        <v>3205</v>
      </c>
      <c r="C9" s="94" t="s">
        <v>3608</v>
      </c>
      <c r="D9" s="61" t="s">
        <v>3605</v>
      </c>
      <c r="E9" s="11" t="str">
        <f>HYPERLINK("https://youtu.be/Trv7qcciils?t=2668","channel 1")</f>
        <v>channel 1</v>
      </c>
    </row>
    <row r="10">
      <c r="A10" s="141"/>
      <c r="B10" s="61" t="s">
        <v>3607</v>
      </c>
      <c r="C10" s="94" t="s">
        <v>19</v>
      </c>
      <c r="D10" s="61" t="s">
        <v>3042</v>
      </c>
      <c r="E10" s="11" t="str">
        <f>HYPERLINK("https://youtu.be/QvMl00QbqsA?t=2593","channel 2")</f>
        <v>channel 2</v>
      </c>
    </row>
    <row r="11">
      <c r="A11" s="141"/>
      <c r="B11" s="61" t="s">
        <v>3205</v>
      </c>
      <c r="C11" s="94" t="s">
        <v>258</v>
      </c>
      <c r="D11" s="61" t="s">
        <v>3606</v>
      </c>
      <c r="E11" s="11" t="str">
        <f>HYPERLINK("https://youtu.be/Trv7qcciils?t=3615","channel 1")</f>
        <v>channel 1</v>
      </c>
    </row>
    <row r="12">
      <c r="A12" s="141"/>
      <c r="B12" s="61" t="s">
        <v>3607</v>
      </c>
      <c r="C12" s="94" t="s">
        <v>327</v>
      </c>
      <c r="D12" s="61" t="s">
        <v>3605</v>
      </c>
      <c r="E12" s="11" t="str">
        <f>HYPERLINK("https://youtu.be/QvMl00QbqsA?t=3465","channel 2")</f>
        <v>channel 2</v>
      </c>
    </row>
    <row r="13">
      <c r="A13" s="141"/>
      <c r="B13" s="61" t="s">
        <v>3605</v>
      </c>
      <c r="C13" s="94" t="s">
        <v>531</v>
      </c>
      <c r="D13" s="61" t="s">
        <v>3042</v>
      </c>
      <c r="E13" s="11" t="str">
        <f>HYPERLINK("https://youtu.be/Trv7qcciils?t=4582","channel 1")</f>
        <v>channel 1</v>
      </c>
    </row>
    <row r="14">
      <c r="A14" s="141"/>
      <c r="B14" s="61" t="s">
        <v>3607</v>
      </c>
      <c r="C14" s="94" t="s">
        <v>1494</v>
      </c>
      <c r="D14" s="61" t="s">
        <v>3606</v>
      </c>
      <c r="E14" s="11" t="str">
        <f>HYPERLINK("https://youtu.be/QvMl00QbqsA?t=4440","channel 2")</f>
        <v>channel 2</v>
      </c>
    </row>
    <row r="15">
      <c r="A15" s="141"/>
      <c r="B15" s="61" t="s">
        <v>3042</v>
      </c>
      <c r="C15" s="94" t="s">
        <v>524</v>
      </c>
      <c r="D15" s="61" t="s">
        <v>3205</v>
      </c>
      <c r="E15" s="11" t="str">
        <f>HYPERLINK("https://youtu.be/Trv7qcciils?t=5507","channel 1")</f>
        <v>channel 1</v>
      </c>
    </row>
    <row r="16">
      <c r="A16" s="141"/>
      <c r="B16" s="61" t="s">
        <v>3605</v>
      </c>
      <c r="C16" s="94" t="s">
        <v>194</v>
      </c>
      <c r="D16" s="61" t="s">
        <v>3606</v>
      </c>
      <c r="E16" s="11" t="str">
        <f>HYPERLINK("https://youtu.be/QvMl00QbqsA?t=5355","channel 2")</f>
        <v>channel 2</v>
      </c>
    </row>
    <row r="17">
      <c r="A17" s="141"/>
      <c r="B17" s="61" t="s">
        <v>3607</v>
      </c>
      <c r="C17" s="94" t="s">
        <v>183</v>
      </c>
      <c r="D17" s="61" t="s">
        <v>3205</v>
      </c>
      <c r="E17" s="11" t="str">
        <f>HYPERLINK("https://youtu.be/Trv7qcciils?t=6402","channel 1")</f>
        <v>channel 1</v>
      </c>
    </row>
    <row r="18">
      <c r="A18" s="141"/>
      <c r="B18" s="61" t="s">
        <v>3042</v>
      </c>
      <c r="C18" s="94" t="s">
        <v>209</v>
      </c>
      <c r="D18" s="61" t="s">
        <v>3606</v>
      </c>
      <c r="E18" s="11" t="str">
        <f>HYPERLINK("https://youtu.be/QvMl00QbqsA?t=6379","channel 2")</f>
        <v>channel 2</v>
      </c>
    </row>
    <row r="19">
      <c r="A19" s="141"/>
      <c r="B19" s="61" t="s">
        <v>3605</v>
      </c>
      <c r="C19" s="94" t="s">
        <v>1120</v>
      </c>
      <c r="D19" s="61" t="s">
        <v>3205</v>
      </c>
      <c r="E19" s="11" t="str">
        <f>HYPERLINK("https://youtu.be/Trv7qcciils?t=7290","channel 1")</f>
        <v>channel 1</v>
      </c>
    </row>
    <row r="20">
      <c r="A20" s="141"/>
      <c r="B20" s="61" t="s">
        <v>3042</v>
      </c>
      <c r="C20" s="94" t="s">
        <v>185</v>
      </c>
      <c r="D20" s="61" t="s">
        <v>3607</v>
      </c>
      <c r="E20" s="11" t="str">
        <f>HYPERLINK("https://youtu.be/QvMl00QbqsA?t=7255","channel 2")</f>
        <v>channel 2</v>
      </c>
    </row>
    <row r="21">
      <c r="A21" s="141"/>
      <c r="B21" s="61" t="s">
        <v>3606</v>
      </c>
      <c r="C21" s="54" t="s">
        <v>36</v>
      </c>
      <c r="D21" s="61" t="s">
        <v>3205</v>
      </c>
      <c r="E21" s="11" t="str">
        <f>HYPERLINK("https://youtu.be/Trv7qcciils?t=8165","channel 1")</f>
        <v>channel 1</v>
      </c>
    </row>
    <row r="22">
      <c r="A22" s="141"/>
      <c r="B22" s="61" t="s">
        <v>3605</v>
      </c>
      <c r="C22" s="143" t="s">
        <v>211</v>
      </c>
      <c r="D22" s="61" t="s">
        <v>3607</v>
      </c>
      <c r="E22" s="11" t="str">
        <f>HYPERLINK("https://youtu.be/QvMl00QbqsA?t=8111","channel 2")</f>
        <v>channel 2</v>
      </c>
    </row>
    <row r="23">
      <c r="A23" s="141"/>
      <c r="B23" s="96" t="s">
        <v>2335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3609</v>
      </c>
      <c r="C25" s="94" t="s">
        <v>257</v>
      </c>
      <c r="D25" s="61" t="s">
        <v>3610</v>
      </c>
      <c r="E25" s="11" t="str">
        <f>HYPERLINK("https://youtu.be/t4z6Uv4IQvk","channel 1")</f>
        <v>channel 1</v>
      </c>
    </row>
    <row r="26">
      <c r="A26" s="141"/>
      <c r="B26" s="61" t="s">
        <v>3611</v>
      </c>
      <c r="C26" s="94" t="s">
        <v>1041</v>
      </c>
      <c r="D26" s="61" t="s">
        <v>3612</v>
      </c>
      <c r="E26" s="11" t="str">
        <f>HYPERLINK("https://youtu.be/NgSbpVHKODE","channel 2")</f>
        <v>channel 2</v>
      </c>
    </row>
    <row r="27">
      <c r="A27" s="141"/>
      <c r="B27" s="61" t="s">
        <v>3613</v>
      </c>
      <c r="C27" s="94" t="s">
        <v>43</v>
      </c>
      <c r="D27" s="61" t="s">
        <v>3609</v>
      </c>
      <c r="E27" s="11" t="str">
        <f>HYPERLINK("https://youtu.be/t4z6Uv4IQvk?t=1279","channel 1")</f>
        <v>channel 1</v>
      </c>
    </row>
    <row r="28">
      <c r="A28" s="141"/>
      <c r="B28" s="61" t="s">
        <v>3611</v>
      </c>
      <c r="C28" s="94" t="s">
        <v>18</v>
      </c>
      <c r="D28" s="61" t="s">
        <v>3610</v>
      </c>
      <c r="E28" s="11" t="str">
        <f>HYPERLINK("https://youtu.be/NgSbpVHKODE?t=1414","channel 2")</f>
        <v>channel 2</v>
      </c>
    </row>
    <row r="29">
      <c r="A29" s="141"/>
      <c r="B29" s="61" t="s">
        <v>3613</v>
      </c>
      <c r="C29" s="94" t="s">
        <v>247</v>
      </c>
      <c r="D29" s="61" t="s">
        <v>3612</v>
      </c>
      <c r="E29" s="11" t="str">
        <f>HYPERLINK("https://youtu.be/t4z6Uv4IQvk?t=2340","channel 1")</f>
        <v>channel 1</v>
      </c>
    </row>
    <row r="30">
      <c r="A30" s="141"/>
      <c r="B30" s="61" t="s">
        <v>3611</v>
      </c>
      <c r="C30" s="94" t="s">
        <v>17</v>
      </c>
      <c r="D30" s="61" t="s">
        <v>3609</v>
      </c>
      <c r="E30" s="11" t="str">
        <f>HYPERLINK("https://youtu.be/NgSbpVHKODE?t=2392","channel 2")</f>
        <v>channel 2</v>
      </c>
    </row>
    <row r="31">
      <c r="A31" s="141"/>
      <c r="B31" s="61" t="s">
        <v>3613</v>
      </c>
      <c r="C31" s="94" t="s">
        <v>264</v>
      </c>
      <c r="D31" s="61" t="s">
        <v>3610</v>
      </c>
      <c r="E31" s="11" t="str">
        <f>HYPERLINK("https://youtu.be/t4z6Uv4IQvk?t=3234","channel 1")</f>
        <v>channel 1</v>
      </c>
    </row>
    <row r="32">
      <c r="A32" s="141"/>
      <c r="B32" s="61" t="s">
        <v>3612</v>
      </c>
      <c r="C32" s="94" t="s">
        <v>302</v>
      </c>
      <c r="D32" s="61" t="s">
        <v>3609</v>
      </c>
      <c r="E32" s="11" t="str">
        <f>HYPERLINK("https://youtu.be/NgSbpVHKODE?t=3379","channel 2")</f>
        <v>channel 2</v>
      </c>
    </row>
    <row r="33">
      <c r="A33" s="141"/>
      <c r="B33" s="61" t="s">
        <v>3613</v>
      </c>
      <c r="C33" s="94" t="s">
        <v>208</v>
      </c>
      <c r="D33" s="61" t="s">
        <v>3611</v>
      </c>
      <c r="E33" s="11" t="str">
        <f>HYPERLINK("https://youtu.be/t4z6Uv4IQvk?t=4271","channel 1")</f>
        <v>channel 1</v>
      </c>
    </row>
    <row r="34">
      <c r="A34" s="141"/>
      <c r="B34" s="61" t="s">
        <v>3612</v>
      </c>
      <c r="C34" s="94" t="s">
        <v>19</v>
      </c>
      <c r="D34" s="61" t="s">
        <v>3610</v>
      </c>
      <c r="E34" s="11" t="str">
        <f>HYPERLINK("https://youtu.be/NgSbpVHKODE?t=4280","channel 2")</f>
        <v>channel 2</v>
      </c>
    </row>
    <row r="35">
      <c r="A35" s="141"/>
      <c r="B35" s="61" t="s">
        <v>3610</v>
      </c>
      <c r="C35" s="94" t="s">
        <v>449</v>
      </c>
      <c r="D35" s="61" t="s">
        <v>3609</v>
      </c>
      <c r="E35" s="11" t="str">
        <f>HYPERLINK("https://youtu.be/t4z6Uv4IQvk?t=5176","channel 1")</f>
        <v>channel 1</v>
      </c>
    </row>
    <row r="36">
      <c r="A36" s="141"/>
      <c r="B36" s="61" t="s">
        <v>3612</v>
      </c>
      <c r="C36" s="94" t="s">
        <v>366</v>
      </c>
      <c r="D36" s="61" t="s">
        <v>3611</v>
      </c>
      <c r="E36" s="11" t="str">
        <f>HYPERLINK("https://youtu.be/NgSbpVHKODE?t=5252","channel 2")</f>
        <v>channel 2</v>
      </c>
    </row>
    <row r="37">
      <c r="A37" s="141"/>
      <c r="B37" s="61" t="s">
        <v>3609</v>
      </c>
      <c r="C37" s="94" t="s">
        <v>220</v>
      </c>
      <c r="D37" s="61" t="s">
        <v>3613</v>
      </c>
      <c r="E37" s="11" t="str">
        <f>HYPERLINK("https://youtu.be/t4z6Uv4IQvk?t=6092","channel 1")</f>
        <v>channel 1</v>
      </c>
    </row>
    <row r="38">
      <c r="A38" s="141"/>
      <c r="B38" s="61" t="s">
        <v>3610</v>
      </c>
      <c r="C38" s="94" t="s">
        <v>555</v>
      </c>
      <c r="D38" s="61" t="s">
        <v>3611</v>
      </c>
      <c r="E38" s="11" t="str">
        <f>HYPERLINK("https://youtu.be/NgSbpVHKODE?t=6176","channel 2")</f>
        <v>channel 2</v>
      </c>
    </row>
    <row r="39">
      <c r="A39" s="141"/>
      <c r="B39" s="61" t="s">
        <v>3612</v>
      </c>
      <c r="C39" s="94" t="s">
        <v>38</v>
      </c>
      <c r="D39" s="61" t="s">
        <v>3613</v>
      </c>
      <c r="E39" s="11" t="str">
        <f>HYPERLINK("https://youtu.be/t4z6Uv4IQvk?t=6943","channel 1")</f>
        <v>channel 1</v>
      </c>
    </row>
    <row r="40">
      <c r="A40" s="141"/>
      <c r="B40" s="61" t="s">
        <v>3609</v>
      </c>
      <c r="C40" s="64" t="s">
        <v>502</v>
      </c>
      <c r="D40" s="61" t="s">
        <v>3611</v>
      </c>
      <c r="E40" s="11" t="str">
        <f>HYPERLINK("https://youtu.be/NgSbpVHKODE?t=7114","channel 2")</f>
        <v>channel 2</v>
      </c>
    </row>
    <row r="41">
      <c r="A41" s="141"/>
      <c r="B41" s="61" t="s">
        <v>3610</v>
      </c>
      <c r="C41" s="94" t="s">
        <v>157</v>
      </c>
      <c r="D41" s="61" t="s">
        <v>3613</v>
      </c>
      <c r="E41" s="11" t="str">
        <f>HYPERLINK("https://youtu.be/t4z6Uv4IQvk?t=7861","channel 1")</f>
        <v>channel 1</v>
      </c>
    </row>
    <row r="42">
      <c r="A42" s="141"/>
      <c r="B42" s="61" t="s">
        <v>3609</v>
      </c>
      <c r="C42" s="94" t="s">
        <v>507</v>
      </c>
      <c r="D42" s="61" t="s">
        <v>3612</v>
      </c>
      <c r="E42" s="11" t="str">
        <f>HYPERLINK("https://youtu.be/NgSbpVHKODE?t=7975","channel 2")</f>
        <v>channel 2</v>
      </c>
    </row>
    <row r="43">
      <c r="A43" s="141"/>
      <c r="B43" s="61" t="s">
        <v>3611</v>
      </c>
      <c r="C43" s="94" t="s">
        <v>181</v>
      </c>
      <c r="D43" s="61" t="s">
        <v>3613</v>
      </c>
      <c r="E43" s="11" t="str">
        <f>HYPERLINK("https://youtu.be/t4z6Uv4IQvk?t=8811","channel 1")</f>
        <v>channel 1</v>
      </c>
    </row>
    <row r="44">
      <c r="A44" s="141"/>
      <c r="B44" s="61" t="s">
        <v>3610</v>
      </c>
      <c r="C44" s="94" t="s">
        <v>250</v>
      </c>
      <c r="D44" s="61" t="s">
        <v>3612</v>
      </c>
      <c r="E44" s="125" t="s">
        <v>13</v>
      </c>
    </row>
    <row r="45">
      <c r="A45" s="141"/>
      <c r="B45" s="96" t="s">
        <v>3293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3517</v>
      </c>
      <c r="C47" s="94" t="s">
        <v>248</v>
      </c>
      <c r="D47" s="61" t="s">
        <v>3403</v>
      </c>
      <c r="E47" s="11" t="str">
        <f>HYPERLINK("https://youtu.be/ThlrRD7xtVk","channel 3")</f>
        <v>channel 3</v>
      </c>
    </row>
    <row r="48">
      <c r="A48" s="141"/>
      <c r="B48" s="61" t="s">
        <v>3614</v>
      </c>
      <c r="C48" s="94" t="s">
        <v>219</v>
      </c>
      <c r="D48" s="61" t="s">
        <v>3389</v>
      </c>
      <c r="E48" s="11" t="str">
        <f>HYPERLINK("https://youtu.be/mj2k-ylD0Bg","channel 4")</f>
        <v>channel 4</v>
      </c>
    </row>
    <row r="49">
      <c r="A49" s="141"/>
      <c r="B49" s="61" t="s">
        <v>3615</v>
      </c>
      <c r="C49" s="94" t="s">
        <v>239</v>
      </c>
      <c r="D49" s="61" t="s">
        <v>3517</v>
      </c>
      <c r="E49" s="11" t="str">
        <f>HYPERLINK("https://youtu.be/ThlrRD7xtVk?t=1011","channel 3")</f>
        <v>channel 3</v>
      </c>
    </row>
    <row r="50">
      <c r="A50" s="141"/>
      <c r="B50" s="61" t="s">
        <v>3614</v>
      </c>
      <c r="C50" s="94" t="s">
        <v>290</v>
      </c>
      <c r="D50" s="61" t="s">
        <v>3403</v>
      </c>
      <c r="E50" s="11" t="str">
        <f>HYPERLINK("https://youtu.be/mj2k-ylD0Bg?t=998","channel 4")</f>
        <v>channel 4</v>
      </c>
    </row>
    <row r="51">
      <c r="A51" s="141"/>
      <c r="B51" s="61" t="s">
        <v>3615</v>
      </c>
      <c r="C51" s="94" t="s">
        <v>181</v>
      </c>
      <c r="D51" s="61" t="s">
        <v>3389</v>
      </c>
      <c r="E51" s="11" t="str">
        <f>HYPERLINK("https://youtu.be/ThlrRD7xtVk?t=1980","channel 3")</f>
        <v>channel 3</v>
      </c>
    </row>
    <row r="52">
      <c r="A52" s="141"/>
      <c r="B52" s="114" t="s">
        <v>3614</v>
      </c>
      <c r="C52" s="94" t="s">
        <v>7</v>
      </c>
      <c r="D52" s="114" t="s">
        <v>3517</v>
      </c>
      <c r="E52" s="11" t="str">
        <f>HYPERLINK("https://youtu.be/mj2k-ylD0Bg?t=1836","channel 4")</f>
        <v>channel 4</v>
      </c>
    </row>
    <row r="53">
      <c r="A53" s="141"/>
      <c r="B53" s="61" t="s">
        <v>3615</v>
      </c>
      <c r="C53" s="94" t="s">
        <v>1701</v>
      </c>
      <c r="D53" s="61" t="s">
        <v>3403</v>
      </c>
      <c r="E53" s="11" t="str">
        <f>HYPERLINK("https://youtu.be/ThlrRD7xtVk?t=2943","channel 3")</f>
        <v>channel 3</v>
      </c>
    </row>
    <row r="54">
      <c r="A54" s="141"/>
      <c r="B54" s="114" t="s">
        <v>3389</v>
      </c>
      <c r="C54" s="94" t="s">
        <v>220</v>
      </c>
      <c r="D54" s="114" t="s">
        <v>3517</v>
      </c>
      <c r="E54" s="11" t="str">
        <f>HYPERLINK("https://youtu.be/mj2k-ylD0Bg?t=2779","channel 4")</f>
        <v>channel 4</v>
      </c>
    </row>
    <row r="55">
      <c r="A55" s="141"/>
      <c r="B55" s="61" t="s">
        <v>3615</v>
      </c>
      <c r="C55" s="94" t="s">
        <v>313</v>
      </c>
      <c r="D55" s="61" t="s">
        <v>3614</v>
      </c>
      <c r="E55" s="11" t="str">
        <f>HYPERLINK("https://youtu.be/ThlrRD7xtVk?t=3902","channel 3")</f>
        <v>channel 3</v>
      </c>
    </row>
    <row r="56">
      <c r="A56" s="141"/>
      <c r="B56" s="61" t="s">
        <v>3389</v>
      </c>
      <c r="C56" s="94" t="s">
        <v>466</v>
      </c>
      <c r="D56" s="61" t="s">
        <v>3403</v>
      </c>
      <c r="E56" s="11" t="str">
        <f>HYPERLINK("https://youtu.be/mj2k-ylD0Bg?t=3724","channel 4")</f>
        <v>channel 4</v>
      </c>
    </row>
    <row r="57">
      <c r="A57" s="141"/>
      <c r="B57" s="61" t="s">
        <v>3403</v>
      </c>
      <c r="C57" s="94" t="s">
        <v>171</v>
      </c>
      <c r="D57" s="61" t="s">
        <v>3517</v>
      </c>
      <c r="E57" s="11" t="str">
        <f>HYPERLINK("https://youtu.be/ThlrRD7xtVk?t=5026","channel 3")</f>
        <v>channel 3</v>
      </c>
    </row>
    <row r="58">
      <c r="A58" s="141"/>
      <c r="B58" s="114" t="s">
        <v>3389</v>
      </c>
      <c r="C58" s="94" t="s">
        <v>193</v>
      </c>
      <c r="D58" s="114" t="s">
        <v>3614</v>
      </c>
      <c r="E58" s="11" t="str">
        <f>HYPERLINK("https://youtu.be/mj2k-ylD0Bg?t=4691","channel 4")</f>
        <v>channel 4</v>
      </c>
    </row>
    <row r="59">
      <c r="A59" s="141"/>
      <c r="B59" s="61" t="s">
        <v>3517</v>
      </c>
      <c r="C59" s="94" t="s">
        <v>789</v>
      </c>
      <c r="D59" s="61" t="s">
        <v>3615</v>
      </c>
      <c r="E59" s="11" t="str">
        <f>HYPERLINK("https://youtu.be/ThlrRD7xtVk?t=5917","channel 3")</f>
        <v>channel 3</v>
      </c>
    </row>
    <row r="60">
      <c r="A60" s="141"/>
      <c r="B60" s="61" t="s">
        <v>3403</v>
      </c>
      <c r="C60" s="94" t="s">
        <v>3616</v>
      </c>
      <c r="D60" s="61" t="s">
        <v>3614</v>
      </c>
      <c r="E60" s="11" t="str">
        <f>HYPERLINK("https://youtu.be/mj2k-ylD0Bg?t=5555","channel 4")</f>
        <v>channel 4</v>
      </c>
    </row>
    <row r="61">
      <c r="A61" s="141"/>
      <c r="B61" s="61" t="s">
        <v>3389</v>
      </c>
      <c r="C61" s="94" t="s">
        <v>157</v>
      </c>
      <c r="D61" s="61" t="s">
        <v>3615</v>
      </c>
      <c r="E61" s="11" t="str">
        <f>HYPERLINK("https://youtu.be/ThlrRD7xtVk?t=6862","channel 3")</f>
        <v>channel 3</v>
      </c>
    </row>
    <row r="62">
      <c r="A62" s="141"/>
      <c r="B62" s="61" t="s">
        <v>3517</v>
      </c>
      <c r="C62" s="94" t="s">
        <v>225</v>
      </c>
      <c r="D62" s="61" t="s">
        <v>3614</v>
      </c>
      <c r="E62" s="11" t="str">
        <f>HYPERLINK("https://youtu.be/mj2k-ylD0Bg?t=6425","channel 4")</f>
        <v>channel 4</v>
      </c>
    </row>
    <row r="63">
      <c r="A63" s="141"/>
      <c r="B63" s="61" t="s">
        <v>3403</v>
      </c>
      <c r="C63" s="94" t="s">
        <v>3617</v>
      </c>
      <c r="D63" s="61" t="s">
        <v>3615</v>
      </c>
      <c r="E63" s="11" t="str">
        <f>HYPERLINK("https://youtu.be/ThlrRD7xtVk?t=7753","channel 3")</f>
        <v>channel 3</v>
      </c>
    </row>
    <row r="64">
      <c r="A64" s="141"/>
      <c r="B64" s="61" t="s">
        <v>3517</v>
      </c>
      <c r="C64" s="94" t="s">
        <v>271</v>
      </c>
      <c r="D64" s="61" t="s">
        <v>3389</v>
      </c>
      <c r="E64" s="11" t="str">
        <f>HYPERLINK("https://youtu.be/mj2k-ylD0Bg?t=7317","channel 4")</f>
        <v>channel 4</v>
      </c>
    </row>
    <row r="65">
      <c r="A65" s="141"/>
      <c r="B65" s="61" t="s">
        <v>3614</v>
      </c>
      <c r="C65" s="94" t="s">
        <v>44</v>
      </c>
      <c r="D65" s="61" t="s">
        <v>3615</v>
      </c>
      <c r="E65" s="11" t="str">
        <f>HYPERLINK("https://youtu.be/ThlrRD7xtVk?t=8714","channel 3")</f>
        <v>channel 3</v>
      </c>
    </row>
    <row r="66">
      <c r="A66" s="141"/>
      <c r="B66" s="61" t="s">
        <v>3403</v>
      </c>
      <c r="C66" s="94" t="s">
        <v>43</v>
      </c>
      <c r="D66" s="61" t="s">
        <v>3389</v>
      </c>
      <c r="E66" s="11" t="str">
        <f>HYPERLINK("https://youtu.be/mj2k-ylD0Bg?t=8216","channel 4")</f>
        <v>channel 4</v>
      </c>
    </row>
    <row r="67">
      <c r="A67" s="141"/>
      <c r="B67" s="96" t="s">
        <v>2741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2989</v>
      </c>
      <c r="C69" s="94" t="s">
        <v>17</v>
      </c>
      <c r="D69" s="61" t="s">
        <v>548</v>
      </c>
      <c r="E69" s="11" t="str">
        <f>HYPERLINK("https://youtu.be/vs01te82qEY","channel 3")</f>
        <v>channel 3</v>
      </c>
    </row>
    <row r="70">
      <c r="A70" s="141"/>
      <c r="B70" s="61" t="s">
        <v>3618</v>
      </c>
      <c r="C70" s="94" t="s">
        <v>181</v>
      </c>
      <c r="D70" s="61" t="s">
        <v>1915</v>
      </c>
      <c r="E70" s="11" t="str">
        <f>HYPERLINK("https://youtu.be/f59wC1auDpU","channel 4")</f>
        <v>channel 4</v>
      </c>
    </row>
    <row r="71">
      <c r="A71" s="141"/>
      <c r="B71" s="61" t="s">
        <v>3619</v>
      </c>
      <c r="C71" s="94" t="s">
        <v>159</v>
      </c>
      <c r="D71" s="61" t="s">
        <v>2989</v>
      </c>
      <c r="E71" s="11" t="str">
        <f>HYPERLINK("https://youtu.be/vs01te82qEY?t=1059","channel 3")</f>
        <v>channel 3</v>
      </c>
    </row>
    <row r="72">
      <c r="A72" s="141"/>
      <c r="B72" s="61" t="s">
        <v>3618</v>
      </c>
      <c r="C72" s="94" t="s">
        <v>18</v>
      </c>
      <c r="D72" s="61" t="s">
        <v>548</v>
      </c>
      <c r="E72" s="11" t="str">
        <f>HYPERLINK("https://youtu.be/f59wC1auDpU?t=1095","channel 4")</f>
        <v>channel 4</v>
      </c>
    </row>
    <row r="73">
      <c r="A73" s="141"/>
      <c r="B73" s="61" t="s">
        <v>3619</v>
      </c>
      <c r="C73" s="94" t="s">
        <v>207</v>
      </c>
      <c r="D73" s="61" t="s">
        <v>1915</v>
      </c>
      <c r="E73" s="11" t="str">
        <f>HYPERLINK("https://youtu.be/vs01te82qEY?t=2063","channel 3")</f>
        <v>channel 3</v>
      </c>
    </row>
    <row r="74">
      <c r="A74" s="141"/>
      <c r="B74" s="114" t="s">
        <v>3618</v>
      </c>
      <c r="C74" s="94" t="s">
        <v>220</v>
      </c>
      <c r="D74" s="114" t="s">
        <v>2989</v>
      </c>
      <c r="E74" s="11" t="str">
        <f>HYPERLINK("https://youtu.be/f59wC1auDpU?t=2010","channel 4")</f>
        <v>channel 4</v>
      </c>
    </row>
    <row r="75">
      <c r="A75" s="141"/>
      <c r="B75" s="61" t="s">
        <v>3619</v>
      </c>
      <c r="C75" s="94" t="s">
        <v>825</v>
      </c>
      <c r="D75" s="61" t="s">
        <v>548</v>
      </c>
      <c r="E75" s="11" t="str">
        <f>HYPERLINK("https://youtu.be/vs01te82qEY?t=3032","channel 3")</f>
        <v>channel 3</v>
      </c>
    </row>
    <row r="76">
      <c r="A76" s="141"/>
      <c r="B76" s="114" t="s">
        <v>1915</v>
      </c>
      <c r="C76" s="94" t="s">
        <v>209</v>
      </c>
      <c r="D76" s="114" t="s">
        <v>2989</v>
      </c>
      <c r="E76" s="11" t="str">
        <f>HYPERLINK("https://youtu.be/f59wC1auDpU?t=2970","channel 4")</f>
        <v>channel 4</v>
      </c>
    </row>
    <row r="77">
      <c r="A77" s="141"/>
      <c r="B77" s="61" t="s">
        <v>3619</v>
      </c>
      <c r="C77" s="94" t="s">
        <v>848</v>
      </c>
      <c r="D77" s="61" t="s">
        <v>3618</v>
      </c>
      <c r="E77" s="11" t="str">
        <f>HYPERLINK("https://youtu.be/vs01te82qEY?t=4003","channel 3")</f>
        <v>channel 3</v>
      </c>
    </row>
    <row r="78">
      <c r="A78" s="141"/>
      <c r="B78" s="114" t="s">
        <v>1915</v>
      </c>
      <c r="C78" s="94" t="s">
        <v>41</v>
      </c>
      <c r="D78" s="114" t="s">
        <v>548</v>
      </c>
      <c r="E78" s="11" t="str">
        <f>HYPERLINK("https://youtu.be/f59wC1auDpU?t=3849","channel 4")</f>
        <v>channel 4</v>
      </c>
    </row>
    <row r="79">
      <c r="A79" s="141"/>
      <c r="B79" s="61" t="s">
        <v>548</v>
      </c>
      <c r="C79" s="94" t="s">
        <v>164</v>
      </c>
      <c r="D79" s="61" t="s">
        <v>2989</v>
      </c>
      <c r="E79" s="11" t="str">
        <f>HYPERLINK("https://youtu.be/vs01te82qEY?t=4967","channel 3")</f>
        <v>channel 3</v>
      </c>
    </row>
    <row r="80">
      <c r="A80" s="141"/>
      <c r="B80" s="114" t="s">
        <v>1915</v>
      </c>
      <c r="C80" s="94" t="s">
        <v>264</v>
      </c>
      <c r="D80" s="114" t="s">
        <v>3618</v>
      </c>
      <c r="E80" s="11" t="str">
        <f>HYPERLINK("https://youtu.be/f59wC1auDpU?t=4870","channel 4")</f>
        <v>channel 4</v>
      </c>
    </row>
    <row r="81">
      <c r="A81" s="141"/>
      <c r="B81" s="61" t="s">
        <v>2989</v>
      </c>
      <c r="C81" s="94" t="s">
        <v>338</v>
      </c>
      <c r="D81" s="61" t="s">
        <v>3619</v>
      </c>
      <c r="E81" s="11" t="str">
        <f>HYPERLINK("https://youtu.be/vs01te82qEY?t=5885","channel 3")</f>
        <v>channel 3</v>
      </c>
    </row>
    <row r="82">
      <c r="A82" s="141"/>
      <c r="B82" s="114" t="s">
        <v>548</v>
      </c>
      <c r="C82" s="94" t="s">
        <v>380</v>
      </c>
      <c r="D82" s="114" t="s">
        <v>3618</v>
      </c>
      <c r="E82" s="11" t="str">
        <f>HYPERLINK("https://youtu.be/f59wC1auDpU?t=5853","channel 4")</f>
        <v>channel 4</v>
      </c>
    </row>
    <row r="83">
      <c r="A83" s="141"/>
      <c r="B83" s="61" t="s">
        <v>1915</v>
      </c>
      <c r="C83" s="94" t="s">
        <v>1834</v>
      </c>
      <c r="D83" s="61" t="s">
        <v>3619</v>
      </c>
      <c r="E83" s="11" t="str">
        <f>HYPERLINK("https://youtu.be/vs01te82qEY?t=6826","channel 3")</f>
        <v>channel 3</v>
      </c>
    </row>
    <row r="84">
      <c r="A84" s="141"/>
      <c r="B84" s="114" t="s">
        <v>2989</v>
      </c>
      <c r="C84" s="94" t="s">
        <v>210</v>
      </c>
      <c r="D84" s="114" t="s">
        <v>3618</v>
      </c>
      <c r="E84" s="11" t="str">
        <f>HYPERLINK("https://youtu.be/f59wC1auDpU?t=6808","channel 4")</f>
        <v>channel 4</v>
      </c>
    </row>
    <row r="85">
      <c r="A85" s="141"/>
      <c r="B85" s="114" t="s">
        <v>548</v>
      </c>
      <c r="C85" s="94" t="s">
        <v>426</v>
      </c>
      <c r="D85" s="114" t="s">
        <v>3619</v>
      </c>
      <c r="E85" s="11" t="str">
        <f>HYPERLINK("https://youtu.be/vs01te82qEY?t=7804","channel 3")</f>
        <v>channel 3</v>
      </c>
    </row>
    <row r="86">
      <c r="A86" s="141"/>
      <c r="B86" s="114" t="s">
        <v>2989</v>
      </c>
      <c r="C86" s="94" t="s">
        <v>185</v>
      </c>
      <c r="D86" s="114" t="s">
        <v>1915</v>
      </c>
      <c r="E86" s="11" t="str">
        <f>HYPERLINK("https://youtu.be/f59wC1auDpU?t=7749","channel 4")</f>
        <v>channel 4</v>
      </c>
    </row>
    <row r="87">
      <c r="A87" s="141"/>
      <c r="B87" s="61" t="s">
        <v>3618</v>
      </c>
      <c r="C87" s="94" t="s">
        <v>19</v>
      </c>
      <c r="D87" s="61" t="s">
        <v>3619</v>
      </c>
      <c r="E87" s="11" t="str">
        <f>HYPERLINK("https://youtu.be/vs01te82qEY?t=8724","channel 3")</f>
        <v>channel 3</v>
      </c>
    </row>
    <row r="88">
      <c r="A88" s="141"/>
      <c r="B88" s="114" t="s">
        <v>548</v>
      </c>
      <c r="C88" s="94" t="s">
        <v>166</v>
      </c>
      <c r="D88" s="114" t="s">
        <v>1915</v>
      </c>
      <c r="E88" s="11" t="str">
        <f>HYPERLINK("https://youtu.be/f59wC1auDpU?t=8648","channel 4")</f>
        <v>channel 4</v>
      </c>
    </row>
    <row r="89">
      <c r="A89" s="141"/>
      <c r="B89" s="96" t="s">
        <v>2780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142" t="s">
        <v>3620</v>
      </c>
      <c r="C91" s="94" t="s">
        <v>161</v>
      </c>
      <c r="D91" s="61" t="s">
        <v>1017</v>
      </c>
      <c r="E91" s="11" t="str">
        <f>HYPERLINK("https://youtu.be/iw0_Us_ZvB8","channel 1")</f>
        <v>channel 1</v>
      </c>
    </row>
    <row r="92">
      <c r="A92" s="141"/>
      <c r="B92" s="61" t="s">
        <v>3621</v>
      </c>
      <c r="C92" s="94" t="s">
        <v>583</v>
      </c>
      <c r="D92" s="61" t="s">
        <v>3622</v>
      </c>
      <c r="E92" s="11" t="str">
        <f>HYPERLINK("https://youtu.be/4lQ0gAjgsy8","channel 2")</f>
        <v>channel 2</v>
      </c>
    </row>
    <row r="93">
      <c r="A93" s="141"/>
      <c r="B93" s="61" t="s">
        <v>3330</v>
      </c>
      <c r="C93" s="94" t="s">
        <v>554</v>
      </c>
      <c r="D93" s="61" t="s">
        <v>3620</v>
      </c>
      <c r="E93" s="11" t="str">
        <f>HYPERLINK("https://youtu.be/iw0_Us_ZvB8?t=1073","channel 1")</f>
        <v>channel 1</v>
      </c>
    </row>
    <row r="94">
      <c r="A94" s="141"/>
      <c r="B94" s="61" t="s">
        <v>3621</v>
      </c>
      <c r="C94" s="94" t="s">
        <v>502</v>
      </c>
      <c r="D94" s="61" t="s">
        <v>1017</v>
      </c>
      <c r="E94" s="11" t="str">
        <f>HYPERLINK("https://youtu.be/4lQ0gAjgsy8?t=957","channel 2")</f>
        <v>channel 2</v>
      </c>
    </row>
    <row r="95">
      <c r="A95" s="141"/>
      <c r="B95" s="61" t="s">
        <v>3330</v>
      </c>
      <c r="C95" s="94" t="s">
        <v>1197</v>
      </c>
      <c r="D95" s="61" t="s">
        <v>3622</v>
      </c>
      <c r="E95" s="11" t="str">
        <f>HYPERLINK("https://youtu.be/iw0_Us_ZvB8?t=1988","channel 1")</f>
        <v>channel 1</v>
      </c>
    </row>
    <row r="96">
      <c r="A96" s="141"/>
      <c r="B96" s="61" t="s">
        <v>3621</v>
      </c>
      <c r="C96" s="94" t="s">
        <v>3623</v>
      </c>
      <c r="D96" s="61" t="s">
        <v>3620</v>
      </c>
      <c r="E96" s="11" t="str">
        <f>HYPERLINK("https://youtu.be/4lQ0gAjgsy8?t=1869","channel 2")</f>
        <v>channel 2</v>
      </c>
    </row>
    <row r="97">
      <c r="A97" s="141"/>
      <c r="B97" s="61" t="s">
        <v>3330</v>
      </c>
      <c r="C97" s="94" t="s">
        <v>696</v>
      </c>
      <c r="D97" s="61" t="s">
        <v>1017</v>
      </c>
      <c r="E97" s="11" t="str">
        <f>HYPERLINK("https://youtu.be/iw0_Us_ZvB8?t=2916","channel 1")</f>
        <v>channel 1</v>
      </c>
    </row>
    <row r="98">
      <c r="A98" s="141"/>
      <c r="B98" s="61" t="s">
        <v>3622</v>
      </c>
      <c r="C98" s="94" t="s">
        <v>159</v>
      </c>
      <c r="D98" s="61" t="s">
        <v>3620</v>
      </c>
      <c r="E98" s="11" t="str">
        <f>HYPERLINK("https://youtu.be/4lQ0gAjgsy8?t=2819","channel 2")</f>
        <v>channel 2</v>
      </c>
    </row>
    <row r="99">
      <c r="A99" s="141"/>
      <c r="B99" s="61" t="s">
        <v>3330</v>
      </c>
      <c r="C99" s="94" t="s">
        <v>225</v>
      </c>
      <c r="D99" s="61" t="s">
        <v>3621</v>
      </c>
      <c r="E99" s="11" t="str">
        <f>HYPERLINK("https://youtu.be/iw0_Us_ZvB8?t=3812","channel 1")</f>
        <v>channel 1</v>
      </c>
    </row>
    <row r="100">
      <c r="A100" s="141"/>
      <c r="B100" s="61" t="s">
        <v>3622</v>
      </c>
      <c r="C100" s="94" t="s">
        <v>166</v>
      </c>
      <c r="D100" s="61" t="s">
        <v>1017</v>
      </c>
      <c r="E100" s="11" t="str">
        <f>HYPERLINK("https://youtu.be/4lQ0gAjgsy8?t=3738","channel 2")</f>
        <v>channel 2</v>
      </c>
    </row>
    <row r="101">
      <c r="A101" s="141"/>
      <c r="B101" s="61" t="s">
        <v>1017</v>
      </c>
      <c r="C101" s="94" t="s">
        <v>209</v>
      </c>
      <c r="D101" s="61" t="s">
        <v>3620</v>
      </c>
      <c r="E101" s="11" t="str">
        <f>HYPERLINK("https://youtu.be/iw0_Us_ZvB8?t=4759","channel 1")</f>
        <v>channel 1</v>
      </c>
    </row>
    <row r="102">
      <c r="A102" s="141"/>
      <c r="B102" s="61" t="s">
        <v>3622</v>
      </c>
      <c r="C102" s="94" t="s">
        <v>354</v>
      </c>
      <c r="D102" s="61" t="s">
        <v>3621</v>
      </c>
      <c r="E102" s="11" t="str">
        <f>HYPERLINK("https://youtu.be/4lQ0gAjgsy8?t=4594","channel 2")</f>
        <v>channel 2</v>
      </c>
    </row>
    <row r="103">
      <c r="A103" s="141"/>
      <c r="B103" s="61" t="s">
        <v>3620</v>
      </c>
      <c r="C103" s="94" t="s">
        <v>264</v>
      </c>
      <c r="D103" s="61" t="s">
        <v>3330</v>
      </c>
      <c r="E103" s="11" t="str">
        <f>HYPERLINK("https://youtu.be/iw0_Us_ZvB8?t=5709","channel 1")</f>
        <v>channel 1</v>
      </c>
    </row>
    <row r="104">
      <c r="A104" s="141"/>
      <c r="B104" s="61" t="s">
        <v>1017</v>
      </c>
      <c r="C104" s="94" t="s">
        <v>354</v>
      </c>
      <c r="D104" s="61" t="s">
        <v>3621</v>
      </c>
      <c r="E104" s="11" t="str">
        <f>HYPERLINK("https://youtu.be/4lQ0gAjgsy8?t=5459","channel 2")</f>
        <v>channel 2</v>
      </c>
    </row>
    <row r="105">
      <c r="A105" s="141"/>
      <c r="B105" s="61" t="s">
        <v>3622</v>
      </c>
      <c r="C105" s="94" t="s">
        <v>3624</v>
      </c>
      <c r="D105" s="61" t="s">
        <v>3330</v>
      </c>
      <c r="E105" s="11" t="str">
        <f>HYPERLINK("https://youtu.be/iw0_Us_ZvB8?t=6681","channel 1")</f>
        <v>channel 1</v>
      </c>
    </row>
    <row r="106">
      <c r="A106" s="141"/>
      <c r="B106" s="61" t="s">
        <v>3620</v>
      </c>
      <c r="C106" s="94" t="s">
        <v>16</v>
      </c>
      <c r="D106" s="61" t="s">
        <v>3621</v>
      </c>
      <c r="E106" s="11" t="str">
        <f>HYPERLINK("https://youtu.be/4lQ0gAjgsy8?t=6566","channel 2")</f>
        <v>channel 2</v>
      </c>
    </row>
    <row r="107">
      <c r="A107" s="141"/>
      <c r="B107" s="61" t="s">
        <v>1017</v>
      </c>
      <c r="C107" s="94" t="s">
        <v>459</v>
      </c>
      <c r="D107" s="61" t="s">
        <v>3330</v>
      </c>
      <c r="E107" s="11" t="str">
        <f>HYPERLINK("https://youtu.be/iw0_Us_ZvB8?t=7600","channel 1")</f>
        <v>channel 1</v>
      </c>
    </row>
    <row r="108">
      <c r="A108" s="141"/>
      <c r="B108" s="61" t="s">
        <v>3620</v>
      </c>
      <c r="C108" s="94" t="s">
        <v>2814</v>
      </c>
      <c r="D108" s="61" t="s">
        <v>3622</v>
      </c>
      <c r="E108" s="11" t="str">
        <f>HYPERLINK("https://youtu.be/4lQ0gAjgsy8?t=7471","channel 2")</f>
        <v>channel 2</v>
      </c>
    </row>
    <row r="109">
      <c r="A109" s="141"/>
      <c r="B109" s="61" t="s">
        <v>3621</v>
      </c>
      <c r="C109" s="94" t="s">
        <v>383</v>
      </c>
      <c r="D109" s="61" t="s">
        <v>3330</v>
      </c>
      <c r="E109" s="11" t="str">
        <f>HYPERLINK("https://youtu.be/iw0_Us_ZvB8?t=8513","channel 1")</f>
        <v>channel 1</v>
      </c>
    </row>
    <row r="110">
      <c r="A110" s="141"/>
      <c r="B110" s="61" t="s">
        <v>1017</v>
      </c>
      <c r="C110" s="94" t="s">
        <v>3113</v>
      </c>
      <c r="D110" s="61" t="s">
        <v>3622</v>
      </c>
      <c r="E110" s="11" t="str">
        <f>HYPERLINK("https://youtu.be/4lQ0gAjgsy8?t=8479","channel 2")</f>
        <v>channel 2</v>
      </c>
    </row>
    <row r="111">
      <c r="A111" s="141"/>
      <c r="B111" s="96" t="s">
        <v>1560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3625</v>
      </c>
      <c r="C113" s="94" t="s">
        <v>44</v>
      </c>
      <c r="D113" s="61" t="s">
        <v>3304</v>
      </c>
      <c r="E113" s="11" t="str">
        <f>HYPERLINK("https://youtu.be/LxCstHrEuJc","channel 1")</f>
        <v>channel 1</v>
      </c>
    </row>
    <row r="114">
      <c r="A114" s="141"/>
      <c r="B114" s="61" t="s">
        <v>3626</v>
      </c>
      <c r="C114" s="94" t="s">
        <v>697</v>
      </c>
      <c r="D114" s="61" t="s">
        <v>3627</v>
      </c>
      <c r="E114" s="11" t="str">
        <f>HYPERLINK("https://youtu.be/Ehz-f0D0LRA","channel 2")</f>
        <v>channel 2</v>
      </c>
    </row>
    <row r="115">
      <c r="A115" s="141"/>
      <c r="B115" s="61" t="s">
        <v>3628</v>
      </c>
      <c r="C115" s="94" t="s">
        <v>531</v>
      </c>
      <c r="D115" s="61" t="s">
        <v>3625</v>
      </c>
      <c r="E115" s="11" t="str">
        <f>HYPERLINK("https://youtu.be/LxCstHrEuJc?t=1064","channel 1")</f>
        <v>channel 1</v>
      </c>
    </row>
    <row r="116">
      <c r="A116" s="141"/>
      <c r="B116" s="61" t="s">
        <v>3626</v>
      </c>
      <c r="C116" s="94" t="s">
        <v>187</v>
      </c>
      <c r="D116" s="61" t="s">
        <v>3304</v>
      </c>
      <c r="E116" s="11" t="str">
        <f>HYPERLINK("https://youtu.be/Ehz-f0D0LRA?t=931","channel 2")</f>
        <v>channel 2</v>
      </c>
    </row>
    <row r="117">
      <c r="A117" s="141"/>
      <c r="B117" s="61" t="s">
        <v>3628</v>
      </c>
      <c r="C117" s="94" t="s">
        <v>177</v>
      </c>
      <c r="D117" s="61" t="s">
        <v>3627</v>
      </c>
      <c r="E117" s="11" t="str">
        <f>HYPERLINK("https://youtu.be/LxCstHrEuJc?t=2017","channel 1")</f>
        <v>channel 1</v>
      </c>
    </row>
    <row r="118">
      <c r="A118" s="141"/>
      <c r="B118" s="61" t="s">
        <v>3626</v>
      </c>
      <c r="C118" s="94" t="s">
        <v>638</v>
      </c>
      <c r="D118" s="61" t="s">
        <v>3625</v>
      </c>
      <c r="E118" s="11" t="str">
        <f>HYPERLINK("https://youtu.be/Ehz-f0D0LRA?t=1855","channel 2")</f>
        <v>channel 2</v>
      </c>
    </row>
    <row r="119">
      <c r="A119" s="141"/>
      <c r="B119" s="61" t="s">
        <v>3628</v>
      </c>
      <c r="C119" s="94" t="s">
        <v>311</v>
      </c>
      <c r="D119" s="61" t="s">
        <v>3304</v>
      </c>
      <c r="E119" s="11" t="str">
        <f>HYPERLINK("https://youtu.be/LxCstHrEuJc?t=2900","channel 1")</f>
        <v>channel 1</v>
      </c>
    </row>
    <row r="120">
      <c r="A120" s="141"/>
      <c r="B120" s="61" t="s">
        <v>3627</v>
      </c>
      <c r="C120" s="94" t="s">
        <v>163</v>
      </c>
      <c r="D120" s="61" t="s">
        <v>3625</v>
      </c>
      <c r="E120" s="11" t="str">
        <f>HYPERLINK("https://youtu.be/Ehz-f0D0LRA?t=2810","channel 2")</f>
        <v>channel 2</v>
      </c>
    </row>
    <row r="121">
      <c r="A121" s="141"/>
      <c r="B121" s="61" t="s">
        <v>3628</v>
      </c>
      <c r="C121" s="94" t="s">
        <v>225</v>
      </c>
      <c r="D121" s="61" t="s">
        <v>3626</v>
      </c>
      <c r="E121" s="11" t="str">
        <f>HYPERLINK("https://youtu.be/LxCstHrEuJc?t=3827","channel 1")</f>
        <v>channel 1</v>
      </c>
    </row>
    <row r="122">
      <c r="A122" s="141"/>
      <c r="B122" s="61" t="s">
        <v>3627</v>
      </c>
      <c r="C122" s="94" t="s">
        <v>166</v>
      </c>
      <c r="D122" s="61" t="s">
        <v>3304</v>
      </c>
      <c r="E122" s="11" t="str">
        <f>HYPERLINK("https://youtu.be/Ehz-f0D0LRA?t=3722","channel 2")</f>
        <v>channel 2</v>
      </c>
    </row>
    <row r="123">
      <c r="A123" s="141"/>
      <c r="B123" s="61" t="s">
        <v>3304</v>
      </c>
      <c r="C123" s="94" t="s">
        <v>23</v>
      </c>
      <c r="D123" s="61" t="s">
        <v>3625</v>
      </c>
      <c r="E123" s="11" t="str">
        <f>HYPERLINK("https://youtu.be/LxCstHrEuJc?t=4824","channel 1")</f>
        <v>channel 1</v>
      </c>
    </row>
    <row r="124">
      <c r="A124" s="141"/>
      <c r="B124" s="61" t="s">
        <v>3627</v>
      </c>
      <c r="C124" s="94" t="s">
        <v>1016</v>
      </c>
      <c r="D124" s="61" t="s">
        <v>3626</v>
      </c>
      <c r="E124" s="11" t="str">
        <f>HYPERLINK("https://youtu.be/Ehz-f0D0LRA?t=4669","channel 2")</f>
        <v>channel 2</v>
      </c>
    </row>
    <row r="125">
      <c r="A125" s="141"/>
      <c r="B125" s="61" t="s">
        <v>3625</v>
      </c>
      <c r="C125" s="94" t="s">
        <v>556</v>
      </c>
      <c r="D125" s="61" t="s">
        <v>3628</v>
      </c>
      <c r="E125" s="11" t="str">
        <f>HYPERLINK("https://youtu.be/LxCstHrEuJc?t=5758","channel 1")</f>
        <v>channel 1</v>
      </c>
    </row>
    <row r="126">
      <c r="A126" s="141"/>
      <c r="B126" s="61" t="s">
        <v>3304</v>
      </c>
      <c r="C126" s="94" t="s">
        <v>271</v>
      </c>
      <c r="D126" s="61" t="s">
        <v>3626</v>
      </c>
      <c r="E126" s="11" t="str">
        <f>HYPERLINK("https://youtu.be/Ehz-f0D0LRA?t=4668","channel 2")</f>
        <v>channel 2</v>
      </c>
    </row>
    <row r="127">
      <c r="A127" s="141"/>
      <c r="B127" s="61" t="s">
        <v>3627</v>
      </c>
      <c r="C127" s="94" t="s">
        <v>289</v>
      </c>
      <c r="D127" s="61" t="s">
        <v>3628</v>
      </c>
      <c r="E127" s="11" t="str">
        <f>HYPERLINK("https://youtu.be/LxCstHrEuJc?t=6688","channel 1")</f>
        <v>channel 1</v>
      </c>
    </row>
    <row r="128">
      <c r="A128" s="141"/>
      <c r="B128" s="61" t="s">
        <v>3625</v>
      </c>
      <c r="C128" s="94" t="s">
        <v>225</v>
      </c>
      <c r="D128" s="61" t="s">
        <v>3626</v>
      </c>
      <c r="E128" s="11" t="str">
        <f>HYPERLINK("https://youtu.be/Ehz-f0D0LRA?t=6516","channel 2")</f>
        <v>channel 2</v>
      </c>
    </row>
    <row r="129">
      <c r="A129" s="141"/>
      <c r="B129" s="61" t="s">
        <v>3304</v>
      </c>
      <c r="C129" s="94" t="s">
        <v>31</v>
      </c>
      <c r="D129" s="61" t="s">
        <v>3628</v>
      </c>
      <c r="E129" s="11" t="str">
        <f>HYPERLINK("https://youtu.be/LxCstHrEuJc?t=7610","channel 1")</f>
        <v>channel 1</v>
      </c>
    </row>
    <row r="130">
      <c r="A130" s="141"/>
      <c r="B130" s="61" t="s">
        <v>3625</v>
      </c>
      <c r="C130" s="94" t="s">
        <v>162</v>
      </c>
      <c r="D130" s="61" t="s">
        <v>3627</v>
      </c>
      <c r="E130" s="11" t="str">
        <f>HYPERLINK("https://youtu.be/Ehz-f0D0LRA?t=7467","channel 2")</f>
        <v>channel 2</v>
      </c>
    </row>
    <row r="131">
      <c r="A131" s="141"/>
      <c r="B131" s="61" t="s">
        <v>3626</v>
      </c>
      <c r="C131" s="94" t="s">
        <v>448</v>
      </c>
      <c r="D131" s="61" t="s">
        <v>3628</v>
      </c>
      <c r="E131" s="11" t="str">
        <f>HYPERLINK("https://youtu.be/LxCstHrEuJc?t=8546","channel 1")</f>
        <v>channel 1</v>
      </c>
    </row>
    <row r="132">
      <c r="A132" s="145"/>
      <c r="B132" s="61" t="s">
        <v>3304</v>
      </c>
      <c r="C132" s="94" t="s">
        <v>219</v>
      </c>
      <c r="D132" s="61" t="s">
        <v>3627</v>
      </c>
      <c r="E132" s="11" t="str">
        <f>HYPERLINK("https://youtu.be/Ehz-f0D0LRA?t=8413","channel 2")</f>
        <v>channel 2</v>
      </c>
    </row>
    <row r="133">
      <c r="B133" s="96" t="s">
        <v>2748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2338</v>
      </c>
      <c r="C135" s="94" t="s">
        <v>278</v>
      </c>
      <c r="D135" s="61" t="s">
        <v>2352</v>
      </c>
      <c r="E135" s="11" t="str">
        <f>HYPERLINK("https://youtu.be/E-oiE3bC2mQ","channel 3")</f>
        <v>channel 3</v>
      </c>
    </row>
    <row r="136">
      <c r="B136" s="133" t="s">
        <v>3629</v>
      </c>
      <c r="C136" s="94" t="s">
        <v>162</v>
      </c>
      <c r="D136" s="133" t="s">
        <v>2538</v>
      </c>
      <c r="E136" s="11" t="str">
        <f>HYPERLINK("https://youtu.be/HfMGLMgYKCs","channel 4")</f>
        <v>channel 4</v>
      </c>
    </row>
    <row r="137">
      <c r="B137" s="62" t="s">
        <v>3630</v>
      </c>
      <c r="C137" s="94" t="s">
        <v>1227</v>
      </c>
      <c r="D137" s="62" t="s">
        <v>2338</v>
      </c>
      <c r="E137" s="11" t="str">
        <f>HYPERLINK("https://youtu.be/E-oiE3bC2mQ?t=1111","channel 3")</f>
        <v>channel 3</v>
      </c>
    </row>
    <row r="138">
      <c r="B138" s="133" t="s">
        <v>3629</v>
      </c>
      <c r="C138" s="94" t="s">
        <v>220</v>
      </c>
      <c r="D138" s="114" t="s">
        <v>2352</v>
      </c>
      <c r="E138" s="11" t="str">
        <f>HYPERLINK("https://youtu.be/HfMGLMgYKCs?t=1085","channel 4")</f>
        <v>channel 4</v>
      </c>
    </row>
    <row r="139">
      <c r="B139" s="62" t="s">
        <v>3630</v>
      </c>
      <c r="C139" s="94" t="s">
        <v>849</v>
      </c>
      <c r="D139" s="62" t="s">
        <v>2538</v>
      </c>
      <c r="E139" s="11" t="str">
        <f>HYPERLINK("https://youtu.be/E-oiE3bC2mQ?t=2075","channel 3")</f>
        <v>channel 3</v>
      </c>
    </row>
    <row r="140">
      <c r="B140" s="133" t="s">
        <v>3629</v>
      </c>
      <c r="C140" s="94" t="s">
        <v>1123</v>
      </c>
      <c r="D140" s="133" t="s">
        <v>2338</v>
      </c>
      <c r="E140" s="11" t="str">
        <f>HYPERLINK("https://youtu.be/HfMGLMgYKCs?t=2008","channel 4")</f>
        <v>channel 4</v>
      </c>
    </row>
    <row r="141">
      <c r="B141" s="62" t="s">
        <v>3630</v>
      </c>
      <c r="C141" s="94" t="s">
        <v>182</v>
      </c>
      <c r="D141" s="61" t="s">
        <v>2352</v>
      </c>
      <c r="E141" s="11" t="str">
        <f>HYPERLINK("https://youtu.be/E-oiE3bC2mQ?t=3023","channel 3")</f>
        <v>channel 3</v>
      </c>
    </row>
    <row r="142">
      <c r="B142" s="133" t="s">
        <v>2538</v>
      </c>
      <c r="C142" s="94" t="s">
        <v>718</v>
      </c>
      <c r="D142" s="133" t="s">
        <v>2338</v>
      </c>
      <c r="E142" s="11" t="str">
        <f>HYPERLINK("https://youtu.be/HfMGLMgYKCs?t=3012","channel 4")</f>
        <v>channel 4</v>
      </c>
    </row>
    <row r="143">
      <c r="B143" s="62" t="s">
        <v>3630</v>
      </c>
      <c r="C143" s="94" t="s">
        <v>248</v>
      </c>
      <c r="D143" s="62" t="s">
        <v>3629</v>
      </c>
      <c r="E143" s="11" t="str">
        <f>HYPERLINK("https://youtu.be/E-oiE3bC2mQ?t=3929","channel 3")</f>
        <v>channel 3</v>
      </c>
    </row>
    <row r="144">
      <c r="B144" s="133" t="s">
        <v>2538</v>
      </c>
      <c r="C144" s="94" t="s">
        <v>477</v>
      </c>
      <c r="D144" s="114" t="s">
        <v>2352</v>
      </c>
      <c r="E144" s="11" t="str">
        <f>HYPERLINK("https://youtu.be/HfMGLMgYKCs?t=3903","channel 4")</f>
        <v>channel 4</v>
      </c>
    </row>
    <row r="145">
      <c r="B145" s="61" t="s">
        <v>2352</v>
      </c>
      <c r="C145" s="94" t="s">
        <v>20</v>
      </c>
      <c r="D145" s="62" t="s">
        <v>2338</v>
      </c>
      <c r="E145" s="11" t="str">
        <f>HYPERLINK("https://youtu.be/E-oiE3bC2mQ?t=4938","channel 3")</f>
        <v>channel 3</v>
      </c>
    </row>
    <row r="146">
      <c r="B146" s="133" t="s">
        <v>2538</v>
      </c>
      <c r="C146" s="94" t="s">
        <v>16</v>
      </c>
      <c r="D146" s="133" t="s">
        <v>3629</v>
      </c>
      <c r="E146" s="11" t="str">
        <f>HYPERLINK("https://youtu.be/HfMGLMgYKCs?t=4827","channel 4")</f>
        <v>channel 4</v>
      </c>
    </row>
    <row r="147">
      <c r="B147" s="133" t="s">
        <v>2338</v>
      </c>
      <c r="C147" s="94" t="s">
        <v>20</v>
      </c>
      <c r="D147" s="133" t="s">
        <v>3630</v>
      </c>
      <c r="E147" s="11" t="str">
        <f>HYPERLINK("https://youtu.be/E-oiE3bC2mQ?t=5876","channel 3")</f>
        <v>channel 3</v>
      </c>
    </row>
    <row r="148">
      <c r="B148" s="114" t="s">
        <v>2352</v>
      </c>
      <c r="C148" s="94" t="s">
        <v>229</v>
      </c>
      <c r="D148" s="133" t="s">
        <v>3629</v>
      </c>
      <c r="E148" s="11" t="str">
        <f>HYPERLINK("https://youtu.be/HfMGLMgYKCs?t=5803","channel 4")</f>
        <v>channel 4</v>
      </c>
    </row>
    <row r="149">
      <c r="B149" s="62" t="s">
        <v>2538</v>
      </c>
      <c r="C149" s="94" t="s">
        <v>250</v>
      </c>
      <c r="D149" s="62" t="s">
        <v>3630</v>
      </c>
      <c r="E149" s="11" t="str">
        <f>HYPERLINK("https://youtu.be/E-oiE3bC2mQ?t=6801","channel 3")</f>
        <v>channel 3</v>
      </c>
    </row>
    <row r="150">
      <c r="B150" s="133" t="s">
        <v>2338</v>
      </c>
      <c r="C150" s="94" t="s">
        <v>193</v>
      </c>
      <c r="D150" s="133" t="s">
        <v>3629</v>
      </c>
      <c r="E150" s="11" t="str">
        <f>HYPERLINK("https://youtu.be/HfMGLMgYKCs?t=6722","channel 4")</f>
        <v>channel 4</v>
      </c>
    </row>
    <row r="151">
      <c r="B151" s="61" t="s">
        <v>2352</v>
      </c>
      <c r="C151" s="94" t="s">
        <v>233</v>
      </c>
      <c r="D151" s="62" t="s">
        <v>3630</v>
      </c>
      <c r="E151" s="11" t="str">
        <f>HYPERLINK("https://youtu.be/E-oiE3bC2mQ?t=7795","channel 3")</f>
        <v>channel 3</v>
      </c>
    </row>
    <row r="152">
      <c r="B152" s="133" t="s">
        <v>2338</v>
      </c>
      <c r="C152" s="94" t="s">
        <v>155</v>
      </c>
      <c r="D152" s="133" t="s">
        <v>2538</v>
      </c>
      <c r="E152" s="11" t="str">
        <f>HYPERLINK("https://youtu.be/HfMGLMgYKCs?t=7725","channel 4")</f>
        <v>channel 4</v>
      </c>
    </row>
    <row r="153">
      <c r="B153" s="133" t="s">
        <v>3629</v>
      </c>
      <c r="C153" s="94" t="s">
        <v>383</v>
      </c>
      <c r="D153" s="133" t="s">
        <v>3630</v>
      </c>
      <c r="E153" s="11" t="str">
        <f>HYPERLINK("https://youtu.be/E-oiE3bC2mQ?t=8749","channel 3")</f>
        <v>channel 3</v>
      </c>
    </row>
    <row r="154">
      <c r="B154" s="114" t="s">
        <v>2352</v>
      </c>
      <c r="C154" s="94" t="s">
        <v>17</v>
      </c>
      <c r="D154" s="133" t="s">
        <v>2538</v>
      </c>
      <c r="E154" s="11" t="str">
        <f>HYPERLINK("https://youtu.be/HfMGLMgYKCs?t=8621","channel 4")</f>
        <v>channel 4</v>
      </c>
    </row>
    <row r="155">
      <c r="B155" s="96" t="s">
        <v>2862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0" t="s">
        <v>2149</v>
      </c>
      <c r="C157" s="94" t="s">
        <v>302</v>
      </c>
      <c r="D157" s="61" t="s">
        <v>3631</v>
      </c>
      <c r="E157" s="11" t="str">
        <f>HYPERLINK("https://youtu.be/7F2h5nVS2AE","channel 3")</f>
        <v>channel 3</v>
      </c>
    </row>
    <row r="158">
      <c r="B158" s="114" t="s">
        <v>3632</v>
      </c>
      <c r="C158" s="94" t="s">
        <v>19</v>
      </c>
      <c r="D158" s="133" t="s">
        <v>1730</v>
      </c>
      <c r="E158" s="125" t="s">
        <v>33</v>
      </c>
    </row>
    <row r="159">
      <c r="B159" s="62" t="s">
        <v>3633</v>
      </c>
      <c r="C159" s="94" t="s">
        <v>218</v>
      </c>
      <c r="D159" s="62" t="s">
        <v>2149</v>
      </c>
      <c r="E159" s="11" t="str">
        <f>HYPERLINK("https://youtu.be/7F2h5nVS2AE?t=1063","channel 3")</f>
        <v>channel 3</v>
      </c>
    </row>
    <row r="160">
      <c r="B160" s="114" t="s">
        <v>3632</v>
      </c>
      <c r="C160" s="94" t="s">
        <v>19</v>
      </c>
      <c r="D160" s="114" t="s">
        <v>3631</v>
      </c>
      <c r="E160" s="125" t="s">
        <v>33</v>
      </c>
    </row>
    <row r="161">
      <c r="B161" s="62" t="s">
        <v>3633</v>
      </c>
      <c r="C161" s="94" t="s">
        <v>248</v>
      </c>
      <c r="D161" s="62" t="s">
        <v>1730</v>
      </c>
      <c r="E161" s="11" t="str">
        <f>HYPERLINK("https://youtu.be/7F2h5nVS2AE?t=2024","channel 3")</f>
        <v>channel 3</v>
      </c>
    </row>
    <row r="162">
      <c r="B162" s="114" t="s">
        <v>3632</v>
      </c>
      <c r="C162" s="94" t="s">
        <v>549</v>
      </c>
      <c r="D162" s="133" t="s">
        <v>2149</v>
      </c>
      <c r="E162" s="125" t="s">
        <v>33</v>
      </c>
    </row>
    <row r="163">
      <c r="B163" s="62" t="s">
        <v>3633</v>
      </c>
      <c r="C163" s="94" t="s">
        <v>774</v>
      </c>
      <c r="D163" s="61" t="s">
        <v>3631</v>
      </c>
      <c r="E163" s="11" t="str">
        <f>HYPERLINK("https://youtu.be/7F2h5nVS2AE?t=2928","channel 3")</f>
        <v>channel 3</v>
      </c>
    </row>
    <row r="164">
      <c r="B164" s="133" t="s">
        <v>1730</v>
      </c>
      <c r="C164" s="94" t="s">
        <v>196</v>
      </c>
      <c r="D164" s="133" t="s">
        <v>2149</v>
      </c>
      <c r="E164" s="125" t="s">
        <v>33</v>
      </c>
    </row>
    <row r="165">
      <c r="B165" s="62" t="s">
        <v>3633</v>
      </c>
      <c r="C165" s="94" t="s">
        <v>517</v>
      </c>
      <c r="D165" s="61" t="s">
        <v>3632</v>
      </c>
      <c r="E165" s="11" t="str">
        <f>HYPERLINK("https://youtu.be/7F2h5nVS2AE?t=3818","channel 3")</f>
        <v>channel 3</v>
      </c>
    </row>
    <row r="166">
      <c r="B166" s="133" t="s">
        <v>1730</v>
      </c>
      <c r="C166" s="94" t="s">
        <v>16</v>
      </c>
      <c r="D166" s="114" t="s">
        <v>3631</v>
      </c>
      <c r="E166" s="125" t="s">
        <v>33</v>
      </c>
    </row>
    <row r="167">
      <c r="B167" s="61" t="s">
        <v>3631</v>
      </c>
      <c r="C167" s="94" t="s">
        <v>744</v>
      </c>
      <c r="D167" s="62" t="s">
        <v>2149</v>
      </c>
      <c r="E167" s="11" t="str">
        <f>HYPERLINK("https://youtu.be/7F2h5nVS2AE?t=4760","channel 3")</f>
        <v>channel 3</v>
      </c>
    </row>
    <row r="168">
      <c r="B168" s="133" t="s">
        <v>1730</v>
      </c>
      <c r="C168" s="94" t="s">
        <v>3634</v>
      </c>
      <c r="D168" s="114" t="s">
        <v>3632</v>
      </c>
      <c r="E168" s="125" t="s">
        <v>33</v>
      </c>
    </row>
    <row r="169">
      <c r="B169" s="62" t="s">
        <v>2149</v>
      </c>
      <c r="C169" s="94" t="s">
        <v>216</v>
      </c>
      <c r="D169" s="62" t="s">
        <v>3633</v>
      </c>
      <c r="E169" s="11" t="str">
        <f>HYPERLINK("https://youtu.be/7F2h5nVS2AE?t=5708","channel 3")</f>
        <v>channel 3</v>
      </c>
    </row>
    <row r="170">
      <c r="B170" s="114" t="s">
        <v>3631</v>
      </c>
      <c r="C170" s="94" t="s">
        <v>18</v>
      </c>
      <c r="D170" s="114" t="s">
        <v>3632</v>
      </c>
      <c r="E170" s="11" t="str">
        <f>HYPERLINK("https://youtu.be/OqxLHYJ_phY","channel 4")</f>
        <v>channel 4</v>
      </c>
      <c r="F170" s="147"/>
    </row>
    <row r="171">
      <c r="B171" s="62" t="s">
        <v>1730</v>
      </c>
      <c r="C171" s="94" t="s">
        <v>426</v>
      </c>
      <c r="D171" s="62" t="s">
        <v>3633</v>
      </c>
      <c r="E171" s="11" t="str">
        <f>HYPERLINK("https://youtu.be/7F2h5nVS2AE?t=6644","channel 3")</f>
        <v>channel 3</v>
      </c>
    </row>
    <row r="172">
      <c r="B172" s="133" t="s">
        <v>2149</v>
      </c>
      <c r="C172" s="94" t="s">
        <v>239</v>
      </c>
      <c r="D172" s="114" t="s">
        <v>3632</v>
      </c>
      <c r="E172" s="11" t="str">
        <f>HYPERLINK("https://youtu.be/OqxLHYJ_phY?t=852","channel 4")</f>
        <v>channel 4</v>
      </c>
    </row>
    <row r="173">
      <c r="B173" s="61" t="s">
        <v>3631</v>
      </c>
      <c r="C173" s="94" t="s">
        <v>278</v>
      </c>
      <c r="D173" s="62" t="s">
        <v>3633</v>
      </c>
      <c r="E173" s="11" t="str">
        <f>HYPERLINK("https://youtu.be/7F2h5nVS2AE?t=7574","channel 3")</f>
        <v>channel 3</v>
      </c>
    </row>
    <row r="174">
      <c r="B174" s="133" t="s">
        <v>2149</v>
      </c>
      <c r="C174" s="94" t="s">
        <v>23</v>
      </c>
      <c r="D174" s="133" t="s">
        <v>1730</v>
      </c>
      <c r="E174" s="11" t="str">
        <f>HYPERLINK("https://youtu.be/OqxLHYJ_phY?t=1869","channel 4")</f>
        <v>channel 4</v>
      </c>
    </row>
    <row r="175">
      <c r="B175" s="61" t="s">
        <v>3632</v>
      </c>
      <c r="C175" s="94" t="s">
        <v>14</v>
      </c>
      <c r="D175" s="62" t="s">
        <v>3633</v>
      </c>
      <c r="E175" s="11" t="str">
        <f>HYPERLINK("https://youtu.be/7F2h5nVS2AE?t=8507","channel 3")</f>
        <v>channel 3</v>
      </c>
    </row>
    <row r="176">
      <c r="B176" s="114" t="s">
        <v>3631</v>
      </c>
      <c r="C176" s="94" t="s">
        <v>344</v>
      </c>
      <c r="D176" s="133" t="s">
        <v>1730</v>
      </c>
      <c r="E176" s="11" t="str">
        <f>HYPERLINK("https://youtu.be/OqxLHYJ_phY?t=2756","channel 4")</f>
        <v>channel 4</v>
      </c>
    </row>
    <row r="177">
      <c r="B177" s="96" t="s">
        <v>1566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3635</v>
      </c>
      <c r="C179" s="94" t="s">
        <v>158</v>
      </c>
      <c r="D179" s="62" t="s">
        <v>3636</v>
      </c>
      <c r="E179" s="11" t="str">
        <f>HYPERLINK("https://youtu.be/OzDGOVsR7hc","channel 1")</f>
        <v>channel 1</v>
      </c>
    </row>
    <row r="180">
      <c r="B180" s="62" t="s">
        <v>2464</v>
      </c>
      <c r="C180" s="94" t="s">
        <v>44</v>
      </c>
      <c r="D180" s="62" t="s">
        <v>948</v>
      </c>
      <c r="E180" s="11" t="str">
        <f>HYPERLINK("https://youtu.be/ILKHE6BC6cY","channel 2")</f>
        <v>channel 2</v>
      </c>
    </row>
    <row r="181">
      <c r="B181" s="62" t="s">
        <v>2039</v>
      </c>
      <c r="C181" s="94" t="s">
        <v>173</v>
      </c>
      <c r="D181" s="62" t="s">
        <v>3635</v>
      </c>
      <c r="E181" s="11" t="str">
        <f>HYPERLINK("https://youtu.be/OzDGOVsR7hc?t=950","channel 1")</f>
        <v>channel 1</v>
      </c>
    </row>
    <row r="182">
      <c r="B182" s="62" t="s">
        <v>2464</v>
      </c>
      <c r="C182" s="94" t="s">
        <v>323</v>
      </c>
      <c r="D182" s="62" t="s">
        <v>3636</v>
      </c>
      <c r="E182" s="11" t="str">
        <f>HYPERLINK("https://youtu.be/ILKHE6BC6cY?t=924","channel 2")</f>
        <v>channel 2</v>
      </c>
    </row>
    <row r="183">
      <c r="B183" s="62" t="s">
        <v>2039</v>
      </c>
      <c r="C183" s="94" t="s">
        <v>39</v>
      </c>
      <c r="D183" s="62" t="s">
        <v>948</v>
      </c>
      <c r="E183" s="11" t="str">
        <f>HYPERLINK("https://youtu.be/OzDGOVsR7hc?t=1802","channel 1")</f>
        <v>channel 1</v>
      </c>
    </row>
    <row r="184">
      <c r="B184" s="62" t="s">
        <v>2464</v>
      </c>
      <c r="C184" s="94" t="s">
        <v>211</v>
      </c>
      <c r="D184" s="62" t="s">
        <v>3635</v>
      </c>
      <c r="E184" s="11" t="str">
        <f>HYPERLINK("https://youtu.be/ILKHE6BC6cY?t=1799","channel 2")</f>
        <v>channel 2</v>
      </c>
    </row>
    <row r="185">
      <c r="B185" s="62" t="s">
        <v>2039</v>
      </c>
      <c r="C185" s="94" t="s">
        <v>16</v>
      </c>
      <c r="D185" s="62" t="s">
        <v>3636</v>
      </c>
      <c r="E185" s="11" t="str">
        <f>HYPERLINK("https://youtu.be/OzDGOVsR7hc?t=2694","channel 1")</f>
        <v>channel 1</v>
      </c>
    </row>
    <row r="186">
      <c r="B186" s="62" t="s">
        <v>948</v>
      </c>
      <c r="C186" s="94" t="s">
        <v>244</v>
      </c>
      <c r="D186" s="62" t="s">
        <v>3635</v>
      </c>
      <c r="E186" s="11" t="str">
        <f>HYPERLINK("https://youtu.be/ILKHE6BC6cY?t=2670","channel 2")</f>
        <v>channel 2</v>
      </c>
    </row>
    <row r="187">
      <c r="B187" s="62" t="s">
        <v>2039</v>
      </c>
      <c r="C187" s="94" t="s">
        <v>279</v>
      </c>
      <c r="D187" s="62" t="s">
        <v>2464</v>
      </c>
      <c r="E187" s="11" t="str">
        <f>HYPERLINK("https://youtu.be/OzDGOVsR7hc?t=3603","channel 1")</f>
        <v>channel 1</v>
      </c>
    </row>
    <row r="188">
      <c r="B188" s="62" t="s">
        <v>948</v>
      </c>
      <c r="C188" s="94" t="s">
        <v>620</v>
      </c>
      <c r="D188" s="62" t="s">
        <v>3636</v>
      </c>
      <c r="E188" s="11" t="str">
        <f>HYPERLINK("https://youtu.be/ILKHE6BC6cY?t=3581","channel 2")</f>
        <v>channel 2</v>
      </c>
    </row>
    <row r="189">
      <c r="B189" s="62" t="s">
        <v>3636</v>
      </c>
      <c r="C189" s="94" t="s">
        <v>464</v>
      </c>
      <c r="D189" s="62" t="s">
        <v>3635</v>
      </c>
      <c r="E189" s="11" t="str">
        <f>HYPERLINK("https://youtu.be/OzDGOVsR7hc?t=4466","channel 1")</f>
        <v>channel 1</v>
      </c>
    </row>
    <row r="190">
      <c r="B190" s="62" t="s">
        <v>948</v>
      </c>
      <c r="C190" s="94" t="s">
        <v>14</v>
      </c>
      <c r="D190" s="62" t="s">
        <v>2464</v>
      </c>
      <c r="E190" s="11" t="str">
        <f>HYPERLINK("https://youtu.be/ILKHE6BC6cY?t=4444","channel 2")</f>
        <v>channel 2</v>
      </c>
    </row>
    <row r="191">
      <c r="B191" s="62" t="s">
        <v>3635</v>
      </c>
      <c r="C191" s="94" t="s">
        <v>185</v>
      </c>
      <c r="D191" s="62" t="s">
        <v>2039</v>
      </c>
      <c r="E191" s="11" t="str">
        <f>HYPERLINK("https://youtu.be/OzDGOVsR7hc?t=5405","channel 1")</f>
        <v>channel 1</v>
      </c>
    </row>
    <row r="192">
      <c r="B192" s="62" t="s">
        <v>3636</v>
      </c>
      <c r="C192" s="94" t="s">
        <v>207</v>
      </c>
      <c r="D192" s="62" t="s">
        <v>2464</v>
      </c>
      <c r="E192" s="11" t="str">
        <f>HYPERLINK("https://youtu.be/ILKHE6BC6cY?t=5363","channel 2")</f>
        <v>channel 2</v>
      </c>
    </row>
    <row r="193">
      <c r="B193" s="62" t="s">
        <v>948</v>
      </c>
      <c r="C193" s="94" t="s">
        <v>17</v>
      </c>
      <c r="D193" s="62" t="s">
        <v>2039</v>
      </c>
      <c r="E193" s="11" t="str">
        <f>HYPERLINK("https://youtu.be/OzDGOVsR7hc?t=6328","channel 1")</f>
        <v>channel 1</v>
      </c>
    </row>
    <row r="194">
      <c r="B194" s="62" t="s">
        <v>3635</v>
      </c>
      <c r="C194" s="94" t="s">
        <v>697</v>
      </c>
      <c r="D194" s="62" t="s">
        <v>2464</v>
      </c>
      <c r="E194" s="11" t="str">
        <f>HYPERLINK("https://youtu.be/ILKHE6BC6cY?t=6301","channel 2")</f>
        <v>channel 2</v>
      </c>
    </row>
    <row r="195">
      <c r="B195" s="62" t="s">
        <v>3636</v>
      </c>
      <c r="C195" s="94" t="s">
        <v>185</v>
      </c>
      <c r="D195" s="62" t="s">
        <v>2039</v>
      </c>
      <c r="E195" s="11" t="str">
        <f>HYPERLINK("https://youtu.be/OzDGOVsR7hc?t=7215","channel 1")</f>
        <v>channel 1</v>
      </c>
    </row>
    <row r="196">
      <c r="B196" s="62" t="s">
        <v>3635</v>
      </c>
      <c r="C196" s="94" t="s">
        <v>743</v>
      </c>
      <c r="D196" s="62" t="s">
        <v>948</v>
      </c>
      <c r="E196" s="11" t="str">
        <f>HYPERLINK("https://youtu.be/ILKHE6BC6cY?t=7219","channel 2")</f>
        <v>channel 2</v>
      </c>
    </row>
    <row r="197">
      <c r="B197" s="62" t="s">
        <v>2464</v>
      </c>
      <c r="C197" s="94" t="s">
        <v>23</v>
      </c>
      <c r="D197" s="62" t="s">
        <v>2039</v>
      </c>
      <c r="E197" s="11" t="str">
        <f>HYPERLINK("https://youtu.be/OzDGOVsR7hc?t=8109","channel 1")</f>
        <v>channel 1</v>
      </c>
    </row>
    <row r="198">
      <c r="B198" s="62" t="s">
        <v>3636</v>
      </c>
      <c r="C198" s="94" t="s">
        <v>41</v>
      </c>
      <c r="D198" s="62" t="s">
        <v>948</v>
      </c>
      <c r="E198" s="11" t="str">
        <f>HYPERLINK("https://youtu.be/ILKHE6BC6cY?t=8196","channel 2")</f>
        <v>channel 2</v>
      </c>
    </row>
    <row r="199">
      <c r="B199" s="96" t="s">
        <v>3637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3603</v>
      </c>
      <c r="C201" s="94" t="s">
        <v>16</v>
      </c>
      <c r="D201" s="62" t="s">
        <v>3282</v>
      </c>
      <c r="E201" s="11" t="str">
        <f>HYPERLINK("https://youtu.be/Cu6hGsqT5QA","channel 1")</f>
        <v>channel 1</v>
      </c>
    </row>
    <row r="202">
      <c r="B202" s="62" t="s">
        <v>3638</v>
      </c>
      <c r="C202" s="94" t="s">
        <v>161</v>
      </c>
      <c r="D202" s="62" t="s">
        <v>3639</v>
      </c>
      <c r="E202" s="11" t="str">
        <f>HYPERLINK("https://youtu.be/zOpALSStW50","channel 2")</f>
        <v>channel 2</v>
      </c>
    </row>
    <row r="203">
      <c r="B203" s="62" t="s">
        <v>2142</v>
      </c>
      <c r="C203" s="94" t="s">
        <v>426</v>
      </c>
      <c r="D203" s="62" t="s">
        <v>3603</v>
      </c>
      <c r="E203" s="11" t="str">
        <f>HYPERLINK("https://youtu.be/Cu6hGsqT5QA?t=1080","channel 1")</f>
        <v>channel 1</v>
      </c>
    </row>
    <row r="204">
      <c r="B204" s="62" t="s">
        <v>3638</v>
      </c>
      <c r="C204" s="94" t="s">
        <v>344</v>
      </c>
      <c r="D204" s="62" t="s">
        <v>3282</v>
      </c>
      <c r="E204" s="11" t="str">
        <f>HYPERLINK("https://youtu.be/zOpALSStW50?t=1097","channel 2")</f>
        <v>channel 2</v>
      </c>
    </row>
    <row r="205">
      <c r="B205" s="62" t="s">
        <v>2142</v>
      </c>
      <c r="C205" s="94" t="s">
        <v>196</v>
      </c>
      <c r="D205" s="62" t="s">
        <v>3639</v>
      </c>
      <c r="E205" s="11" t="str">
        <f>HYPERLINK("https://youtu.be/Cu6hGsqT5QA?t=2063","channel 1")</f>
        <v>channel 1</v>
      </c>
    </row>
    <row r="206">
      <c r="B206" s="62" t="s">
        <v>3638</v>
      </c>
      <c r="C206" s="94" t="s">
        <v>23</v>
      </c>
      <c r="D206" s="62" t="s">
        <v>3603</v>
      </c>
      <c r="E206" s="11" t="str">
        <f>HYPERLINK("https://youtu.be/zOpALSStW50?t=2252","channel 2")</f>
        <v>channel 2</v>
      </c>
    </row>
    <row r="207">
      <c r="B207" s="62" t="s">
        <v>2142</v>
      </c>
      <c r="C207" s="94" t="s">
        <v>362</v>
      </c>
      <c r="D207" s="62" t="s">
        <v>3282</v>
      </c>
      <c r="E207" s="11" t="str">
        <f>HYPERLINK("https://youtu.be/Cu6hGsqT5QA?t=3148","channel 1")</f>
        <v>channel 1</v>
      </c>
    </row>
    <row r="208">
      <c r="B208" s="62" t="s">
        <v>3639</v>
      </c>
      <c r="C208" s="94" t="s">
        <v>1120</v>
      </c>
      <c r="D208" s="62" t="s">
        <v>3603</v>
      </c>
      <c r="E208" s="11" t="str">
        <f>HYPERLINK("https://youtu.be/zOpALSStW50?t=3155","channel 2")</f>
        <v>channel 2</v>
      </c>
    </row>
    <row r="209">
      <c r="B209" s="62" t="s">
        <v>2142</v>
      </c>
      <c r="C209" s="94" t="s">
        <v>38</v>
      </c>
      <c r="D209" s="62" t="s">
        <v>3638</v>
      </c>
      <c r="E209" s="11" t="str">
        <f>HYPERLINK("https://youtu.be/Cu6hGsqT5QA?t=4042","channel 1")</f>
        <v>channel 1</v>
      </c>
    </row>
    <row r="210">
      <c r="B210" s="62" t="s">
        <v>3639</v>
      </c>
      <c r="C210" s="94" t="s">
        <v>19</v>
      </c>
      <c r="D210" s="62" t="s">
        <v>3282</v>
      </c>
      <c r="E210" s="11" t="str">
        <f>HYPERLINK("https://youtu.be/zOpALSStW50?t=4072","channel 2")</f>
        <v>channel 2</v>
      </c>
    </row>
    <row r="211">
      <c r="B211" s="62" t="s">
        <v>3282</v>
      </c>
      <c r="C211" s="94" t="s">
        <v>210</v>
      </c>
      <c r="D211" s="62" t="s">
        <v>3603</v>
      </c>
      <c r="E211" s="11" t="str">
        <f>HYPERLINK("https://youtu.be/Cu6hGsqT5QA?t=5001","channel 1")</f>
        <v>channel 1</v>
      </c>
    </row>
    <row r="212">
      <c r="B212" s="62" t="s">
        <v>3639</v>
      </c>
      <c r="C212" s="94" t="s">
        <v>164</v>
      </c>
      <c r="D212" s="62" t="s">
        <v>3638</v>
      </c>
      <c r="E212" s="11" t="str">
        <f>HYPERLINK("https://youtu.be/zOpALSStW50?t=5008","channel 2")</f>
        <v>channel 2</v>
      </c>
    </row>
    <row r="213">
      <c r="B213" s="62" t="s">
        <v>3603</v>
      </c>
      <c r="C213" s="94" t="s">
        <v>41</v>
      </c>
      <c r="D213" s="62" t="s">
        <v>2142</v>
      </c>
      <c r="E213" s="11" t="str">
        <f>HYPERLINK("https://youtu.be/Cu6hGsqT5QA?t=5921","channel 1")</f>
        <v>channel 1</v>
      </c>
    </row>
    <row r="214">
      <c r="B214" s="62" t="s">
        <v>3282</v>
      </c>
      <c r="C214" s="94" t="s">
        <v>394</v>
      </c>
      <c r="D214" s="62" t="s">
        <v>3638</v>
      </c>
      <c r="E214" s="11" t="str">
        <f>HYPERLINK("https://youtu.be/zOpALSStW50?t=5924","channel 2")</f>
        <v>channel 2</v>
      </c>
    </row>
    <row r="215">
      <c r="B215" s="62" t="s">
        <v>3639</v>
      </c>
      <c r="C215" s="94" t="s">
        <v>220</v>
      </c>
      <c r="D215" s="62" t="s">
        <v>2142</v>
      </c>
      <c r="E215" s="11" t="str">
        <f>HYPERLINK("https://youtu.be/Cu6hGsqT5QA?t=6775","channel 1")</f>
        <v>channel 1</v>
      </c>
    </row>
    <row r="216">
      <c r="B216" s="62" t="s">
        <v>3603</v>
      </c>
      <c r="C216" s="94" t="s">
        <v>289</v>
      </c>
      <c r="D216" s="62" t="s">
        <v>3638</v>
      </c>
      <c r="E216" s="11" t="str">
        <f>HYPERLINK("https://youtu.be/zOpALSStW50?t=6772","channel 2")</f>
        <v>channel 2</v>
      </c>
    </row>
    <row r="217">
      <c r="B217" s="62" t="s">
        <v>3282</v>
      </c>
      <c r="C217" s="94" t="s">
        <v>220</v>
      </c>
      <c r="D217" s="62" t="s">
        <v>2142</v>
      </c>
      <c r="E217" s="11" t="str">
        <f>HYPERLINK("https://youtu.be/Cu6hGsqT5QA?t=7662","channel 1")</f>
        <v>channel 1</v>
      </c>
    </row>
    <row r="218">
      <c r="B218" s="62" t="s">
        <v>3603</v>
      </c>
      <c r="C218" s="94" t="s">
        <v>3640</v>
      </c>
      <c r="D218" s="62" t="s">
        <v>3639</v>
      </c>
      <c r="E218" s="11" t="str">
        <f>HYPERLINK("https://youtu.be/zOpALSStW50?t=7702","channel 2")</f>
        <v>channel 2</v>
      </c>
    </row>
    <row r="219">
      <c r="B219" s="62" t="s">
        <v>3638</v>
      </c>
      <c r="C219" s="94" t="s">
        <v>16</v>
      </c>
      <c r="D219" s="62" t="s">
        <v>2142</v>
      </c>
      <c r="E219" s="11" t="str">
        <f>HYPERLINK("https://youtu.be/Cu6hGsqT5QA?t=8558","channel 1")</f>
        <v>channel 1</v>
      </c>
    </row>
    <row r="220">
      <c r="B220" s="62" t="s">
        <v>3282</v>
      </c>
      <c r="C220" s="94" t="s">
        <v>393</v>
      </c>
      <c r="D220" s="62" t="s">
        <v>3639</v>
      </c>
      <c r="E220" s="11" t="str">
        <f>HYPERLINK("https://youtu.be/zOpALSStW50?t=8621","channel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0"/>
      <c r="B1" s="96" t="s">
        <v>2260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142" t="s">
        <v>3641</v>
      </c>
      <c r="C3" s="94" t="s">
        <v>279</v>
      </c>
      <c r="D3" s="61" t="s">
        <v>3642</v>
      </c>
      <c r="E3" s="11" t="str">
        <f>HYPERLINK("https://youtu.be/QXwcbPsyiUo","channel 1")</f>
        <v>channel 1</v>
      </c>
    </row>
    <row r="4">
      <c r="A4" s="141"/>
      <c r="B4" s="61" t="s">
        <v>3643</v>
      </c>
      <c r="C4" s="94" t="s">
        <v>507</v>
      </c>
      <c r="D4" s="61" t="s">
        <v>3644</v>
      </c>
      <c r="E4" s="11" t="str">
        <f>HYPERLINK("https://youtu.be/qJHtNnTfxGY","channel 2")</f>
        <v>channel 2</v>
      </c>
    </row>
    <row r="5">
      <c r="A5" s="141"/>
      <c r="B5" s="61" t="s">
        <v>3378</v>
      </c>
      <c r="C5" s="94" t="s">
        <v>570</v>
      </c>
      <c r="D5" s="61" t="s">
        <v>3641</v>
      </c>
      <c r="E5" s="11" t="str">
        <f>HYPERLINK("https://youtu.be/QXwcbPsyiUo?t=857","channel 1")</f>
        <v>channel 1</v>
      </c>
    </row>
    <row r="6">
      <c r="A6" s="141"/>
      <c r="B6" s="61" t="s">
        <v>3643</v>
      </c>
      <c r="C6" s="94" t="s">
        <v>157</v>
      </c>
      <c r="D6" s="61" t="s">
        <v>3642</v>
      </c>
      <c r="E6" s="11" t="str">
        <f>HYPERLINK("https://youtu.be/9usbguFJThI","channel 2")</f>
        <v>channel 2</v>
      </c>
    </row>
    <row r="7">
      <c r="A7" s="141"/>
      <c r="B7" s="61" t="s">
        <v>3378</v>
      </c>
      <c r="C7" s="94" t="s">
        <v>281</v>
      </c>
      <c r="D7" s="61" t="s">
        <v>3644</v>
      </c>
      <c r="E7" s="11" t="str">
        <f>HYPERLINK("https://youtu.be/QXwcbPsyiUo?t=1763","channel 1")</f>
        <v>channel 1</v>
      </c>
    </row>
    <row r="8">
      <c r="A8" s="141"/>
      <c r="B8" s="61" t="s">
        <v>3643</v>
      </c>
      <c r="C8" s="94" t="s">
        <v>184</v>
      </c>
      <c r="D8" s="61" t="s">
        <v>3641</v>
      </c>
      <c r="E8" s="11" t="str">
        <f>HYPERLINK("https://youtu.be/9usbguFJThI","channel 2")</f>
        <v>channel 2</v>
      </c>
    </row>
    <row r="9">
      <c r="A9" s="141"/>
      <c r="B9" s="61" t="s">
        <v>3378</v>
      </c>
      <c r="C9" s="94" t="s">
        <v>19</v>
      </c>
      <c r="D9" s="61" t="s">
        <v>3642</v>
      </c>
      <c r="E9" s="11" t="str">
        <f>HYPERLINK("https://youtu.be/QXwcbPsyiUo?t=2662","channel 1")</f>
        <v>channel 1</v>
      </c>
    </row>
    <row r="10">
      <c r="A10" s="141"/>
      <c r="B10" s="61" t="s">
        <v>3644</v>
      </c>
      <c r="C10" s="94" t="s">
        <v>219</v>
      </c>
      <c r="D10" s="61" t="s">
        <v>3641</v>
      </c>
      <c r="E10" s="11" t="str">
        <f>HYPERLINK("https://youtu.be/9usbguFJThI","channel 2")</f>
        <v>channel 2</v>
      </c>
    </row>
    <row r="11">
      <c r="A11" s="141"/>
      <c r="B11" s="61" t="s">
        <v>3378</v>
      </c>
      <c r="C11" s="94" t="s">
        <v>19</v>
      </c>
      <c r="D11" s="61" t="s">
        <v>3643</v>
      </c>
      <c r="E11" s="11" t="str">
        <f>HYPERLINK("https://youtu.be/QXwcbPsyiUo?t=3641","channel 1")</f>
        <v>channel 1</v>
      </c>
    </row>
    <row r="12">
      <c r="A12" s="141"/>
      <c r="B12" s="61" t="s">
        <v>3644</v>
      </c>
      <c r="C12" s="94" t="s">
        <v>574</v>
      </c>
      <c r="D12" s="61" t="s">
        <v>3642</v>
      </c>
      <c r="E12" s="11" t="str">
        <f>HYPERLINK("https://youtu.be/9usbguFJThI","channel 2")</f>
        <v>channel 2</v>
      </c>
    </row>
    <row r="13">
      <c r="A13" s="141"/>
      <c r="B13" s="61" t="s">
        <v>3642</v>
      </c>
      <c r="C13" s="94" t="s">
        <v>158</v>
      </c>
      <c r="D13" s="61" t="s">
        <v>3641</v>
      </c>
      <c r="E13" s="11" t="str">
        <f>HYPERLINK("https://youtu.be/QXwcbPsyiUo?t=4628","channel 1")</f>
        <v>channel 1</v>
      </c>
    </row>
    <row r="14">
      <c r="A14" s="141"/>
      <c r="B14" s="61" t="s">
        <v>3644</v>
      </c>
      <c r="C14" s="94" t="s">
        <v>38</v>
      </c>
      <c r="D14" s="61" t="s">
        <v>3643</v>
      </c>
      <c r="E14" s="11" t="str">
        <f>HYPERLINK("https://youtu.be/9usbguFJThI","channel 2")</f>
        <v>channel 2</v>
      </c>
    </row>
    <row r="15">
      <c r="A15" s="141"/>
      <c r="B15" s="61" t="s">
        <v>3641</v>
      </c>
      <c r="C15" s="94" t="s">
        <v>165</v>
      </c>
      <c r="D15" s="61" t="s">
        <v>3378</v>
      </c>
      <c r="E15" s="11" t="str">
        <f>HYPERLINK("https://youtu.be/QXwcbPsyiUo?t=5740","channel 1")</f>
        <v>channel 1</v>
      </c>
    </row>
    <row r="16">
      <c r="A16" s="141"/>
      <c r="B16" s="61" t="s">
        <v>3642</v>
      </c>
      <c r="C16" s="94" t="s">
        <v>31</v>
      </c>
      <c r="D16" s="61" t="s">
        <v>3643</v>
      </c>
      <c r="E16" s="11" t="str">
        <f>HYPERLINK("https://youtu.be/9usbguFJThI","channel 2")</f>
        <v>channel 2</v>
      </c>
    </row>
    <row r="17">
      <c r="A17" s="141"/>
      <c r="B17" s="61" t="s">
        <v>3644</v>
      </c>
      <c r="C17" s="94" t="s">
        <v>958</v>
      </c>
      <c r="D17" s="61" t="s">
        <v>3378</v>
      </c>
      <c r="E17" s="11" t="str">
        <f>HYPERLINK("https://youtu.be/QXwcbPsyiUo?t=6661","channel 1")</f>
        <v>channel 1</v>
      </c>
    </row>
    <row r="18">
      <c r="A18" s="141"/>
      <c r="B18" s="61" t="s">
        <v>3641</v>
      </c>
      <c r="C18" s="94" t="s">
        <v>248</v>
      </c>
      <c r="D18" s="61" t="s">
        <v>3643</v>
      </c>
      <c r="E18" s="11" t="str">
        <f>HYPERLINK("https://youtu.be/9usbguFJThI","channel 2")</f>
        <v>channel 2</v>
      </c>
    </row>
    <row r="19">
      <c r="A19" s="141"/>
      <c r="B19" s="61" t="s">
        <v>3642</v>
      </c>
      <c r="C19" s="94" t="s">
        <v>292</v>
      </c>
      <c r="D19" s="61" t="s">
        <v>3378</v>
      </c>
      <c r="E19" s="11" t="str">
        <f>HYPERLINK("https://youtu.be/QXwcbPsyiUo?t=7559","channel 1")</f>
        <v>channel 1</v>
      </c>
    </row>
    <row r="20">
      <c r="A20" s="141"/>
      <c r="B20" s="61" t="s">
        <v>3641</v>
      </c>
      <c r="C20" s="94" t="s">
        <v>212</v>
      </c>
      <c r="D20" s="61" t="s">
        <v>3644</v>
      </c>
      <c r="E20" s="11" t="str">
        <f>HYPERLINK("https://youtu.be/9usbguFJThI","channel 2")</f>
        <v>channel 2</v>
      </c>
    </row>
    <row r="21">
      <c r="A21" s="141"/>
      <c r="B21" s="61" t="s">
        <v>3643</v>
      </c>
      <c r="C21" s="54" t="s">
        <v>911</v>
      </c>
      <c r="D21" s="61" t="s">
        <v>3378</v>
      </c>
      <c r="E21" s="11" t="str">
        <f>HYPERLINK("https://youtu.be/QXwcbPsyiUo?t=8472","channel 1")</f>
        <v>channel 1</v>
      </c>
    </row>
    <row r="22">
      <c r="A22" s="141"/>
      <c r="B22" s="61" t="s">
        <v>3642</v>
      </c>
      <c r="C22" s="143" t="s">
        <v>344</v>
      </c>
      <c r="D22" s="61" t="s">
        <v>3644</v>
      </c>
      <c r="E22" s="11" t="str">
        <f>HYPERLINK("https://youtu.be/9usbguFJThI","channel 2")</f>
        <v>channel 2</v>
      </c>
    </row>
    <row r="23">
      <c r="A23" s="141"/>
      <c r="B23" s="96" t="s">
        <v>2207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2642</v>
      </c>
      <c r="C25" s="94" t="s">
        <v>291</v>
      </c>
      <c r="D25" s="61" t="s">
        <v>3645</v>
      </c>
      <c r="E25" s="11" t="str">
        <f>HYPERLINK("https://youtu.be/VYfaohAVhas","channel 1")</f>
        <v>channel 1</v>
      </c>
    </row>
    <row r="26">
      <c r="A26" s="141"/>
      <c r="B26" s="61" t="s">
        <v>3646</v>
      </c>
      <c r="C26" s="94" t="s">
        <v>19</v>
      </c>
      <c r="D26" s="61" t="s">
        <v>3647</v>
      </c>
      <c r="E26" s="11" t="str">
        <f>HYPERLINK("https://youtu.be/9usbguFJThI","channel 2")</f>
        <v>channel 2</v>
      </c>
    </row>
    <row r="27">
      <c r="A27" s="141"/>
      <c r="B27" s="61" t="s">
        <v>3648</v>
      </c>
      <c r="C27" s="94" t="s">
        <v>281</v>
      </c>
      <c r="D27" s="61" t="s">
        <v>2642</v>
      </c>
      <c r="E27" s="11" t="str">
        <f>HYPERLINK("https://youtu.be/VYfaohAVhas?t=900","channel 1")</f>
        <v>channel 1</v>
      </c>
    </row>
    <row r="28">
      <c r="A28" s="141"/>
      <c r="B28" s="61" t="s">
        <v>3646</v>
      </c>
      <c r="C28" s="94" t="s">
        <v>638</v>
      </c>
      <c r="D28" s="61" t="s">
        <v>3645</v>
      </c>
      <c r="E28" s="11" t="str">
        <f>HYPERLINK("https://youtu.be/9usbguFJThI?t=1172","channel 2")</f>
        <v>channel 2</v>
      </c>
    </row>
    <row r="29">
      <c r="A29" s="141"/>
      <c r="B29" s="61" t="s">
        <v>3648</v>
      </c>
      <c r="C29" s="94" t="s">
        <v>18</v>
      </c>
      <c r="D29" s="61" t="s">
        <v>3647</v>
      </c>
      <c r="E29" s="11" t="str">
        <f>HYPERLINK("https://youtu.be/VYfaohAVhas?t=1871","channel 1")</f>
        <v>channel 1</v>
      </c>
    </row>
    <row r="30">
      <c r="A30" s="141"/>
      <c r="B30" s="61" t="s">
        <v>3646</v>
      </c>
      <c r="C30" s="94" t="s">
        <v>41</v>
      </c>
      <c r="D30" s="61" t="s">
        <v>2642</v>
      </c>
      <c r="E30" s="11" t="str">
        <f>HYPERLINK("https://youtu.be/9usbguFJThI?t=2099","channel 2")</f>
        <v>channel 2</v>
      </c>
    </row>
    <row r="31">
      <c r="A31" s="141"/>
      <c r="B31" s="61" t="s">
        <v>3648</v>
      </c>
      <c r="C31" s="94" t="s">
        <v>291</v>
      </c>
      <c r="D31" s="61" t="s">
        <v>3645</v>
      </c>
      <c r="E31" s="11" t="str">
        <f>HYPERLINK("https://youtu.be/VYfaohAVhas?t=3013","channel 1")</f>
        <v>channel 1</v>
      </c>
    </row>
    <row r="32">
      <c r="A32" s="141"/>
      <c r="B32" s="61" t="s">
        <v>3647</v>
      </c>
      <c r="C32" s="94" t="s">
        <v>219</v>
      </c>
      <c r="D32" s="61" t="s">
        <v>2642</v>
      </c>
      <c r="E32" s="11" t="str">
        <f>HYPERLINK("https://youtu.be/9usbguFJThI?t=2996","channel 2")</f>
        <v>channel 2</v>
      </c>
    </row>
    <row r="33">
      <c r="A33" s="141"/>
      <c r="B33" s="61" t="s">
        <v>3648</v>
      </c>
      <c r="C33" s="94" t="s">
        <v>281</v>
      </c>
      <c r="D33" s="61" t="s">
        <v>3646</v>
      </c>
      <c r="E33" s="11" t="str">
        <f>HYPERLINK("https://youtu.be/VYfaohAVhas?t=3806","channel 1")</f>
        <v>channel 1</v>
      </c>
    </row>
    <row r="34">
      <c r="A34" s="141"/>
      <c r="B34" s="61" t="s">
        <v>3647</v>
      </c>
      <c r="C34" s="94" t="s">
        <v>21</v>
      </c>
      <c r="D34" s="61" t="s">
        <v>3645</v>
      </c>
      <c r="E34" s="11" t="str">
        <f>HYPERLINK("https://youtu.be/9usbguFJThI?t=4008","channel 2")</f>
        <v>channel 2</v>
      </c>
    </row>
    <row r="35">
      <c r="A35" s="141"/>
      <c r="B35" s="61" t="s">
        <v>3645</v>
      </c>
      <c r="C35" s="94" t="s">
        <v>248</v>
      </c>
      <c r="D35" s="61" t="s">
        <v>2642</v>
      </c>
      <c r="E35" s="11" t="str">
        <f>HYPERLINK("https://youtu.be/VYfaohAVhas?t=4762","channel 1")</f>
        <v>channel 1</v>
      </c>
    </row>
    <row r="36">
      <c r="A36" s="141"/>
      <c r="B36" s="61" t="s">
        <v>3647</v>
      </c>
      <c r="C36" s="94" t="s">
        <v>24</v>
      </c>
      <c r="D36" s="61" t="s">
        <v>3646</v>
      </c>
      <c r="E36" s="11" t="str">
        <f>HYPERLINK("https://youtu.be/9usbguFJThI?t=5007","channel 2")</f>
        <v>channel 2</v>
      </c>
    </row>
    <row r="37">
      <c r="A37" s="141"/>
      <c r="B37" s="61" t="s">
        <v>2642</v>
      </c>
      <c r="C37" s="94" t="s">
        <v>163</v>
      </c>
      <c r="D37" s="61" t="s">
        <v>3648</v>
      </c>
      <c r="E37" s="11" t="str">
        <f>HYPERLINK("https://youtu.be/VYfaohAVhas?t=5770","channel 1")</f>
        <v>channel 1</v>
      </c>
    </row>
    <row r="38">
      <c r="A38" s="141"/>
      <c r="B38" s="61" t="s">
        <v>3645</v>
      </c>
      <c r="C38" s="94" t="s">
        <v>344</v>
      </c>
      <c r="D38" s="61" t="s">
        <v>3646</v>
      </c>
      <c r="E38" s="11" t="str">
        <f>HYPERLINK("https://youtu.be/9usbguFJThI?t=5979","channel 2")</f>
        <v>channel 2</v>
      </c>
    </row>
    <row r="39">
      <c r="A39" s="141"/>
      <c r="B39" s="61" t="s">
        <v>3647</v>
      </c>
      <c r="C39" s="94" t="s">
        <v>209</v>
      </c>
      <c r="D39" s="61" t="s">
        <v>3648</v>
      </c>
      <c r="E39" s="11" t="str">
        <f>HYPERLINK("https://youtu.be/VYfaohAVhas?t=6712","channel 1")</f>
        <v>channel 1</v>
      </c>
    </row>
    <row r="40">
      <c r="A40" s="141"/>
      <c r="B40" s="61" t="s">
        <v>2642</v>
      </c>
      <c r="C40" s="94" t="s">
        <v>16</v>
      </c>
      <c r="D40" s="61" t="s">
        <v>3646</v>
      </c>
      <c r="E40" s="11" t="str">
        <f>HYPERLINK("https://youtu.be/9usbguFJThI?t=6898","channel 2")</f>
        <v>channel 2</v>
      </c>
    </row>
    <row r="41">
      <c r="A41" s="141"/>
      <c r="B41" s="61" t="s">
        <v>3645</v>
      </c>
      <c r="C41" s="94" t="s">
        <v>211</v>
      </c>
      <c r="D41" s="61" t="s">
        <v>3648</v>
      </c>
      <c r="E41" s="11" t="str">
        <f>HYPERLINK("https://youtu.be/VYfaohAVhas?t=7601","channel 1")</f>
        <v>channel 1</v>
      </c>
    </row>
    <row r="42">
      <c r="A42" s="141"/>
      <c r="B42" s="61" t="s">
        <v>2642</v>
      </c>
      <c r="C42" s="94" t="s">
        <v>18</v>
      </c>
      <c r="D42" s="61" t="s">
        <v>3647</v>
      </c>
      <c r="E42" s="11" t="str">
        <f>HYPERLINK("https://youtu.be/9usbguFJThI?t=7808","channel 2")</f>
        <v>channel 2</v>
      </c>
    </row>
    <row r="43">
      <c r="A43" s="141"/>
      <c r="B43" s="61" t="s">
        <v>3646</v>
      </c>
      <c r="C43" s="94" t="s">
        <v>547</v>
      </c>
      <c r="D43" s="61" t="s">
        <v>3648</v>
      </c>
      <c r="E43" s="11" t="str">
        <f>HYPERLINK("https://youtu.be/VYfaohAVhas?t=8498","channel 1")</f>
        <v>channel 1</v>
      </c>
    </row>
    <row r="44">
      <c r="A44" s="141"/>
      <c r="B44" s="61" t="s">
        <v>3645</v>
      </c>
      <c r="C44" s="94" t="s">
        <v>165</v>
      </c>
      <c r="D44" s="61" t="s">
        <v>3647</v>
      </c>
      <c r="E44" s="11" t="str">
        <f>HYPERLINK("https://youtu.be/9usbguFJThI?t=8714","channel 2")</f>
        <v>channel 2</v>
      </c>
    </row>
    <row r="45">
      <c r="A45" s="141"/>
      <c r="B45" s="96" t="s">
        <v>2646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3649</v>
      </c>
      <c r="C47" s="94" t="s">
        <v>979</v>
      </c>
      <c r="D47" s="61" t="s">
        <v>3185</v>
      </c>
      <c r="E47" s="11" t="str">
        <f>HYPERLINK("https://youtu.be/-T-pmR3JCvc","channel 3")</f>
        <v>channel 3</v>
      </c>
    </row>
    <row r="48">
      <c r="A48" s="141"/>
      <c r="B48" s="61" t="s">
        <v>3650</v>
      </c>
      <c r="C48" s="94" t="s">
        <v>41</v>
      </c>
      <c r="D48" s="61" t="s">
        <v>1654</v>
      </c>
      <c r="E48" s="11" t="str">
        <f>HYPERLINK("https://youtu.be/7cg-fp7D50g","channel 4")</f>
        <v>channel 4</v>
      </c>
    </row>
    <row r="49">
      <c r="A49" s="141"/>
      <c r="B49" s="61" t="s">
        <v>1783</v>
      </c>
      <c r="C49" s="94" t="s">
        <v>271</v>
      </c>
      <c r="D49" s="61" t="s">
        <v>3649</v>
      </c>
      <c r="E49" s="11" t="str">
        <f>HYPERLINK("https://youtu.be/-T-pmR3JCvc?t=1001","channel 3")</f>
        <v>channel 3</v>
      </c>
    </row>
    <row r="50">
      <c r="A50" s="141"/>
      <c r="B50" s="61" t="s">
        <v>3650</v>
      </c>
      <c r="C50" s="94" t="s">
        <v>525</v>
      </c>
      <c r="D50" s="61" t="s">
        <v>3185</v>
      </c>
      <c r="E50" s="11" t="str">
        <f>HYPERLINK("https://youtu.be/7cg-fp7D50g?t=849","channel 4")</f>
        <v>channel 4</v>
      </c>
    </row>
    <row r="51">
      <c r="A51" s="141"/>
      <c r="B51" s="61" t="s">
        <v>1783</v>
      </c>
      <c r="C51" s="94" t="s">
        <v>258</v>
      </c>
      <c r="D51" s="61" t="s">
        <v>1654</v>
      </c>
      <c r="E51" s="11" t="str">
        <f>HYPERLINK("https://youtu.be/-T-pmR3JCvc?t=2021","channel 3")</f>
        <v>channel 3</v>
      </c>
    </row>
    <row r="52">
      <c r="A52" s="141"/>
      <c r="B52" s="61" t="s">
        <v>3650</v>
      </c>
      <c r="C52" s="94" t="s">
        <v>292</v>
      </c>
      <c r="D52" s="61" t="s">
        <v>3649</v>
      </c>
      <c r="E52" s="11" t="str">
        <f>HYPERLINK("https://youtu.be/7cg-fp7D50g?t=1815","channel 4")</f>
        <v>channel 4</v>
      </c>
    </row>
    <row r="53">
      <c r="A53" s="141"/>
      <c r="B53" s="61" t="s">
        <v>1783</v>
      </c>
      <c r="C53" s="94" t="s">
        <v>193</v>
      </c>
      <c r="D53" s="61" t="s">
        <v>3185</v>
      </c>
      <c r="E53" s="11" t="str">
        <f>HYPERLINK("https://youtu.be/-T-pmR3JCvc?t=2903","channel 3")</f>
        <v>channel 3</v>
      </c>
    </row>
    <row r="54">
      <c r="A54" s="141"/>
      <c r="B54" s="61" t="s">
        <v>1654</v>
      </c>
      <c r="C54" s="94" t="s">
        <v>14</v>
      </c>
      <c r="D54" s="61" t="s">
        <v>3649</v>
      </c>
      <c r="E54" s="11" t="str">
        <f>HYPERLINK("https://youtu.be/7cg-fp7D50g?t=2781","channel 4")</f>
        <v>channel 4</v>
      </c>
    </row>
    <row r="55">
      <c r="A55" s="141"/>
      <c r="B55" s="61" t="s">
        <v>1783</v>
      </c>
      <c r="C55" s="94" t="s">
        <v>17</v>
      </c>
      <c r="D55" s="61" t="s">
        <v>3650</v>
      </c>
      <c r="E55" s="11" t="str">
        <f>HYPERLINK("https://youtu.be/-T-pmR3JCvc?t=3810","channel 3")</f>
        <v>channel 3</v>
      </c>
    </row>
    <row r="56">
      <c r="A56" s="141"/>
      <c r="B56" s="61" t="s">
        <v>1654</v>
      </c>
      <c r="C56" s="94" t="s">
        <v>36</v>
      </c>
      <c r="D56" s="61" t="s">
        <v>3185</v>
      </c>
      <c r="E56" s="11" t="str">
        <f>HYPERLINK("https://youtu.be/7cg-fp7D50g?t=3669","channel 4")</f>
        <v>channel 4</v>
      </c>
    </row>
    <row r="57">
      <c r="A57" s="141"/>
      <c r="B57" s="61" t="s">
        <v>3185</v>
      </c>
      <c r="C57" s="94" t="s">
        <v>177</v>
      </c>
      <c r="D57" s="61" t="s">
        <v>3649</v>
      </c>
      <c r="E57" s="11" t="str">
        <f>HYPERLINK("https://youtu.be/-T-pmR3JCvc?t=4745","channel 3")</f>
        <v>channel 3</v>
      </c>
    </row>
    <row r="58">
      <c r="A58" s="141"/>
      <c r="B58" s="61" t="s">
        <v>1654</v>
      </c>
      <c r="C58" s="94" t="s">
        <v>433</v>
      </c>
      <c r="D58" s="61" t="s">
        <v>3650</v>
      </c>
      <c r="E58" s="11" t="str">
        <f>HYPERLINK("https://youtu.be/7cg-fp7D50g?t=4582","channel 4")</f>
        <v>channel 4</v>
      </c>
    </row>
    <row r="59">
      <c r="A59" s="141"/>
      <c r="B59" s="61" t="s">
        <v>3649</v>
      </c>
      <c r="C59" s="94" t="s">
        <v>168</v>
      </c>
      <c r="D59" s="61" t="s">
        <v>1783</v>
      </c>
      <c r="E59" s="11" t="str">
        <f>HYPERLINK("https://youtu.be/-T-pmR3JCvc?t=5638","channel 3")</f>
        <v>channel 3</v>
      </c>
    </row>
    <row r="60">
      <c r="A60" s="141"/>
      <c r="B60" s="61" t="s">
        <v>3185</v>
      </c>
      <c r="C60" s="94" t="s">
        <v>3651</v>
      </c>
      <c r="D60" s="61" t="s">
        <v>3650</v>
      </c>
      <c r="E60" s="11" t="str">
        <f>HYPERLINK("https://youtu.be/7cg-fp7D50g?t=5509","channel 4")</f>
        <v>channel 4</v>
      </c>
    </row>
    <row r="61">
      <c r="A61" s="141"/>
      <c r="B61" s="61" t="s">
        <v>1654</v>
      </c>
      <c r="C61" s="94" t="s">
        <v>186</v>
      </c>
      <c r="D61" s="61" t="s">
        <v>1783</v>
      </c>
      <c r="E61" s="11" t="str">
        <f>HYPERLINK("https://youtu.be/-T-pmR3JCvc?t=6619","channel 3")</f>
        <v>channel 3</v>
      </c>
    </row>
    <row r="62">
      <c r="A62" s="141"/>
      <c r="B62" s="61" t="s">
        <v>3649</v>
      </c>
      <c r="C62" s="94" t="s">
        <v>1947</v>
      </c>
      <c r="D62" s="61" t="s">
        <v>3650</v>
      </c>
      <c r="E62" s="11" t="str">
        <f>HYPERLINK("https://youtu.be/7cg-fp7D50g?t=6446","channel 4")</f>
        <v>channel 4</v>
      </c>
    </row>
    <row r="63">
      <c r="A63" s="141"/>
      <c r="B63" s="61" t="s">
        <v>3185</v>
      </c>
      <c r="C63" s="94" t="s">
        <v>303</v>
      </c>
      <c r="D63" s="61" t="s">
        <v>1783</v>
      </c>
      <c r="E63" s="11" t="str">
        <f>HYPERLINK("https://youtu.be/-T-pmR3JCvc?t=7574","channel 3")</f>
        <v>channel 3</v>
      </c>
    </row>
    <row r="64">
      <c r="A64" s="141"/>
      <c r="B64" s="61" t="s">
        <v>3649</v>
      </c>
      <c r="C64" s="94" t="s">
        <v>233</v>
      </c>
      <c r="D64" s="61" t="s">
        <v>1654</v>
      </c>
      <c r="E64" s="11" t="str">
        <f>HYPERLINK("https://youtu.be/7cg-fp7D50g?t=7445","channel 4")</f>
        <v>channel 4</v>
      </c>
    </row>
    <row r="65">
      <c r="A65" s="141"/>
      <c r="B65" s="61" t="s">
        <v>3650</v>
      </c>
      <c r="C65" s="94" t="s">
        <v>219</v>
      </c>
      <c r="D65" s="61" t="s">
        <v>1783</v>
      </c>
      <c r="E65" s="11" t="str">
        <f>HYPERLINK("https://youtu.be/-T-pmR3JCvc?t=8462","channel 3")</f>
        <v>channel 3</v>
      </c>
    </row>
    <row r="66">
      <c r="A66" s="141"/>
      <c r="B66" s="61" t="s">
        <v>3185</v>
      </c>
      <c r="C66" s="94" t="s">
        <v>208</v>
      </c>
      <c r="D66" s="61" t="s">
        <v>1654</v>
      </c>
      <c r="E66" s="11" t="str">
        <f>HYPERLINK("https://youtu.be/7cg-fp7D50g?t=8375","channel 4")</f>
        <v>channel 4</v>
      </c>
    </row>
    <row r="67">
      <c r="A67" s="141"/>
      <c r="B67" s="96" t="s">
        <v>2698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3652</v>
      </c>
      <c r="C69" s="94" t="s">
        <v>193</v>
      </c>
      <c r="D69" s="61" t="s">
        <v>3065</v>
      </c>
      <c r="E69" s="11" t="str">
        <f>HYPERLINK("https://youtu.be/CU1G2tCh5w8","channel 3")</f>
        <v>channel 3</v>
      </c>
    </row>
    <row r="70">
      <c r="A70" s="141"/>
      <c r="B70" s="61" t="s">
        <v>3653</v>
      </c>
      <c r="C70" s="94" t="s">
        <v>173</v>
      </c>
      <c r="D70" s="61" t="s">
        <v>1993</v>
      </c>
      <c r="E70" s="11" t="str">
        <f>HYPERLINK("https://youtu.be/8tsaEDDDimM","channel 4")</f>
        <v>channel 4</v>
      </c>
    </row>
    <row r="71">
      <c r="A71" s="141"/>
      <c r="B71" s="61" t="s">
        <v>3654</v>
      </c>
      <c r="C71" s="94" t="s">
        <v>258</v>
      </c>
      <c r="D71" s="61" t="s">
        <v>3652</v>
      </c>
      <c r="E71" s="11" t="str">
        <f>HYPERLINK("https://youtu.be/CU1G2tCh5w8?t=1060","channel 3")</f>
        <v>channel 3</v>
      </c>
    </row>
    <row r="72">
      <c r="A72" s="141"/>
      <c r="B72" s="61" t="s">
        <v>3653</v>
      </c>
      <c r="C72" s="94" t="s">
        <v>196</v>
      </c>
      <c r="D72" s="61" t="s">
        <v>3065</v>
      </c>
      <c r="E72" s="11" t="str">
        <f>HYPERLINK("https://youtu.be/8tsaEDDDimM?t=985","channel 4")</f>
        <v>channel 4</v>
      </c>
    </row>
    <row r="73">
      <c r="A73" s="141"/>
      <c r="B73" s="61" t="s">
        <v>3654</v>
      </c>
      <c r="C73" s="94" t="s">
        <v>301</v>
      </c>
      <c r="D73" s="61" t="s">
        <v>1993</v>
      </c>
      <c r="E73" s="11" t="str">
        <f>HYPERLINK("https://youtu.be/CU1G2tCh5w8?t=2011","channel 3")</f>
        <v>channel 3</v>
      </c>
    </row>
    <row r="74">
      <c r="A74" s="141"/>
      <c r="B74" s="61" t="s">
        <v>3653</v>
      </c>
      <c r="C74" s="94" t="s">
        <v>18</v>
      </c>
      <c r="D74" s="61" t="s">
        <v>3652</v>
      </c>
      <c r="E74" s="11" t="str">
        <f>HYPERLINK("https://youtu.be/8tsaEDDDimM?t=1943","channel 4")</f>
        <v>channel 4</v>
      </c>
    </row>
    <row r="75">
      <c r="A75" s="141"/>
      <c r="B75" s="61" t="s">
        <v>3654</v>
      </c>
      <c r="C75" s="94" t="s">
        <v>17</v>
      </c>
      <c r="D75" s="61" t="s">
        <v>3065</v>
      </c>
      <c r="E75" s="11" t="str">
        <f>HYPERLINK("https://youtu.be/CU1G2tCh5w8?t=2948","channel 3")</f>
        <v>channel 3</v>
      </c>
    </row>
    <row r="76">
      <c r="A76" s="141"/>
      <c r="B76" s="61" t="s">
        <v>1993</v>
      </c>
      <c r="C76" s="94" t="s">
        <v>155</v>
      </c>
      <c r="D76" s="61" t="s">
        <v>3652</v>
      </c>
      <c r="E76" s="11" t="str">
        <f>HYPERLINK("https://youtu.be/8tsaEDDDimM?t=2871","channel 4")</f>
        <v>channel 4</v>
      </c>
    </row>
    <row r="77">
      <c r="A77" s="141"/>
      <c r="B77" s="61" t="s">
        <v>3654</v>
      </c>
      <c r="C77" s="94" t="s">
        <v>173</v>
      </c>
      <c r="D77" s="61" t="s">
        <v>3653</v>
      </c>
      <c r="E77" s="11" t="str">
        <f>HYPERLINK("https://youtu.be/CU1G2tCh5w8?t=3843","channel 3")</f>
        <v>channel 3</v>
      </c>
    </row>
    <row r="78">
      <c r="A78" s="141"/>
      <c r="B78" s="61" t="s">
        <v>1993</v>
      </c>
      <c r="C78" s="94" t="s">
        <v>219</v>
      </c>
      <c r="D78" s="61" t="s">
        <v>3065</v>
      </c>
      <c r="E78" s="11" t="str">
        <f>HYPERLINK("https://youtu.be/8tsaEDDDimM?t=3832","channel 4")</f>
        <v>channel 4</v>
      </c>
    </row>
    <row r="79">
      <c r="A79" s="141"/>
      <c r="B79" s="61" t="s">
        <v>3065</v>
      </c>
      <c r="C79" s="94" t="s">
        <v>425</v>
      </c>
      <c r="D79" s="61" t="s">
        <v>3652</v>
      </c>
      <c r="E79" s="11" t="str">
        <f>HYPERLINK("https://youtu.be/CU1G2tCh5w8?t=4790","channel 3")</f>
        <v>channel 3</v>
      </c>
    </row>
    <row r="80">
      <c r="A80" s="141"/>
      <c r="B80" s="61" t="s">
        <v>1993</v>
      </c>
      <c r="C80" s="94" t="s">
        <v>336</v>
      </c>
      <c r="D80" s="61" t="s">
        <v>3653</v>
      </c>
      <c r="E80" s="11" t="str">
        <f>HYPERLINK("https://youtu.be/8tsaEDDDimM?t=4651","channel 4")</f>
        <v>channel 4</v>
      </c>
    </row>
    <row r="81">
      <c r="A81" s="141"/>
      <c r="B81" s="61" t="s">
        <v>3652</v>
      </c>
      <c r="C81" s="94" t="s">
        <v>229</v>
      </c>
      <c r="D81" s="61" t="s">
        <v>3654</v>
      </c>
      <c r="E81" s="11" t="str">
        <f>HYPERLINK("https://youtu.be/CU1G2tCh5w8?t=5719","channel 3")</f>
        <v>channel 3</v>
      </c>
    </row>
    <row r="82">
      <c r="A82" s="141"/>
      <c r="B82" s="61" t="s">
        <v>3065</v>
      </c>
      <c r="C82" s="94" t="s">
        <v>38</v>
      </c>
      <c r="D82" s="61" t="s">
        <v>3653</v>
      </c>
      <c r="E82" s="11" t="str">
        <f>HYPERLINK("https://youtu.be/8tsaEDDDimM?t=5556","channel 4")</f>
        <v>channel 4</v>
      </c>
    </row>
    <row r="83">
      <c r="A83" s="141"/>
      <c r="B83" s="61" t="s">
        <v>1993</v>
      </c>
      <c r="C83" s="94" t="s">
        <v>182</v>
      </c>
      <c r="D83" s="61" t="s">
        <v>3654</v>
      </c>
      <c r="E83" s="11" t="str">
        <f>HYPERLINK("https://youtu.be/CU1G2tCh5w8?t=6692","channel 3")</f>
        <v>channel 3</v>
      </c>
    </row>
    <row r="84">
      <c r="A84" s="141"/>
      <c r="B84" s="61" t="s">
        <v>3652</v>
      </c>
      <c r="C84" s="94" t="s">
        <v>292</v>
      </c>
      <c r="D84" s="61" t="s">
        <v>3653</v>
      </c>
      <c r="E84" s="11" t="str">
        <f>HYPERLINK("https://youtu.be/8tsaEDDDimM?t=6441","channel 4")</f>
        <v>channel 4</v>
      </c>
    </row>
    <row r="85">
      <c r="A85" s="141"/>
      <c r="B85" s="61" t="s">
        <v>3065</v>
      </c>
      <c r="C85" s="94" t="s">
        <v>220</v>
      </c>
      <c r="D85" s="61" t="s">
        <v>3654</v>
      </c>
      <c r="E85" s="11" t="str">
        <f>HYPERLINK("https://youtu.be/CU1G2tCh5w8?t=7551","channel 3")</f>
        <v>channel 3</v>
      </c>
    </row>
    <row r="86">
      <c r="A86" s="141"/>
      <c r="B86" s="61" t="s">
        <v>3652</v>
      </c>
      <c r="C86" s="94" t="s">
        <v>210</v>
      </c>
      <c r="D86" s="61" t="s">
        <v>1993</v>
      </c>
      <c r="E86" s="11" t="str">
        <f>HYPERLINK("https://youtu.be/8tsaEDDDimM?t=7392","channel 4")</f>
        <v>channel 4</v>
      </c>
    </row>
    <row r="87">
      <c r="A87" s="141"/>
      <c r="B87" s="61" t="s">
        <v>3653</v>
      </c>
      <c r="C87" s="94" t="s">
        <v>610</v>
      </c>
      <c r="D87" s="61" t="s">
        <v>3654</v>
      </c>
      <c r="E87" s="11" t="str">
        <f>HYPERLINK("https://youtu.be/CU1G2tCh5w8?t=8439","channel 3")</f>
        <v>channel 3</v>
      </c>
    </row>
    <row r="88">
      <c r="A88" s="141"/>
      <c r="B88" s="61" t="s">
        <v>3065</v>
      </c>
      <c r="C88" s="94" t="s">
        <v>3655</v>
      </c>
      <c r="D88" s="61" t="s">
        <v>1993</v>
      </c>
      <c r="E88" s="11" t="str">
        <f>HYPERLINK("https://youtu.be/8tsaEDDDimM?t=8345","channel 4")</f>
        <v>channel 4</v>
      </c>
    </row>
    <row r="89">
      <c r="A89" s="141"/>
      <c r="B89" s="96" t="s">
        <v>2417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142" t="s">
        <v>3656</v>
      </c>
      <c r="C91" s="57" t="s">
        <v>281</v>
      </c>
      <c r="D91" s="61" t="s">
        <v>3657</v>
      </c>
      <c r="E91" s="11" t="str">
        <f>HYPERLINK("https://youtu.be/8kv8IiYm8EY","channel 1")</f>
        <v>channel 1</v>
      </c>
    </row>
    <row r="92">
      <c r="A92" s="141"/>
      <c r="B92" s="61" t="s">
        <v>3658</v>
      </c>
      <c r="C92" s="57" t="s">
        <v>173</v>
      </c>
      <c r="D92" s="61" t="s">
        <v>3659</v>
      </c>
      <c r="E92" s="11" t="str">
        <f>HYPERLINK("https://youtu.be/TmqrkTWxnLI","channel 2")</f>
        <v>channel 2</v>
      </c>
    </row>
    <row r="93">
      <c r="A93" s="141"/>
      <c r="B93" s="61" t="s">
        <v>3660</v>
      </c>
      <c r="C93" s="57" t="s">
        <v>433</v>
      </c>
      <c r="D93" s="61" t="s">
        <v>3656</v>
      </c>
      <c r="E93" s="11" t="str">
        <f>HYPERLINK("https://youtu.be/8kv8IiYm8EY?t=1120","channel 1")</f>
        <v>channel 1</v>
      </c>
    </row>
    <row r="94">
      <c r="A94" s="141"/>
      <c r="B94" s="61" t="s">
        <v>3658</v>
      </c>
      <c r="C94" s="57" t="s">
        <v>203</v>
      </c>
      <c r="D94" s="61" t="s">
        <v>3657</v>
      </c>
      <c r="E94" s="11" t="str">
        <f>HYPERLINK("https://youtu.be/TmqrkTWxnLI?t=1023","channel 2")</f>
        <v>channel 2</v>
      </c>
    </row>
    <row r="95">
      <c r="A95" s="141"/>
      <c r="B95" s="61" t="s">
        <v>3660</v>
      </c>
      <c r="C95" s="57" t="s">
        <v>545</v>
      </c>
      <c r="D95" s="61" t="s">
        <v>3659</v>
      </c>
      <c r="E95" s="11" t="str">
        <f>HYPERLINK("https://youtu.be/8kv8IiYm8EY?t=1979","channel 1")</f>
        <v>channel 1</v>
      </c>
    </row>
    <row r="96">
      <c r="A96" s="141"/>
      <c r="B96" s="61" t="s">
        <v>3658</v>
      </c>
      <c r="C96" s="57" t="s">
        <v>7</v>
      </c>
      <c r="D96" s="61" t="s">
        <v>3656</v>
      </c>
      <c r="E96" s="11" t="str">
        <f>HYPERLINK("https://youtu.be/TmqrkTWxnLI?t=1894","channel 2")</f>
        <v>channel 2</v>
      </c>
    </row>
    <row r="97">
      <c r="A97" s="141"/>
      <c r="B97" s="61" t="s">
        <v>3660</v>
      </c>
      <c r="C97" s="57" t="s">
        <v>23</v>
      </c>
      <c r="D97" s="61" t="s">
        <v>3657</v>
      </c>
      <c r="E97" s="11" t="str">
        <f>HYPERLINK("https://youtu.be/8kv8IiYm8EY?t=2887","channel 1")</f>
        <v>channel 1</v>
      </c>
    </row>
    <row r="98">
      <c r="A98" s="141"/>
      <c r="B98" s="61" t="s">
        <v>3659</v>
      </c>
      <c r="C98" s="57" t="s">
        <v>44</v>
      </c>
      <c r="D98" s="61" t="s">
        <v>3656</v>
      </c>
      <c r="E98" s="11" t="str">
        <f>HYPERLINK("https://youtu.be/TmqrkTWxnLI?t=2801","channel 2")</f>
        <v>channel 2</v>
      </c>
    </row>
    <row r="99">
      <c r="A99" s="141"/>
      <c r="B99" s="61" t="s">
        <v>3660</v>
      </c>
      <c r="C99" s="57" t="s">
        <v>225</v>
      </c>
      <c r="D99" s="61" t="s">
        <v>3658</v>
      </c>
      <c r="E99" s="11" t="str">
        <f>HYPERLINK("https://youtu.be/8kv8IiYm8EY?t=3792","channel 1")</f>
        <v>channel 1</v>
      </c>
    </row>
    <row r="100">
      <c r="A100" s="141"/>
      <c r="B100" s="61" t="s">
        <v>3659</v>
      </c>
      <c r="C100" s="57" t="s">
        <v>688</v>
      </c>
      <c r="D100" s="61" t="s">
        <v>3657</v>
      </c>
      <c r="E100" s="11" t="str">
        <f>HYPERLINK("https://youtu.be/TmqrkTWxnLI?t=3728","channel 2")</f>
        <v>channel 2</v>
      </c>
    </row>
    <row r="101">
      <c r="A101" s="141"/>
      <c r="B101" s="61" t="s">
        <v>3657</v>
      </c>
      <c r="C101" s="57" t="s">
        <v>250</v>
      </c>
      <c r="D101" s="61" t="s">
        <v>3656</v>
      </c>
      <c r="E101" s="11" t="str">
        <f>HYPERLINK("https://youtu.be/8kv8IiYm8EY?t=4934","channel 1")</f>
        <v>channel 1</v>
      </c>
    </row>
    <row r="102">
      <c r="A102" s="141"/>
      <c r="B102" s="61" t="s">
        <v>3659</v>
      </c>
      <c r="C102" s="57" t="s">
        <v>157</v>
      </c>
      <c r="D102" s="61" t="s">
        <v>3658</v>
      </c>
      <c r="E102" s="11" t="str">
        <f>HYPERLINK("https://youtu.be/TmqrkTWxnLI?t=4862","channel 2")</f>
        <v>channel 2</v>
      </c>
    </row>
    <row r="103">
      <c r="A103" s="141"/>
      <c r="B103" s="61" t="s">
        <v>3656</v>
      </c>
      <c r="C103" s="57" t="s">
        <v>208</v>
      </c>
      <c r="D103" s="61" t="s">
        <v>3660</v>
      </c>
      <c r="E103" s="11" t="str">
        <f>HYPERLINK("https://youtu.be/8kv8IiYm8EY?t=5947","channel 1")</f>
        <v>channel 1</v>
      </c>
    </row>
    <row r="104">
      <c r="A104" s="141"/>
      <c r="B104" s="61" t="s">
        <v>3657</v>
      </c>
      <c r="C104" s="57" t="s">
        <v>534</v>
      </c>
      <c r="D104" s="61" t="s">
        <v>3658</v>
      </c>
      <c r="E104" s="11" t="str">
        <f>HYPERLINK("https://youtu.be/TmqrkTWxnLI?t=5825","channel 2")</f>
        <v>channel 2</v>
      </c>
    </row>
    <row r="105">
      <c r="A105" s="141"/>
      <c r="B105" s="61" t="s">
        <v>3659</v>
      </c>
      <c r="C105" s="57" t="s">
        <v>36</v>
      </c>
      <c r="D105" s="61" t="s">
        <v>3660</v>
      </c>
      <c r="E105" s="11" t="str">
        <f>HYPERLINK("https://youtu.be/8kv8IiYm8EY?t=6839","channel 1")</f>
        <v>channel 1</v>
      </c>
    </row>
    <row r="106">
      <c r="A106" s="141"/>
      <c r="B106" s="61" t="s">
        <v>3656</v>
      </c>
      <c r="C106" s="57" t="s">
        <v>576</v>
      </c>
      <c r="D106" s="61" t="s">
        <v>3658</v>
      </c>
      <c r="E106" s="11" t="str">
        <f>HYPERLINK("https://youtu.be/TmqrkTWxnLI?t=6709","channel 2")</f>
        <v>channel 2</v>
      </c>
    </row>
    <row r="107">
      <c r="A107" s="141"/>
      <c r="B107" s="61" t="s">
        <v>3657</v>
      </c>
      <c r="C107" s="57" t="s">
        <v>219</v>
      </c>
      <c r="D107" s="61" t="s">
        <v>3660</v>
      </c>
      <c r="E107" s="11" t="str">
        <f>HYPERLINK("https://youtu.be/8kv8IiYm8EY?t=7707","channel 1")</f>
        <v>channel 1</v>
      </c>
    </row>
    <row r="108">
      <c r="A108" s="141"/>
      <c r="B108" s="61" t="s">
        <v>3656</v>
      </c>
      <c r="C108" s="57" t="s">
        <v>1189</v>
      </c>
      <c r="D108" s="61" t="s">
        <v>3659</v>
      </c>
      <c r="E108" s="11" t="str">
        <f>HYPERLINK("https://youtu.be/TmqrkTWxnLI?t=7596","channel 2")</f>
        <v>channel 2</v>
      </c>
    </row>
    <row r="109">
      <c r="A109" s="141"/>
      <c r="B109" s="61" t="s">
        <v>3658</v>
      </c>
      <c r="C109" s="57" t="s">
        <v>264</v>
      </c>
      <c r="D109" s="61" t="s">
        <v>3660</v>
      </c>
      <c r="E109" s="11" t="str">
        <f>HYPERLINK("https://youtu.be/8kv8IiYm8EY?t=8608","channel 1")</f>
        <v>channel 1</v>
      </c>
    </row>
    <row r="110">
      <c r="A110" s="141"/>
      <c r="B110" s="61" t="s">
        <v>3657</v>
      </c>
      <c r="C110" s="57" t="s">
        <v>163</v>
      </c>
      <c r="D110" s="61" t="s">
        <v>3659</v>
      </c>
      <c r="E110" s="11" t="str">
        <f>HYPERLINK("https://youtu.be/TmqrkTWxnLI?t=8484","channel 2")</f>
        <v>channel 2</v>
      </c>
    </row>
    <row r="111">
      <c r="A111" s="141"/>
      <c r="B111" s="96" t="s">
        <v>1560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3661</v>
      </c>
      <c r="C113" s="94" t="s">
        <v>549</v>
      </c>
      <c r="D113" s="61" t="s">
        <v>1632</v>
      </c>
      <c r="E113" s="11" t="str">
        <f>HYPERLINK("https://youtu.be/JduXUYW9zK4","channel 1")</f>
        <v>channel 1</v>
      </c>
    </row>
    <row r="114">
      <c r="A114" s="141"/>
      <c r="B114" s="61" t="s">
        <v>3447</v>
      </c>
      <c r="C114" s="94" t="s">
        <v>2875</v>
      </c>
      <c r="D114" s="61" t="s">
        <v>3662</v>
      </c>
      <c r="E114" s="11" t="str">
        <f>HYPERLINK("https://youtu.be/N3cXWSmERoQ","channel 2")</f>
        <v>channel 2</v>
      </c>
    </row>
    <row r="115">
      <c r="A115" s="141"/>
      <c r="B115" s="61" t="s">
        <v>3446</v>
      </c>
      <c r="C115" s="94" t="s">
        <v>193</v>
      </c>
      <c r="D115" s="61" t="s">
        <v>3661</v>
      </c>
      <c r="E115" s="11" t="str">
        <f>HYPERLINK("https://youtu.be/JduXUYW9zK4?t=1145","channel 1")</f>
        <v>channel 1</v>
      </c>
    </row>
    <row r="116">
      <c r="A116" s="141"/>
      <c r="B116" s="61" t="s">
        <v>3447</v>
      </c>
      <c r="C116" s="94" t="s">
        <v>157</v>
      </c>
      <c r="D116" s="61" t="s">
        <v>1632</v>
      </c>
      <c r="E116" s="11" t="str">
        <f>HYPERLINK("https://youtu.be/N3cXWSmERoQ?t=1030","channel 2")</f>
        <v>channel 2</v>
      </c>
    </row>
    <row r="117">
      <c r="A117" s="141"/>
      <c r="B117" s="61" t="s">
        <v>3446</v>
      </c>
      <c r="C117" s="94" t="s">
        <v>19</v>
      </c>
      <c r="D117" s="61" t="s">
        <v>3662</v>
      </c>
      <c r="E117" s="11" t="str">
        <f>HYPERLINK("https://youtu.be/JduXUYW9zK4?t=2147","channel 1")</f>
        <v>channel 1</v>
      </c>
    </row>
    <row r="118">
      <c r="A118" s="141"/>
      <c r="B118" s="61" t="s">
        <v>3447</v>
      </c>
      <c r="C118" s="94" t="s">
        <v>383</v>
      </c>
      <c r="D118" s="61" t="s">
        <v>3661</v>
      </c>
      <c r="E118" s="11" t="str">
        <f>HYPERLINK("https://youtu.be/N3cXWSmERoQ?t=1973]","channel 2")</f>
        <v>channel 2</v>
      </c>
    </row>
    <row r="119">
      <c r="A119" s="141"/>
      <c r="B119" s="61" t="s">
        <v>3446</v>
      </c>
      <c r="C119" s="94" t="s">
        <v>327</v>
      </c>
      <c r="D119" s="61" t="s">
        <v>1632</v>
      </c>
      <c r="E119" s="11" t="str">
        <f>HYPERLINK("https://youtu.be/JduXUYW9zK4?t=3137","channel 1")</f>
        <v>channel 1</v>
      </c>
    </row>
    <row r="120">
      <c r="A120" s="141"/>
      <c r="B120" s="61" t="s">
        <v>3662</v>
      </c>
      <c r="C120" s="94" t="s">
        <v>2427</v>
      </c>
      <c r="D120" s="61" t="s">
        <v>3661</v>
      </c>
      <c r="E120" s="11" t="str">
        <f>HYPERLINK("https://youtu.be/N3cXWSmERoQ?t=2948","channel 2")</f>
        <v>channel 2</v>
      </c>
    </row>
    <row r="121">
      <c r="A121" s="141"/>
      <c r="B121" s="61" t="s">
        <v>3446</v>
      </c>
      <c r="C121" s="94" t="s">
        <v>195</v>
      </c>
      <c r="D121" s="61" t="s">
        <v>3447</v>
      </c>
      <c r="E121" s="11" t="str">
        <f>HYPERLINK("https://youtu.be/JduXUYW9zK4?t=4091","channel 1")</f>
        <v>channel 1</v>
      </c>
    </row>
    <row r="122">
      <c r="A122" s="141"/>
      <c r="B122" s="61" t="s">
        <v>3662</v>
      </c>
      <c r="C122" s="94" t="s">
        <v>454</v>
      </c>
      <c r="D122" s="61" t="s">
        <v>1632</v>
      </c>
      <c r="E122" s="11" t="str">
        <f>HYPERLINK("https://youtu.be/N3cXWSmERoQ?t=3947","channel 2")</f>
        <v>channel 2</v>
      </c>
    </row>
    <row r="123">
      <c r="A123" s="141"/>
      <c r="B123" s="61" t="s">
        <v>1632</v>
      </c>
      <c r="C123" s="94" t="s">
        <v>19</v>
      </c>
      <c r="D123" s="61" t="s">
        <v>3661</v>
      </c>
      <c r="E123" s="11" t="str">
        <f>HYPERLINK("https://youtu.be/JduXUYW9zK4?t=5035","channel 1")</f>
        <v>channel 1</v>
      </c>
    </row>
    <row r="124">
      <c r="A124" s="141"/>
      <c r="B124" s="61" t="s">
        <v>3662</v>
      </c>
      <c r="C124" s="94" t="s">
        <v>193</v>
      </c>
      <c r="D124" s="61" t="s">
        <v>3447</v>
      </c>
      <c r="E124" s="11" t="str">
        <f>HYPERLINK("https://youtu.be/N3cXWSmERoQ?t=4835","channel 2")</f>
        <v>channel 2</v>
      </c>
    </row>
    <row r="125">
      <c r="A125" s="141"/>
      <c r="B125" s="61" t="s">
        <v>3661</v>
      </c>
      <c r="C125" s="94" t="s">
        <v>3663</v>
      </c>
      <c r="D125" s="61" t="s">
        <v>3446</v>
      </c>
      <c r="E125" s="11" t="str">
        <f>HYPERLINK("https://youtu.be/JduXUYW9zK4?t=5975","channel 1")</f>
        <v>channel 1</v>
      </c>
    </row>
    <row r="126">
      <c r="A126" s="141"/>
      <c r="B126" s="61" t="s">
        <v>1632</v>
      </c>
      <c r="C126" s="94" t="s">
        <v>173</v>
      </c>
      <c r="D126" s="61" t="s">
        <v>3447</v>
      </c>
      <c r="E126" s="11" t="str">
        <f>HYPERLINK("https://youtu.be/N3cXWSmERoQ?t=5806","channel 2")</f>
        <v>channel 2</v>
      </c>
    </row>
    <row r="127">
      <c r="A127" s="141"/>
      <c r="B127" s="61" t="s">
        <v>3662</v>
      </c>
      <c r="C127" s="94" t="s">
        <v>357</v>
      </c>
      <c r="D127" s="61" t="s">
        <v>3446</v>
      </c>
      <c r="E127" s="11" t="str">
        <f>HYPERLINK("https://youtu.be/JduXUYW9zK4?t=6974","channel 1")</f>
        <v>channel 1</v>
      </c>
    </row>
    <row r="128">
      <c r="A128" s="141"/>
      <c r="B128" s="61" t="s">
        <v>3661</v>
      </c>
      <c r="C128" s="94" t="s">
        <v>183</v>
      </c>
      <c r="D128" s="61" t="s">
        <v>3447</v>
      </c>
      <c r="E128" s="11" t="str">
        <f>HYPERLINK("https://youtu.be/N3cXWSmERoQ?t=6782","channel 2")</f>
        <v>channel 2</v>
      </c>
    </row>
    <row r="129">
      <c r="A129" s="141"/>
      <c r="B129" s="61" t="s">
        <v>1632</v>
      </c>
      <c r="C129" s="94" t="s">
        <v>302</v>
      </c>
      <c r="D129" s="61" t="s">
        <v>3446</v>
      </c>
      <c r="E129" s="11" t="str">
        <f>HYPERLINK("https://youtu.be/JduXUYW9zK4?t=7862","channel 1")</f>
        <v>channel 1</v>
      </c>
    </row>
    <row r="130">
      <c r="A130" s="141"/>
      <c r="B130" s="61" t="s">
        <v>3661</v>
      </c>
      <c r="C130" s="94" t="s">
        <v>439</v>
      </c>
      <c r="D130" s="61" t="s">
        <v>3662</v>
      </c>
      <c r="E130" s="11" t="str">
        <f>HYPERLINK("https://youtu.be/N3cXWSmERoQ?t=7663","channel 2")</f>
        <v>channel 2</v>
      </c>
    </row>
    <row r="131">
      <c r="A131" s="141"/>
      <c r="B131" s="61" t="s">
        <v>3447</v>
      </c>
      <c r="C131" s="94" t="s">
        <v>315</v>
      </c>
      <c r="D131" s="61" t="s">
        <v>3446</v>
      </c>
      <c r="E131" s="11" t="str">
        <f>HYPERLINK("https://youtu.be/JduXUYW9zK4?t=8724","channel 1")</f>
        <v>channel 1</v>
      </c>
    </row>
    <row r="132">
      <c r="A132" s="145"/>
      <c r="B132" s="61" t="s">
        <v>1632</v>
      </c>
      <c r="C132" s="94" t="s">
        <v>16</v>
      </c>
      <c r="D132" s="61" t="s">
        <v>3662</v>
      </c>
      <c r="E132" s="11" t="str">
        <f>HYPERLINK("https://youtu.be/N3cXWSmERoQ?t=8584","channel 2")</f>
        <v>channel 2</v>
      </c>
    </row>
    <row r="133">
      <c r="B133" s="96" t="s">
        <v>2748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3664</v>
      </c>
      <c r="C135" s="94" t="s">
        <v>250</v>
      </c>
      <c r="D135" s="61" t="s">
        <v>3665</v>
      </c>
      <c r="E135" s="11" t="str">
        <f>HYPERLINK("https://youtu.be/wP0OKjLfrvM","channel 3")</f>
        <v>channel 3</v>
      </c>
    </row>
    <row r="136">
      <c r="B136" s="62" t="s">
        <v>3666</v>
      </c>
      <c r="C136" s="94" t="s">
        <v>248</v>
      </c>
      <c r="D136" s="62" t="s">
        <v>1600</v>
      </c>
      <c r="E136" s="11" t="str">
        <f>HYPERLINK("https://youtu.be/X9mQfGxWOaA","channel 4")</f>
        <v>channel 4</v>
      </c>
    </row>
    <row r="137">
      <c r="B137" s="62" t="s">
        <v>2521</v>
      </c>
      <c r="C137" s="94" t="s">
        <v>248</v>
      </c>
      <c r="D137" s="62" t="s">
        <v>3664</v>
      </c>
      <c r="E137" s="11" t="str">
        <f>HYPERLINK("https://youtu.be/wP0OKjLfrvM?t=958","channel 3")</f>
        <v>channel 3</v>
      </c>
    </row>
    <row r="138">
      <c r="B138" s="62" t="s">
        <v>3666</v>
      </c>
      <c r="C138" s="94" t="s">
        <v>351</v>
      </c>
      <c r="D138" s="61" t="s">
        <v>3665</v>
      </c>
      <c r="E138" s="11" t="str">
        <f>HYPERLINK("https://youtu.be/X9mQfGxWOaA?t=970","channel 4")</f>
        <v>channel 4</v>
      </c>
    </row>
    <row r="139">
      <c r="B139" s="62" t="s">
        <v>2521</v>
      </c>
      <c r="C139" s="94" t="s">
        <v>251</v>
      </c>
      <c r="D139" s="62" t="s">
        <v>1600</v>
      </c>
      <c r="E139" s="11" t="str">
        <f>HYPERLINK("https://youtu.be/wP0OKjLfrvM?t=1892","channel 3")</f>
        <v>channel 3</v>
      </c>
    </row>
    <row r="140">
      <c r="B140" s="62" t="s">
        <v>3666</v>
      </c>
      <c r="C140" s="94" t="s">
        <v>517</v>
      </c>
      <c r="D140" s="62" t="s">
        <v>3664</v>
      </c>
      <c r="E140" s="11" t="str">
        <f>HYPERLINK("https://youtu.be/X9mQfGxWOaA?t=1959","channel 4")</f>
        <v>channel 4</v>
      </c>
    </row>
    <row r="141">
      <c r="B141" s="62" t="s">
        <v>2521</v>
      </c>
      <c r="C141" s="94" t="s">
        <v>222</v>
      </c>
      <c r="D141" s="61" t="s">
        <v>3665</v>
      </c>
      <c r="E141" s="11" t="str">
        <f>HYPERLINK("https://youtu.be/wP0OKjLfrvM?t=2866","channel 3")</f>
        <v>channel 3</v>
      </c>
    </row>
    <row r="142">
      <c r="B142" s="62" t="s">
        <v>1600</v>
      </c>
      <c r="C142" s="94" t="s">
        <v>162</v>
      </c>
      <c r="D142" s="62" t="s">
        <v>3664</v>
      </c>
      <c r="E142" s="11" t="str">
        <f>HYPERLINK("https://youtu.be/X9mQfGxWOaA?t=2895","channel 4")</f>
        <v>channel 4</v>
      </c>
    </row>
    <row r="143">
      <c r="B143" s="62" t="s">
        <v>2521</v>
      </c>
      <c r="C143" s="94" t="s">
        <v>209</v>
      </c>
      <c r="D143" s="62" t="s">
        <v>3666</v>
      </c>
      <c r="E143" s="11" t="str">
        <f>HYPERLINK("https://youtu.be/wP0OKjLfrvM?t=3823","channel 3")</f>
        <v>channel 3</v>
      </c>
    </row>
    <row r="144">
      <c r="B144" s="62" t="s">
        <v>1600</v>
      </c>
      <c r="C144" s="94" t="s">
        <v>164</v>
      </c>
      <c r="D144" s="61" t="s">
        <v>3665</v>
      </c>
      <c r="E144" s="11" t="str">
        <f>HYPERLINK("https://youtu.be/X9mQfGxWOaA?t=3867","channel 4")</f>
        <v>channel 4</v>
      </c>
    </row>
    <row r="145">
      <c r="B145" s="61" t="s">
        <v>3665</v>
      </c>
      <c r="C145" s="94" t="s">
        <v>245</v>
      </c>
      <c r="D145" s="62" t="s">
        <v>3664</v>
      </c>
      <c r="E145" s="11" t="str">
        <f>HYPERLINK("https://youtu.be/wP0OKjLfrvM?t=4774","channel 3")</f>
        <v>channel 3</v>
      </c>
    </row>
    <row r="146">
      <c r="B146" s="62" t="s">
        <v>1600</v>
      </c>
      <c r="C146" s="94" t="s">
        <v>1846</v>
      </c>
      <c r="D146" s="62" t="s">
        <v>3666</v>
      </c>
      <c r="E146" s="11" t="str">
        <f>HYPERLINK("https://youtu.be/X9mQfGxWOaA?t=4798","channel 4")</f>
        <v>channel 4</v>
      </c>
    </row>
    <row r="147">
      <c r="B147" s="62" t="s">
        <v>3664</v>
      </c>
      <c r="C147" s="94" t="s">
        <v>41</v>
      </c>
      <c r="D147" s="62" t="s">
        <v>2521</v>
      </c>
      <c r="E147" s="11" t="str">
        <f>HYPERLINK("https://youtu.be/wP0OKjLfrvM?t=5699","channel 3")</f>
        <v>channel 3</v>
      </c>
    </row>
    <row r="148">
      <c r="B148" s="61" t="s">
        <v>3665</v>
      </c>
      <c r="C148" s="94" t="s">
        <v>189</v>
      </c>
      <c r="D148" s="62" t="s">
        <v>3666</v>
      </c>
      <c r="E148" s="11" t="str">
        <f>HYPERLINK("https://youtu.be/X9mQfGxWOaA?t=5780","channel 4")</f>
        <v>channel 4</v>
      </c>
    </row>
    <row r="149">
      <c r="B149" s="62" t="s">
        <v>1600</v>
      </c>
      <c r="C149" s="94" t="s">
        <v>218</v>
      </c>
      <c r="D149" s="62" t="s">
        <v>2521</v>
      </c>
      <c r="E149" s="11" t="str">
        <f>HYPERLINK("https://youtu.be/wP0OKjLfrvM?t=6719","channel 3")</f>
        <v>channel 3</v>
      </c>
    </row>
    <row r="150">
      <c r="B150" s="62" t="s">
        <v>3664</v>
      </c>
      <c r="C150" s="94" t="s">
        <v>556</v>
      </c>
      <c r="D150" s="62" t="s">
        <v>3666</v>
      </c>
      <c r="E150" s="11" t="str">
        <f>HYPERLINK("https://youtu.be/X9mQfGxWOaA?t=6761","channel 4")</f>
        <v>channel 4</v>
      </c>
    </row>
    <row r="151">
      <c r="B151" s="61" t="s">
        <v>3665</v>
      </c>
      <c r="C151" s="94" t="s">
        <v>610</v>
      </c>
      <c r="D151" s="62" t="s">
        <v>2521</v>
      </c>
      <c r="E151" s="11" t="str">
        <f>HYPERLINK("https://youtu.be/wP0OKjLfrvM?t=7706","channel 3")</f>
        <v>channel 3</v>
      </c>
    </row>
    <row r="152">
      <c r="B152" s="62" t="s">
        <v>3664</v>
      </c>
      <c r="C152" s="94" t="s">
        <v>164</v>
      </c>
      <c r="D152" s="62" t="s">
        <v>1600</v>
      </c>
      <c r="E152" s="11" t="str">
        <f>HYPERLINK("https://youtu.be/X9mQfGxWOaA?t=7740","channel 4")</f>
        <v>channel 4</v>
      </c>
    </row>
    <row r="153">
      <c r="B153" s="62" t="s">
        <v>3666</v>
      </c>
      <c r="C153" s="94" t="s">
        <v>315</v>
      </c>
      <c r="D153" s="62" t="s">
        <v>2521</v>
      </c>
      <c r="E153" s="11" t="str">
        <f>HYPERLINK("https://youtu.be/wP0OKjLfrvM?t=8640","channel 3")</f>
        <v>channel 3</v>
      </c>
    </row>
    <row r="154">
      <c r="B154" s="61" t="s">
        <v>3665</v>
      </c>
      <c r="C154" s="94" t="s">
        <v>23</v>
      </c>
      <c r="D154" s="62" t="s">
        <v>1600</v>
      </c>
      <c r="E154" s="11" t="str">
        <f>HYPERLINK("https://youtu.be/X9mQfGxWOaA?t=8671","channel 4")</f>
        <v>channel 4</v>
      </c>
    </row>
    <row r="155">
      <c r="B155" s="96" t="s">
        <v>2862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3667</v>
      </c>
      <c r="C157" s="94" t="s">
        <v>198</v>
      </c>
      <c r="D157" s="61" t="s">
        <v>3668</v>
      </c>
      <c r="E157" s="11" t="str">
        <f>HYPERLINK("https://youtu.be/M0LNJ9MLxv0","channel 3")</f>
        <v>channel 3</v>
      </c>
    </row>
    <row r="158">
      <c r="B158" s="61" t="s">
        <v>3669</v>
      </c>
      <c r="C158" s="94" t="s">
        <v>163</v>
      </c>
      <c r="D158" s="62" t="s">
        <v>3670</v>
      </c>
      <c r="E158" s="11" t="str">
        <f>HYPERLINK("https://youtu.be/JUUTh92sjQo","channel 4")</f>
        <v>channel 4</v>
      </c>
    </row>
    <row r="159">
      <c r="B159" s="62" t="s">
        <v>1482</v>
      </c>
      <c r="C159" s="94" t="s">
        <v>173</v>
      </c>
      <c r="D159" s="62" t="s">
        <v>3667</v>
      </c>
      <c r="E159" s="11" t="str">
        <f>HYPERLINK("https://youtu.be/M0LNJ9MLxv0?t=881","channel 3")</f>
        <v>channel 3</v>
      </c>
    </row>
    <row r="160">
      <c r="B160" s="61" t="s">
        <v>3669</v>
      </c>
      <c r="C160" s="94" t="s">
        <v>459</v>
      </c>
      <c r="D160" s="61" t="s">
        <v>3668</v>
      </c>
      <c r="E160" s="11" t="str">
        <f>HYPERLINK("https://youtu.be/JUUTh92sjQo?t=1042","channel 4")</f>
        <v>channel 4</v>
      </c>
    </row>
    <row r="161">
      <c r="B161" s="62" t="s">
        <v>1482</v>
      </c>
      <c r="C161" s="94" t="s">
        <v>327</v>
      </c>
      <c r="D161" s="62" t="s">
        <v>3670</v>
      </c>
      <c r="E161" s="11" t="str">
        <f>HYPERLINK("https://youtu.be/M0LNJ9MLxv0?t=1829","channel 3")</f>
        <v>channel 3</v>
      </c>
    </row>
    <row r="162">
      <c r="B162" s="61" t="s">
        <v>3669</v>
      </c>
      <c r="C162" s="94" t="s">
        <v>525</v>
      </c>
      <c r="D162" s="62" t="s">
        <v>3667</v>
      </c>
      <c r="E162" s="11" t="str">
        <f>HYPERLINK("https://youtu.be/JUUTh92sjQo?t=2008","channel 4")</f>
        <v>channel 4</v>
      </c>
    </row>
    <row r="163">
      <c r="B163" s="62" t="s">
        <v>1482</v>
      </c>
      <c r="C163" s="94" t="s">
        <v>302</v>
      </c>
      <c r="D163" s="61" t="s">
        <v>3668</v>
      </c>
      <c r="E163" s="11" t="str">
        <f>HYPERLINK("https://youtu.be/M0LNJ9MLxv0?t=2762","channel 3")</f>
        <v>channel 3</v>
      </c>
    </row>
    <row r="164">
      <c r="B164" s="62" t="s">
        <v>3670</v>
      </c>
      <c r="C164" s="94" t="s">
        <v>18</v>
      </c>
      <c r="D164" s="62" t="s">
        <v>3667</v>
      </c>
      <c r="E164" s="11" t="str">
        <f>HYPERLINK("https://youtu.be/JUUTh92sjQo?t=3046","channel 4")</f>
        <v>channel 4</v>
      </c>
    </row>
    <row r="165">
      <c r="B165" s="62" t="s">
        <v>1482</v>
      </c>
      <c r="C165" s="94" t="s">
        <v>250</v>
      </c>
      <c r="D165" s="61" t="s">
        <v>3669</v>
      </c>
      <c r="E165" s="11" t="str">
        <f>HYPERLINK("https://youtu.be/M0LNJ9MLxv0?t=3677","channel 3")</f>
        <v>channel 3</v>
      </c>
    </row>
    <row r="166">
      <c r="B166" s="62" t="s">
        <v>3670</v>
      </c>
      <c r="C166" s="94" t="s">
        <v>16</v>
      </c>
      <c r="D166" s="61" t="s">
        <v>3668</v>
      </c>
      <c r="E166" s="11" t="str">
        <f>HYPERLINK("https://youtu.be/JUUTh92sjQo?t=3998","channel 4")</f>
        <v>channel 4</v>
      </c>
    </row>
    <row r="167">
      <c r="B167" s="61" t="s">
        <v>3668</v>
      </c>
      <c r="C167" s="94" t="s">
        <v>187</v>
      </c>
      <c r="D167" s="62" t="s">
        <v>3667</v>
      </c>
      <c r="E167" s="11" t="str">
        <f>HYPERLINK("https://youtu.be/M0LNJ9MLxv0?t=4724","channel 3")</f>
        <v>channel 3</v>
      </c>
    </row>
    <row r="168">
      <c r="B168" s="62" t="s">
        <v>3670</v>
      </c>
      <c r="C168" s="94" t="s">
        <v>14</v>
      </c>
      <c r="D168" s="61" t="s">
        <v>3669</v>
      </c>
      <c r="E168" s="11" t="str">
        <f>HYPERLINK("https://youtu.be/JUUTh92sjQo?t=4941","channel 4")</f>
        <v>channel 4</v>
      </c>
    </row>
    <row r="169">
      <c r="B169" s="62" t="s">
        <v>3667</v>
      </c>
      <c r="C169" s="94" t="s">
        <v>14</v>
      </c>
      <c r="D169" s="62" t="s">
        <v>1482</v>
      </c>
      <c r="E169" s="11" t="str">
        <f>HYPERLINK("https://youtu.be/M0LNJ9MLxv0?t=5626","channel 3")</f>
        <v>channel 3</v>
      </c>
    </row>
    <row r="170">
      <c r="B170" s="61" t="s">
        <v>3668</v>
      </c>
      <c r="C170" s="94" t="s">
        <v>38</v>
      </c>
      <c r="D170" s="61" t="s">
        <v>3669</v>
      </c>
      <c r="E170" s="11" t="str">
        <f>HYPERLINK("https://youtu.be/JUUTh92sjQo?t=5854","channel 4")</f>
        <v>channel 4</v>
      </c>
    </row>
    <row r="171">
      <c r="B171" s="62" t="s">
        <v>3670</v>
      </c>
      <c r="C171" s="94" t="s">
        <v>18</v>
      </c>
      <c r="D171" s="62" t="s">
        <v>1482</v>
      </c>
      <c r="E171" s="11" t="str">
        <f>HYPERLINK("https://youtu.be/M0LNJ9MLxv0?t=6602","channel 3")</f>
        <v>channel 3</v>
      </c>
    </row>
    <row r="172">
      <c r="B172" s="62" t="s">
        <v>3667</v>
      </c>
      <c r="C172" s="94" t="s">
        <v>315</v>
      </c>
      <c r="D172" s="61" t="s">
        <v>3669</v>
      </c>
      <c r="E172" s="11" t="str">
        <f>HYPERLINK("https://youtu.be/JUUTh92sjQo?t=6778","channel 4")</f>
        <v>channel 4</v>
      </c>
    </row>
    <row r="173">
      <c r="B173" s="61" t="s">
        <v>3668</v>
      </c>
      <c r="C173" s="94" t="s">
        <v>18</v>
      </c>
      <c r="D173" s="62" t="s">
        <v>1482</v>
      </c>
      <c r="E173" s="11" t="str">
        <f>HYPERLINK("https://youtu.be/M0LNJ9MLxv0?t=7514","channel 3")</f>
        <v>channel 3</v>
      </c>
    </row>
    <row r="174">
      <c r="B174" s="62" t="s">
        <v>3667</v>
      </c>
      <c r="C174" s="94" t="s">
        <v>23</v>
      </c>
      <c r="D174" s="62" t="s">
        <v>3670</v>
      </c>
      <c r="E174" s="11" t="str">
        <f>HYPERLINK("https://youtu.be/JUUTh92sjQo?t=7794","channel 4")</f>
        <v>channel 4</v>
      </c>
    </row>
    <row r="175">
      <c r="B175" s="61" t="s">
        <v>3669</v>
      </c>
      <c r="C175" s="94" t="s">
        <v>19</v>
      </c>
      <c r="D175" s="62" t="s">
        <v>1482</v>
      </c>
      <c r="E175" s="11" t="str">
        <f>HYPERLINK("https://youtu.be/M0LNJ9MLxv0?t=8409","channel 3")</f>
        <v>channel 3</v>
      </c>
    </row>
    <row r="176">
      <c r="B176" s="61" t="s">
        <v>3668</v>
      </c>
      <c r="C176" s="94"/>
      <c r="D176" s="62" t="s">
        <v>3670</v>
      </c>
      <c r="E176" s="11" t="str">
        <f>HYPERLINK("https://youtu.be/JUUTh92sjQo?t=8725","channel 4")</f>
        <v>channel 4</v>
      </c>
    </row>
    <row r="177">
      <c r="B177" s="96" t="s">
        <v>2828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3671</v>
      </c>
      <c r="C179" s="94" t="s">
        <v>620</v>
      </c>
      <c r="D179" s="62" t="s">
        <v>859</v>
      </c>
      <c r="E179" s="11" t="str">
        <f>HYPERLINK("https://youtu.be/Owzf-q_HwDI","channel 1")</f>
        <v>channel 1</v>
      </c>
    </row>
    <row r="180">
      <c r="B180" s="62" t="s">
        <v>3672</v>
      </c>
      <c r="C180" s="94" t="s">
        <v>173</v>
      </c>
      <c r="D180" s="62" t="s">
        <v>3673</v>
      </c>
      <c r="E180" s="11" t="str">
        <f>HYPERLINK("https://youtu.be/_rJb0Oh_r50","channel 2")</f>
        <v>channel 2</v>
      </c>
    </row>
    <row r="181">
      <c r="B181" s="62" t="s">
        <v>3674</v>
      </c>
      <c r="C181" s="94" t="s">
        <v>257</v>
      </c>
      <c r="D181" s="62" t="s">
        <v>3671</v>
      </c>
      <c r="E181" s="11" t="str">
        <f>HYPERLINK("https://youtu.be/Owzf-q_HwDI?t=654","channel 1")</f>
        <v>channel 1</v>
      </c>
    </row>
    <row r="182">
      <c r="B182" s="62" t="s">
        <v>3672</v>
      </c>
      <c r="C182" s="94" t="s">
        <v>193</v>
      </c>
      <c r="D182" s="62" t="s">
        <v>859</v>
      </c>
      <c r="E182" s="11" t="str">
        <f>HYPERLINK("https://youtu.be/_rJb0Oh_r50?t=1058","channel 2")</f>
        <v>channel 2</v>
      </c>
    </row>
    <row r="183">
      <c r="B183" s="62" t="s">
        <v>3674</v>
      </c>
      <c r="C183" s="94" t="s">
        <v>3092</v>
      </c>
      <c r="D183" s="62" t="s">
        <v>3673</v>
      </c>
      <c r="E183" s="11" t="str">
        <f>HYPERLINK("https://youtu.be/Owzf-q_HwDI?t=1562","channel 1")</f>
        <v>channel 1</v>
      </c>
    </row>
    <row r="184">
      <c r="B184" s="62" t="s">
        <v>3672</v>
      </c>
      <c r="C184" s="94" t="s">
        <v>171</v>
      </c>
      <c r="D184" s="62" t="s">
        <v>3671</v>
      </c>
      <c r="E184" s="11" t="str">
        <f>HYPERLINK("https://youtu.be/_rJb0Oh_r50?t=1973","channel 2")</f>
        <v>channel 2</v>
      </c>
    </row>
    <row r="185">
      <c r="B185" s="62" t="s">
        <v>3674</v>
      </c>
      <c r="C185" s="94" t="s">
        <v>19</v>
      </c>
      <c r="D185" s="62" t="s">
        <v>859</v>
      </c>
      <c r="E185" s="11" t="str">
        <f>HYPERLINK("https://youtu.be/Owzf-q_HwDI?t=2462","channel 1")</f>
        <v>channel 1</v>
      </c>
    </row>
    <row r="186">
      <c r="B186" s="62" t="s">
        <v>3673</v>
      </c>
      <c r="C186" s="94" t="s">
        <v>207</v>
      </c>
      <c r="D186" s="62" t="s">
        <v>3671</v>
      </c>
      <c r="E186" s="11" t="str">
        <f>HYPERLINK("https://youtu.be/_rJb0Oh_r50?t=2880","channel 2")</f>
        <v>channel 2</v>
      </c>
    </row>
    <row r="187">
      <c r="B187" s="62" t="s">
        <v>3674</v>
      </c>
      <c r="C187" s="94" t="s">
        <v>286</v>
      </c>
      <c r="D187" s="62" t="s">
        <v>3672</v>
      </c>
      <c r="E187" s="11" t="str">
        <f>HYPERLINK("https://youtu.be/Owzf-q_HwDI?t=3359","channel 1")</f>
        <v>channel 1</v>
      </c>
    </row>
    <row r="188">
      <c r="B188" s="62" t="s">
        <v>3673</v>
      </c>
      <c r="C188" s="94" t="s">
        <v>225</v>
      </c>
      <c r="D188" s="62" t="s">
        <v>859</v>
      </c>
      <c r="E188" s="11" t="str">
        <f>HYPERLINK("https://youtu.be/_rJb0Oh_r50?t=3778","channel 2")</f>
        <v>channel 2</v>
      </c>
    </row>
    <row r="189">
      <c r="B189" s="62" t="s">
        <v>859</v>
      </c>
      <c r="C189" s="94" t="s">
        <v>279</v>
      </c>
      <c r="D189" s="62" t="s">
        <v>3671</v>
      </c>
      <c r="E189" s="11" t="str">
        <f>HYPERLINK("https://youtu.be/Owzf-q_HwDI?t=4444","channel 1")</f>
        <v>channel 1</v>
      </c>
    </row>
    <row r="190">
      <c r="B190" s="62" t="s">
        <v>3673</v>
      </c>
      <c r="C190" s="94" t="s">
        <v>38</v>
      </c>
      <c r="D190" s="62" t="s">
        <v>3672</v>
      </c>
      <c r="E190" s="11" t="str">
        <f>HYPERLINK("https://youtu.be/_rJb0Oh_r50?t=4849","channel 2")</f>
        <v>channel 2</v>
      </c>
    </row>
    <row r="191">
      <c r="B191" s="62" t="s">
        <v>3671</v>
      </c>
      <c r="C191" s="94" t="s">
        <v>357</v>
      </c>
      <c r="D191" s="62" t="s">
        <v>3674</v>
      </c>
      <c r="E191" s="11" t="str">
        <f>HYPERLINK("https://youtu.be/Owzf-q_HwDI?t=5371","channel 1")</f>
        <v>channel 1</v>
      </c>
    </row>
    <row r="192">
      <c r="B192" s="62" t="s">
        <v>859</v>
      </c>
      <c r="C192" s="94" t="s">
        <v>23</v>
      </c>
      <c r="D192" s="62" t="s">
        <v>3672</v>
      </c>
      <c r="E192" s="11" t="str">
        <f>HYPERLINK("https://youtu.be/_rJb0Oh_r50?t=5770","channel 2")</f>
        <v>channel 2</v>
      </c>
    </row>
    <row r="193">
      <c r="B193" s="62" t="s">
        <v>3673</v>
      </c>
      <c r="C193" s="94" t="s">
        <v>325</v>
      </c>
      <c r="D193" s="62" t="s">
        <v>3674</v>
      </c>
      <c r="E193" s="11" t="str">
        <f>HYPERLINK("https://youtu.be/Owzf-q_HwDI?t=6360","channel 1")</f>
        <v>channel 1</v>
      </c>
    </row>
    <row r="194">
      <c r="B194" s="62" t="s">
        <v>3671</v>
      </c>
      <c r="C194" s="94" t="s">
        <v>14</v>
      </c>
      <c r="D194" s="62" t="s">
        <v>3672</v>
      </c>
      <c r="E194" s="11" t="str">
        <f>HYPERLINK("https://youtu.be/_rJb0Oh_r50?t=6754","channel 2")</f>
        <v>channel 2</v>
      </c>
    </row>
    <row r="195">
      <c r="B195" s="62" t="s">
        <v>859</v>
      </c>
      <c r="C195" s="94" t="s">
        <v>439</v>
      </c>
      <c r="D195" s="62" t="s">
        <v>3674</v>
      </c>
      <c r="E195" s="11" t="str">
        <f>HYPERLINK("https://youtu.be/Owzf-q_HwDI?t=7277","channel 1")</f>
        <v>channel 1</v>
      </c>
    </row>
    <row r="196">
      <c r="B196" s="62" t="s">
        <v>3671</v>
      </c>
      <c r="C196" s="94" t="s">
        <v>181</v>
      </c>
      <c r="D196" s="62" t="s">
        <v>3673</v>
      </c>
      <c r="E196" s="11" t="str">
        <f>HYPERLINK("https://youtu.be/_rJb0Oh_r50?t=7664","channel 2")</f>
        <v>channel 2</v>
      </c>
    </row>
    <row r="197">
      <c r="B197" s="62" t="s">
        <v>3672</v>
      </c>
      <c r="C197" s="94" t="s">
        <v>233</v>
      </c>
      <c r="D197" s="62" t="s">
        <v>3674</v>
      </c>
      <c r="E197" s="11" t="str">
        <f>HYPERLINK("https://youtu.be/Owzf-q_HwDI?t=8232","channel 1")</f>
        <v>channel 1</v>
      </c>
    </row>
    <row r="198">
      <c r="B198" s="62" t="s">
        <v>859</v>
      </c>
      <c r="C198" s="94" t="s">
        <v>38</v>
      </c>
      <c r="D198" s="62" t="s">
        <v>3673</v>
      </c>
      <c r="E198" s="11" t="str">
        <f>HYPERLINK("https://youtu.be/_rJb0Oh_r50?t=8568","channel 2")</f>
        <v>channel 2</v>
      </c>
    </row>
    <row r="199">
      <c r="B199" s="96" t="s">
        <v>2304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3675</v>
      </c>
      <c r="C201" s="94" t="s">
        <v>218</v>
      </c>
      <c r="D201" s="62" t="s">
        <v>1370</v>
      </c>
      <c r="E201" s="11" t="str">
        <f>HYPERLINK("https://youtu.be/X3VRoHSQQhs","channel 1")</f>
        <v>channel 1</v>
      </c>
    </row>
    <row r="202">
      <c r="B202" s="62" t="s">
        <v>3676</v>
      </c>
      <c r="C202" s="94" t="s">
        <v>14</v>
      </c>
      <c r="D202" s="62" t="s">
        <v>3513</v>
      </c>
      <c r="E202" s="11" t="str">
        <f>HYPERLINK("https://youtu.be/MIlefc8D6-8","channel 2")</f>
        <v>channel 2</v>
      </c>
    </row>
    <row r="203">
      <c r="B203" s="62" t="s">
        <v>3677</v>
      </c>
      <c r="C203" s="94" t="s">
        <v>303</v>
      </c>
      <c r="D203" s="62" t="s">
        <v>3675</v>
      </c>
      <c r="E203" s="11" t="str">
        <f>HYPERLINK("https://youtu.be/X3VRoHSQQhs?t=958","channel 1")</f>
        <v>channel 1</v>
      </c>
    </row>
    <row r="204">
      <c r="B204" s="62" t="s">
        <v>3676</v>
      </c>
      <c r="C204" s="94" t="s">
        <v>264</v>
      </c>
      <c r="D204" s="62" t="s">
        <v>1370</v>
      </c>
      <c r="E204" s="11" t="str">
        <f>HYPERLINK("https://youtu.be/MIlefc8D6-8?t=796","channel 2")</f>
        <v>channel 2</v>
      </c>
    </row>
    <row r="205">
      <c r="B205" s="62" t="s">
        <v>3677</v>
      </c>
      <c r="C205" s="94" t="s">
        <v>2427</v>
      </c>
      <c r="D205" s="62" t="s">
        <v>3513</v>
      </c>
      <c r="E205" s="11" t="str">
        <f>HYPERLINK("https://youtu.be/X3VRoHSQQhs?t=1910","channel 1")</f>
        <v>channel 1</v>
      </c>
    </row>
    <row r="206">
      <c r="B206" s="62" t="s">
        <v>3676</v>
      </c>
      <c r="C206" s="94" t="s">
        <v>315</v>
      </c>
      <c r="D206" s="62" t="s">
        <v>3675</v>
      </c>
      <c r="E206" s="11" t="str">
        <f>HYPERLINK("https://youtu.be/MIlefc8D6-8?t=1754","channel 2")</f>
        <v>channel 2</v>
      </c>
    </row>
    <row r="207">
      <c r="B207" s="62" t="s">
        <v>3677</v>
      </c>
      <c r="C207" s="94" t="s">
        <v>38</v>
      </c>
      <c r="D207" s="62" t="s">
        <v>1370</v>
      </c>
      <c r="E207" s="11" t="str">
        <f>HYPERLINK("https://youtu.be/X3VRoHSQQhs?t=2854","channel 1")</f>
        <v>channel 1</v>
      </c>
    </row>
    <row r="208">
      <c r="B208" s="62" t="s">
        <v>3513</v>
      </c>
      <c r="C208" s="94" t="s">
        <v>545</v>
      </c>
      <c r="D208" s="62" t="s">
        <v>3675</v>
      </c>
      <c r="E208" s="11" t="str">
        <f>HYPERLINK("https://youtu.be/MIlefc8D6-8?t=2695","channel 2")</f>
        <v>channel 2</v>
      </c>
    </row>
    <row r="209">
      <c r="B209" s="62" t="s">
        <v>3677</v>
      </c>
      <c r="C209" s="94" t="s">
        <v>185</v>
      </c>
      <c r="D209" s="62" t="s">
        <v>3676</v>
      </c>
      <c r="E209" s="11" t="str">
        <f>HYPERLINK("https://youtu.be/X3VRoHSQQhs?t=3738","channel 1")</f>
        <v>channel 1</v>
      </c>
    </row>
    <row r="210">
      <c r="B210" s="62" t="s">
        <v>3513</v>
      </c>
      <c r="C210" s="94" t="s">
        <v>888</v>
      </c>
      <c r="D210" s="62" t="s">
        <v>1370</v>
      </c>
      <c r="E210" s="11" t="str">
        <f>HYPERLINK("https://youtu.be/MIlefc8D6-8?t=3606","channel 2")</f>
        <v>channel 2</v>
      </c>
    </row>
    <row r="211">
      <c r="B211" s="62" t="s">
        <v>1370</v>
      </c>
      <c r="C211" s="94" t="s">
        <v>17</v>
      </c>
      <c r="D211" s="62" t="s">
        <v>3675</v>
      </c>
      <c r="E211" s="11" t="str">
        <f>HYPERLINK("https://youtu.be/X3VRoHSQQhs?t=4726","channel 1")</f>
        <v>channel 1</v>
      </c>
    </row>
    <row r="212">
      <c r="B212" s="62" t="s">
        <v>3513</v>
      </c>
      <c r="C212" s="94" t="s">
        <v>696</v>
      </c>
      <c r="D212" s="62" t="s">
        <v>3676</v>
      </c>
      <c r="E212" s="11" t="str">
        <f>HYPERLINK("https://youtu.be/MIlefc8D6-8?t=4573","channel 2")</f>
        <v>channel 2</v>
      </c>
    </row>
    <row r="213">
      <c r="B213" s="62" t="s">
        <v>3675</v>
      </c>
      <c r="C213" s="94" t="s">
        <v>279</v>
      </c>
      <c r="D213" s="62" t="s">
        <v>3677</v>
      </c>
      <c r="E213" s="11" t="str">
        <f>HYPERLINK("https://youtu.be/X3VRoHSQQhs?t=5655","channel 1")</f>
        <v>channel 1</v>
      </c>
    </row>
    <row r="214">
      <c r="B214" s="62" t="s">
        <v>1370</v>
      </c>
      <c r="C214" s="94" t="s">
        <v>394</v>
      </c>
      <c r="D214" s="62" t="s">
        <v>3676</v>
      </c>
      <c r="E214" s="11" t="str">
        <f>HYPERLINK("https://youtu.be/MIlefc8D6-8?t=5496","channel 2")</f>
        <v>channel 2</v>
      </c>
    </row>
    <row r="215">
      <c r="B215" s="62" t="s">
        <v>3513</v>
      </c>
      <c r="C215" s="94" t="s">
        <v>338</v>
      </c>
      <c r="D215" s="62" t="s">
        <v>3677</v>
      </c>
      <c r="E215" s="11" t="str">
        <f>HYPERLINK("https://youtu.be/X3VRoHSQQhs?t=6653","channel 1")</f>
        <v>channel 1</v>
      </c>
    </row>
    <row r="216">
      <c r="B216" s="62" t="s">
        <v>3675</v>
      </c>
      <c r="C216" s="94" t="s">
        <v>208</v>
      </c>
      <c r="D216" s="62" t="s">
        <v>3676</v>
      </c>
      <c r="E216" s="11" t="str">
        <f>HYPERLINK("https://youtu.be/MIlefc8D6-8?t=6493","channel 2")</f>
        <v>channel 2</v>
      </c>
    </row>
    <row r="217">
      <c r="B217" s="62" t="s">
        <v>1370</v>
      </c>
      <c r="C217" s="94" t="s">
        <v>258</v>
      </c>
      <c r="D217" s="62" t="s">
        <v>3677</v>
      </c>
      <c r="E217" s="11" t="str">
        <f>HYPERLINK("https://youtu.be/X3VRoHSQQhs?t=7514","channel 1")</f>
        <v>channel 1</v>
      </c>
    </row>
    <row r="218">
      <c r="B218" s="62" t="s">
        <v>3675</v>
      </c>
      <c r="C218" s="94" t="s">
        <v>744</v>
      </c>
      <c r="D218" s="62" t="s">
        <v>3513</v>
      </c>
      <c r="E218" s="11" t="str">
        <f>HYPERLINK("https://youtu.be/MIlefc8D6-8?t=7320","channel 2")</f>
        <v>channel 2</v>
      </c>
    </row>
    <row r="219">
      <c r="B219" s="62" t="s">
        <v>3676</v>
      </c>
      <c r="C219" s="94" t="s">
        <v>404</v>
      </c>
      <c r="D219" s="62" t="s">
        <v>3677</v>
      </c>
      <c r="E219" s="11" t="str">
        <f>HYPERLINK("https://youtu.be/X3VRoHSQQhs?t=8412","channel 1")</f>
        <v>channel 1</v>
      </c>
    </row>
    <row r="220">
      <c r="B220" s="62" t="s">
        <v>1370</v>
      </c>
      <c r="C220" s="94" t="s">
        <v>3678</v>
      </c>
      <c r="D220" s="62" t="s">
        <v>3513</v>
      </c>
      <c r="E220" s="11" t="str">
        <f>HYPERLINK("https://youtu.be/MIlefc8D6-8?t=8246","channel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40"/>
      <c r="B1" s="96" t="s">
        <v>2882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142" t="s">
        <v>3147</v>
      </c>
      <c r="C3" s="94" t="s">
        <v>18</v>
      </c>
      <c r="D3" s="61" t="s">
        <v>3288</v>
      </c>
      <c r="E3" s="11" t="str">
        <f>HYPERLINK("https://youtu.be/OioSRye2w-o","channel 1")</f>
        <v>channel 1</v>
      </c>
    </row>
    <row r="4">
      <c r="A4" s="141"/>
      <c r="B4" s="61" t="s">
        <v>3679</v>
      </c>
      <c r="C4" s="94" t="s">
        <v>225</v>
      </c>
      <c r="D4" s="61" t="s">
        <v>3680</v>
      </c>
      <c r="E4" s="11" t="str">
        <f>HYPERLINK("https://youtu.be/Jj_PE6N0xUI","channel 2")</f>
        <v>channel 2</v>
      </c>
    </row>
    <row r="5">
      <c r="A5" s="141"/>
      <c r="B5" s="61" t="s">
        <v>3681</v>
      </c>
      <c r="C5" s="94" t="s">
        <v>219</v>
      </c>
      <c r="D5" s="61" t="s">
        <v>3147</v>
      </c>
      <c r="E5" s="11" t="str">
        <f>HYPERLINK("https://youtu.be/OioSRye2w-o?t=928","channel 1")</f>
        <v>channel 1</v>
      </c>
    </row>
    <row r="6">
      <c r="A6" s="141"/>
      <c r="B6" s="61" t="s">
        <v>3679</v>
      </c>
      <c r="C6" s="94" t="s">
        <v>302</v>
      </c>
      <c r="D6" s="61" t="s">
        <v>3288</v>
      </c>
      <c r="E6" s="11" t="str">
        <f>HYPERLINK("https://youtu.be/Jj_PE6N0xUI?t=1038","channel 2")</f>
        <v>channel 2</v>
      </c>
    </row>
    <row r="7">
      <c r="A7" s="141"/>
      <c r="B7" s="61" t="s">
        <v>3681</v>
      </c>
      <c r="C7" s="94" t="s">
        <v>250</v>
      </c>
      <c r="D7" s="61" t="s">
        <v>3680</v>
      </c>
      <c r="E7" s="11" t="str">
        <f>HYPERLINK("https://youtu.be/OioSRye2w-o?t=1802","channel 1")</f>
        <v>channel 1</v>
      </c>
    </row>
    <row r="8">
      <c r="A8" s="141"/>
      <c r="B8" s="61" t="s">
        <v>3679</v>
      </c>
      <c r="C8" s="94" t="s">
        <v>23</v>
      </c>
      <c r="D8" s="61" t="s">
        <v>3147</v>
      </c>
      <c r="E8" s="11" t="str">
        <f>HYPERLINK("https://youtu.be/Jj_PE6N0xUI?t=1905","channel 2")</f>
        <v>channel 2</v>
      </c>
    </row>
    <row r="9">
      <c r="A9" s="141"/>
      <c r="B9" s="61" t="s">
        <v>3681</v>
      </c>
      <c r="C9" s="94" t="s">
        <v>301</v>
      </c>
      <c r="D9" s="61" t="s">
        <v>3288</v>
      </c>
      <c r="E9" s="11" t="str">
        <f>HYPERLINK("https://youtu.be/OioSRye2w-o?t=2779","channel 1")</f>
        <v>channel 1</v>
      </c>
    </row>
    <row r="10">
      <c r="A10" s="141"/>
      <c r="B10" s="61" t="s">
        <v>3680</v>
      </c>
      <c r="C10" s="94" t="s">
        <v>162</v>
      </c>
      <c r="D10" s="61" t="s">
        <v>3147</v>
      </c>
      <c r="E10" s="11" t="str">
        <f>HYPERLINK("https://youtu.be/Jj_PE6N0xUI?t=2767","channel 2")</f>
        <v>channel 2</v>
      </c>
    </row>
    <row r="11">
      <c r="A11" s="141"/>
      <c r="B11" s="61" t="s">
        <v>3681</v>
      </c>
      <c r="C11" s="94" t="s">
        <v>1015</v>
      </c>
      <c r="D11" s="61" t="s">
        <v>3679</v>
      </c>
      <c r="E11" s="11" t="str">
        <f>HYPERLINK("https://youtu.be/OioSRye2w-o?t=3631","channel 1")</f>
        <v>channel 1</v>
      </c>
    </row>
    <row r="12">
      <c r="A12" s="141"/>
      <c r="B12" s="61" t="s">
        <v>3680</v>
      </c>
      <c r="C12" s="94" t="s">
        <v>219</v>
      </c>
      <c r="D12" s="61" t="s">
        <v>3288</v>
      </c>
      <c r="E12" s="11" t="str">
        <f>HYPERLINK("https://youtu.be/Jj_PE6N0xUI?t=3672","channel 2")</f>
        <v>channel 2</v>
      </c>
    </row>
    <row r="13">
      <c r="A13" s="141"/>
      <c r="B13" s="61" t="s">
        <v>3288</v>
      </c>
      <c r="C13" s="94" t="s">
        <v>155</v>
      </c>
      <c r="D13" s="61" t="s">
        <v>3147</v>
      </c>
      <c r="E13" s="11" t="str">
        <f>HYPERLINK("https://youtu.be/OioSRye2w-o?t=4578","channel 1")</f>
        <v>channel 1</v>
      </c>
    </row>
    <row r="14">
      <c r="A14" s="141"/>
      <c r="B14" s="61" t="s">
        <v>3680</v>
      </c>
      <c r="C14" s="94" t="s">
        <v>37</v>
      </c>
      <c r="D14" s="61" t="s">
        <v>3679</v>
      </c>
      <c r="E14" s="11" t="str">
        <f>HYPERLINK("https://youtu.be/Jj_PE6N0xUI?t=4555","channel 2")</f>
        <v>channel 2</v>
      </c>
    </row>
    <row r="15">
      <c r="A15" s="141"/>
      <c r="B15" s="61" t="s">
        <v>3147</v>
      </c>
      <c r="C15" s="94" t="s">
        <v>44</v>
      </c>
      <c r="D15" s="61" t="s">
        <v>3681</v>
      </c>
      <c r="E15" s="11" t="str">
        <f>HYPERLINK("https://youtu.be/OioSRye2w-o?t=5452","channel 1")</f>
        <v>channel 1</v>
      </c>
    </row>
    <row r="16">
      <c r="A16" s="141"/>
      <c r="B16" s="61" t="s">
        <v>3288</v>
      </c>
      <c r="C16" s="94" t="s">
        <v>292</v>
      </c>
      <c r="D16" s="61" t="s">
        <v>3679</v>
      </c>
      <c r="E16" s="11" t="str">
        <f>HYPERLINK("https://youtu.be/Jj_PE6N0xUI?t=5501","channel 2")</f>
        <v>channel 2</v>
      </c>
    </row>
    <row r="17">
      <c r="A17" s="141"/>
      <c r="B17" s="61" t="s">
        <v>3680</v>
      </c>
      <c r="C17" s="94" t="s">
        <v>18</v>
      </c>
      <c r="D17" s="61" t="s">
        <v>3681</v>
      </c>
      <c r="E17" s="11" t="str">
        <f>HYPERLINK("https://youtu.be/OioSRye2w-o?t=6377","channel 1")</f>
        <v>channel 1</v>
      </c>
    </row>
    <row r="18">
      <c r="A18" s="141"/>
      <c r="B18" s="61" t="s">
        <v>3147</v>
      </c>
      <c r="C18" s="94" t="s">
        <v>3440</v>
      </c>
      <c r="D18" s="61" t="s">
        <v>3679</v>
      </c>
      <c r="E18" s="11" t="str">
        <f>HYPERLINK("https://youtu.be/Jj_PE6N0xUI?t=6445","channel 2")</f>
        <v>channel 2</v>
      </c>
    </row>
    <row r="19">
      <c r="A19" s="141"/>
      <c r="B19" s="61" t="s">
        <v>3288</v>
      </c>
      <c r="C19" s="94" t="s">
        <v>567</v>
      </c>
      <c r="D19" s="61" t="s">
        <v>3681</v>
      </c>
      <c r="E19" s="11" t="str">
        <f>HYPERLINK("https://youtu.be/OioSRye2w-o?t=7222","channel 1")</f>
        <v>channel 1</v>
      </c>
    </row>
    <row r="20">
      <c r="A20" s="141"/>
      <c r="B20" s="61" t="s">
        <v>3147</v>
      </c>
      <c r="C20" s="94" t="s">
        <v>155</v>
      </c>
      <c r="D20" s="61" t="s">
        <v>3680</v>
      </c>
      <c r="E20" s="11" t="str">
        <f>HYPERLINK("https://youtu.be/Jj_PE6N0xUI?t=7352","channel 2")</f>
        <v>channel 2</v>
      </c>
    </row>
    <row r="21">
      <c r="A21" s="141"/>
      <c r="B21" s="61" t="s">
        <v>3679</v>
      </c>
      <c r="C21" s="94" t="s">
        <v>17</v>
      </c>
      <c r="D21" s="61" t="s">
        <v>3681</v>
      </c>
      <c r="E21" s="11" t="str">
        <f>HYPERLINK("https://youtu.be/OioSRye2w-o?t=8271","channel 1")</f>
        <v>channel 1</v>
      </c>
    </row>
    <row r="22">
      <c r="A22" s="141"/>
      <c r="B22" s="61" t="s">
        <v>3288</v>
      </c>
      <c r="C22" s="148" t="s">
        <v>440</v>
      </c>
      <c r="D22" s="61" t="s">
        <v>3680</v>
      </c>
      <c r="E22" s="11" t="str">
        <f>HYPERLINK("https://youtu.be/Jj_PE6N0xUI?t=8318","channel 2")</f>
        <v>channel 2</v>
      </c>
    </row>
    <row r="23">
      <c r="A23" s="141"/>
      <c r="B23" s="96" t="s">
        <v>2207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1712</v>
      </c>
      <c r="C25" s="94" t="s">
        <v>181</v>
      </c>
      <c r="D25" s="61" t="s">
        <v>3682</v>
      </c>
      <c r="E25" s="11" t="str">
        <f>HYPERLINK("https://youtu.be/BdGfe-DzsoU","channel 1")</f>
        <v>channel 1</v>
      </c>
    </row>
    <row r="26">
      <c r="A26" s="141"/>
      <c r="B26" s="61" t="s">
        <v>3683</v>
      </c>
      <c r="C26" s="94" t="s">
        <v>211</v>
      </c>
      <c r="D26" s="61" t="s">
        <v>3684</v>
      </c>
      <c r="E26" s="11" t="str">
        <f>HYPERLINK("https://youtu.be/ud4VQHD0720","channel 2")</f>
        <v>channel 2</v>
      </c>
    </row>
    <row r="27">
      <c r="A27" s="141"/>
      <c r="B27" s="61" t="s">
        <v>3685</v>
      </c>
      <c r="C27" s="94" t="s">
        <v>257</v>
      </c>
      <c r="D27" s="61" t="s">
        <v>1712</v>
      </c>
      <c r="E27" s="11" t="str">
        <f>HYPERLINK("https://youtu.be/BdGfe-DzsoU?t=985","channel 1")</f>
        <v>channel 1</v>
      </c>
    </row>
    <row r="28">
      <c r="A28" s="141"/>
      <c r="B28" s="61" t="s">
        <v>3683</v>
      </c>
      <c r="C28" s="94" t="s">
        <v>302</v>
      </c>
      <c r="D28" s="61" t="s">
        <v>3682</v>
      </c>
      <c r="E28" s="11" t="str">
        <f>HYPERLINK("https://youtu.be/ud4VQHD0720?t=1410","channel 2")</f>
        <v>channel 2</v>
      </c>
    </row>
    <row r="29">
      <c r="A29" s="141"/>
      <c r="B29" s="61" t="s">
        <v>3685</v>
      </c>
      <c r="C29" s="94" t="s">
        <v>16</v>
      </c>
      <c r="D29" s="61" t="s">
        <v>3684</v>
      </c>
      <c r="E29" s="11" t="str">
        <f>HYPERLINK("https://youtu.be/BdGfe-DzsoU?t=2330","channel 1")</f>
        <v>channel 1</v>
      </c>
    </row>
    <row r="30">
      <c r="A30" s="141"/>
      <c r="B30" s="61" t="s">
        <v>3683</v>
      </c>
      <c r="C30" s="94" t="s">
        <v>19</v>
      </c>
      <c r="D30" s="61" t="s">
        <v>1712</v>
      </c>
      <c r="E30" s="11" t="str">
        <f>HYPERLINK("https://youtu.be/ud4VQHD0720?t=2228","channel 2")</f>
        <v>channel 2</v>
      </c>
    </row>
    <row r="31">
      <c r="A31" s="141"/>
      <c r="B31" s="61" t="s">
        <v>3685</v>
      </c>
      <c r="C31" s="94" t="s">
        <v>16</v>
      </c>
      <c r="D31" s="61" t="s">
        <v>3682</v>
      </c>
      <c r="E31" s="11" t="str">
        <f>HYPERLINK("https://youtu.be/BdGfe-DzsoU?t=3252","channel 1")</f>
        <v>channel 1</v>
      </c>
    </row>
    <row r="32">
      <c r="A32" s="141"/>
      <c r="B32" s="61" t="s">
        <v>3684</v>
      </c>
      <c r="C32" s="94" t="s">
        <v>302</v>
      </c>
      <c r="D32" s="61" t="s">
        <v>1712</v>
      </c>
      <c r="E32" s="11" t="str">
        <f>HYPERLINK("https://youtu.be/ud4VQHD0720?t=3133","channel 2")</f>
        <v>channel 2</v>
      </c>
    </row>
    <row r="33">
      <c r="A33" s="141"/>
      <c r="B33" s="61" t="s">
        <v>3685</v>
      </c>
      <c r="C33" s="94" t="s">
        <v>291</v>
      </c>
      <c r="D33" s="61" t="s">
        <v>3683</v>
      </c>
      <c r="E33" s="11" t="str">
        <f>HYPERLINK("https://youtu.be/CVXlhERvWBo","channel 1")</f>
        <v>channel 1</v>
      </c>
    </row>
    <row r="34">
      <c r="A34" s="141"/>
      <c r="B34" s="61" t="s">
        <v>3684</v>
      </c>
      <c r="C34" s="94" t="s">
        <v>911</v>
      </c>
      <c r="D34" s="61" t="s">
        <v>3682</v>
      </c>
      <c r="E34" s="11" t="str">
        <f>HYPERLINK("https://youtu.be/ud4VQHD0720?t=4041","channel 2")</f>
        <v>channel 2</v>
      </c>
    </row>
    <row r="35">
      <c r="A35" s="141"/>
      <c r="B35" s="61" t="s">
        <v>3682</v>
      </c>
      <c r="C35" s="94" t="s">
        <v>1330</v>
      </c>
      <c r="D35" s="61" t="s">
        <v>1712</v>
      </c>
      <c r="E35" s="11" t="str">
        <f>HYPERLINK("https://youtu.be/CVXlhERvWBo?t=1047","channel 1")</f>
        <v>channel 1</v>
      </c>
    </row>
    <row r="36">
      <c r="A36" s="141"/>
      <c r="B36" s="61" t="s">
        <v>3684</v>
      </c>
      <c r="C36" s="94" t="s">
        <v>18</v>
      </c>
      <c r="D36" s="61" t="s">
        <v>3683</v>
      </c>
      <c r="E36" s="11" t="str">
        <f>HYPERLINK("https://youtu.be/ud4VQHD0720?t=4959","channel 2")</f>
        <v>channel 2</v>
      </c>
    </row>
    <row r="37">
      <c r="A37" s="141"/>
      <c r="B37" s="61" t="s">
        <v>1712</v>
      </c>
      <c r="C37" s="94" t="s">
        <v>2064</v>
      </c>
      <c r="D37" s="61" t="s">
        <v>3685</v>
      </c>
      <c r="E37" s="11" t="str">
        <f>HYPERLINK("https://youtu.be/CVXlhERvWBo?t=1963","channel 1")</f>
        <v>channel 1</v>
      </c>
    </row>
    <row r="38">
      <c r="A38" s="141"/>
      <c r="B38" s="61" t="s">
        <v>3682</v>
      </c>
      <c r="C38" s="94" t="s">
        <v>185</v>
      </c>
      <c r="D38" s="61" t="s">
        <v>3683</v>
      </c>
      <c r="E38" s="11" t="str">
        <f>HYPERLINK("https://youtu.be/ud4VQHD0720?t=5829","channel 2")</f>
        <v>channel 2</v>
      </c>
    </row>
    <row r="39">
      <c r="A39" s="141"/>
      <c r="B39" s="61" t="s">
        <v>3684</v>
      </c>
      <c r="C39" s="94" t="s">
        <v>487</v>
      </c>
      <c r="D39" s="61" t="s">
        <v>3685</v>
      </c>
      <c r="E39" s="11" t="str">
        <f>HYPERLINK("https://youtu.be/CVXlhERvWBo?t=2865","channel 1")</f>
        <v>channel 1</v>
      </c>
    </row>
    <row r="40">
      <c r="A40" s="141"/>
      <c r="B40" s="61" t="s">
        <v>1712</v>
      </c>
      <c r="C40" s="94" t="s">
        <v>279</v>
      </c>
      <c r="D40" s="61" t="s">
        <v>3683</v>
      </c>
      <c r="E40" s="11" t="str">
        <f>HYPERLINK("https://youtu.be/ud4VQHD0720?t=6665","channel 2")</f>
        <v>channel 2</v>
      </c>
    </row>
    <row r="41">
      <c r="A41" s="141"/>
      <c r="B41" s="61" t="s">
        <v>3682</v>
      </c>
      <c r="C41" s="94" t="s">
        <v>163</v>
      </c>
      <c r="D41" s="61" t="s">
        <v>3685</v>
      </c>
      <c r="E41" s="11" t="str">
        <f>HYPERLINK("https://youtu.be/CVXlhERvWBo?t=3824","channel 1")</f>
        <v>channel 1</v>
      </c>
    </row>
    <row r="42">
      <c r="A42" s="141"/>
      <c r="B42" s="61" t="s">
        <v>1712</v>
      </c>
      <c r="C42" s="94" t="s">
        <v>173</v>
      </c>
      <c r="D42" s="61" t="s">
        <v>3684</v>
      </c>
      <c r="E42" s="11" t="str">
        <f>HYPERLINK("https://youtu.be/ud4VQHD0720?t=7631","channel 2")</f>
        <v>channel 2</v>
      </c>
    </row>
    <row r="43">
      <c r="A43" s="141"/>
      <c r="B43" s="61" t="s">
        <v>3683</v>
      </c>
      <c r="C43" s="94" t="s">
        <v>280</v>
      </c>
      <c r="D43" s="61" t="s">
        <v>3685</v>
      </c>
      <c r="E43" s="11" t="str">
        <f>HYPERLINK("https://youtu.be/CVXlhERvWBo?t=4610","channel 1")</f>
        <v>channel 1</v>
      </c>
    </row>
    <row r="44">
      <c r="A44" s="141"/>
      <c r="B44" s="61" t="s">
        <v>3682</v>
      </c>
      <c r="C44" s="94" t="s">
        <v>352</v>
      </c>
      <c r="D44" s="61" t="s">
        <v>3684</v>
      </c>
      <c r="E44" s="11" t="str">
        <f>HYPERLINK("https://youtu.be/ud4VQHD0720?t=8495","channel 2")</f>
        <v>channel 2</v>
      </c>
    </row>
    <row r="45">
      <c r="A45" s="141"/>
      <c r="B45" s="96" t="s">
        <v>2919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3652</v>
      </c>
      <c r="C47" s="94" t="s">
        <v>301</v>
      </c>
      <c r="D47" s="61" t="s">
        <v>3686</v>
      </c>
      <c r="E47" s="11" t="str">
        <f>HYPERLINK("https://youtu.be/3t_sDZ5VJM4","channel 3")</f>
        <v>channel 3</v>
      </c>
    </row>
    <row r="48">
      <c r="A48" s="141"/>
      <c r="B48" s="61" t="s">
        <v>976</v>
      </c>
      <c r="C48" s="94" t="s">
        <v>164</v>
      </c>
      <c r="D48" s="61" t="s">
        <v>1993</v>
      </c>
      <c r="E48" s="11" t="str">
        <f>HYPERLINK("https://youtu.be/O6k6WuEnE6Q","channel 4")</f>
        <v>channel 4</v>
      </c>
    </row>
    <row r="49">
      <c r="A49" s="141"/>
      <c r="B49" s="61" t="s">
        <v>3687</v>
      </c>
      <c r="C49" s="94" t="s">
        <v>3688</v>
      </c>
      <c r="D49" s="61" t="s">
        <v>3652</v>
      </c>
      <c r="E49" s="11" t="str">
        <f>HYPERLINK("https://youtu.be/3t_sDZ5VJM4?t=1074","channel 3")</f>
        <v>channel 3</v>
      </c>
    </row>
    <row r="50">
      <c r="A50" s="141"/>
      <c r="B50" s="61" t="s">
        <v>976</v>
      </c>
      <c r="C50" s="94" t="s">
        <v>41</v>
      </c>
      <c r="D50" s="61" t="s">
        <v>3686</v>
      </c>
      <c r="E50" s="11" t="str">
        <f>HYPERLINK("https://youtu.be/O6k6WuEnE6Q?t=1045","channel 4")</f>
        <v>channel 4</v>
      </c>
    </row>
    <row r="51">
      <c r="A51" s="141"/>
      <c r="B51" s="61" t="s">
        <v>3687</v>
      </c>
      <c r="C51" s="94" t="s">
        <v>208</v>
      </c>
      <c r="D51" s="61" t="s">
        <v>1993</v>
      </c>
      <c r="E51" s="11" t="str">
        <f>HYPERLINK("https://youtu.be/3t_sDZ5VJM4?t=2011","channel 3")</f>
        <v>channel 3</v>
      </c>
    </row>
    <row r="52">
      <c r="A52" s="141"/>
      <c r="B52" s="61" t="s">
        <v>976</v>
      </c>
      <c r="C52" s="94" t="s">
        <v>20</v>
      </c>
      <c r="D52" s="61" t="s">
        <v>3652</v>
      </c>
      <c r="E52" s="11" t="str">
        <f>HYPERLINK("https://youtu.be/O6k6WuEnE6Q?t=2311","channel 4")</f>
        <v>channel 4</v>
      </c>
    </row>
    <row r="53">
      <c r="A53" s="141"/>
      <c r="B53" s="61" t="s">
        <v>3687</v>
      </c>
      <c r="C53" s="94" t="s">
        <v>173</v>
      </c>
      <c r="D53" s="61" t="s">
        <v>3686</v>
      </c>
      <c r="E53" s="11" t="str">
        <f>HYPERLINK("https://youtu.be/3t_sDZ5VJM4?t=2951","channel 3")</f>
        <v>channel 3</v>
      </c>
    </row>
    <row r="54">
      <c r="A54" s="141"/>
      <c r="B54" s="61" t="s">
        <v>1993</v>
      </c>
      <c r="C54" s="94" t="s">
        <v>220</v>
      </c>
      <c r="D54" s="61" t="s">
        <v>3652</v>
      </c>
      <c r="E54" s="11" t="str">
        <f>HYPERLINK("https://youtu.be/O6k6WuEnE6Q?t=3283","channel 4")</f>
        <v>channel 4</v>
      </c>
    </row>
    <row r="55">
      <c r="A55" s="141"/>
      <c r="B55" s="61" t="s">
        <v>3687</v>
      </c>
      <c r="C55" s="94" t="s">
        <v>688</v>
      </c>
      <c r="D55" s="61" t="s">
        <v>976</v>
      </c>
      <c r="E55" s="11" t="str">
        <f>HYPERLINK("https://youtu.be/3t_sDZ5VJM4?t=3938","channel 3")</f>
        <v>channel 3</v>
      </c>
    </row>
    <row r="56">
      <c r="A56" s="141"/>
      <c r="B56" s="61" t="s">
        <v>1993</v>
      </c>
      <c r="C56" s="94" t="s">
        <v>245</v>
      </c>
      <c r="D56" s="61" t="s">
        <v>3686</v>
      </c>
      <c r="E56" s="11" t="str">
        <f>HYPERLINK("https://youtu.be/O6k6WuEnE6Q?t=4183","channel 4")</f>
        <v>channel 4</v>
      </c>
    </row>
    <row r="57">
      <c r="A57" s="141"/>
      <c r="B57" s="61" t="s">
        <v>3686</v>
      </c>
      <c r="C57" s="94" t="s">
        <v>19</v>
      </c>
      <c r="D57" s="61" t="s">
        <v>3652</v>
      </c>
      <c r="E57" s="11" t="str">
        <f>HYPERLINK("https://youtu.be/3t_sDZ5VJM4?t=5041","channel 3")</f>
        <v>channel 3</v>
      </c>
    </row>
    <row r="58">
      <c r="A58" s="141"/>
      <c r="B58" s="61" t="s">
        <v>1993</v>
      </c>
      <c r="C58" s="94" t="s">
        <v>517</v>
      </c>
      <c r="D58" s="61" t="s">
        <v>976</v>
      </c>
      <c r="E58" s="11" t="str">
        <f>HYPERLINK("https://youtu.be/O6k6WuEnE6Q?t=5036","channel 4")</f>
        <v>channel 4</v>
      </c>
    </row>
    <row r="59">
      <c r="A59" s="141"/>
      <c r="B59" s="61" t="s">
        <v>3652</v>
      </c>
      <c r="C59" s="94" t="s">
        <v>257</v>
      </c>
      <c r="D59" s="61" t="s">
        <v>3687</v>
      </c>
      <c r="E59" s="11" t="str">
        <f>HYPERLINK("https://youtu.be/3t_sDZ5VJM4?t=5946","channel 3")</f>
        <v>channel 3</v>
      </c>
    </row>
    <row r="60">
      <c r="A60" s="141"/>
      <c r="B60" s="61" t="s">
        <v>3686</v>
      </c>
      <c r="C60" s="94" t="s">
        <v>219</v>
      </c>
      <c r="D60" s="61" t="s">
        <v>976</v>
      </c>
      <c r="E60" s="11" t="str">
        <f>HYPERLINK("https://youtu.be/O6k6WuEnE6Q?t=5898","channel 4")</f>
        <v>channel 4</v>
      </c>
    </row>
    <row r="61">
      <c r="A61" s="141"/>
      <c r="B61" s="61" t="s">
        <v>1993</v>
      </c>
      <c r="C61" s="94" t="s">
        <v>163</v>
      </c>
      <c r="D61" s="61" t="s">
        <v>3687</v>
      </c>
      <c r="E61" s="11" t="str">
        <f>HYPERLINK("https://youtu.be/3t_sDZ5VJM4?t=6907","channel 3")</f>
        <v>channel 3</v>
      </c>
    </row>
    <row r="62">
      <c r="A62" s="141"/>
      <c r="B62" s="61" t="s">
        <v>3652</v>
      </c>
      <c r="C62" s="94" t="s">
        <v>334</v>
      </c>
      <c r="D62" s="61" t="s">
        <v>976</v>
      </c>
      <c r="E62" s="11" t="str">
        <f>HYPERLINK("https://youtu.be/O6k6WuEnE6Q?t=6877","channel 4")</f>
        <v>channel 4</v>
      </c>
    </row>
    <row r="63">
      <c r="A63" s="141"/>
      <c r="B63" s="61" t="s">
        <v>3686</v>
      </c>
      <c r="C63" s="94" t="s">
        <v>324</v>
      </c>
      <c r="D63" s="61" t="s">
        <v>3687</v>
      </c>
      <c r="E63" s="11" t="str">
        <f>HYPERLINK("https://youtu.be/3t_sDZ5VJM4?t=7804","channel 3")</f>
        <v>channel 3</v>
      </c>
    </row>
    <row r="64">
      <c r="A64" s="141"/>
      <c r="B64" s="61" t="s">
        <v>3652</v>
      </c>
      <c r="C64" s="94" t="s">
        <v>16</v>
      </c>
      <c r="D64" s="61" t="s">
        <v>1993</v>
      </c>
      <c r="E64" s="11" t="str">
        <f>HYPERLINK("https://youtu.be/O6k6WuEnE6Q?t=7820","channel 4")</f>
        <v>channel 4</v>
      </c>
    </row>
    <row r="65">
      <c r="A65" s="141"/>
      <c r="B65" s="61" t="s">
        <v>976</v>
      </c>
      <c r="C65" s="94" t="s">
        <v>830</v>
      </c>
      <c r="D65" s="61" t="s">
        <v>3687</v>
      </c>
      <c r="E65" s="11" t="str">
        <f>HYPERLINK("https://youtu.be/3t_sDZ5VJM4?t=8724","channel 3")</f>
        <v>channel 3</v>
      </c>
    </row>
    <row r="66">
      <c r="A66" s="141"/>
      <c r="B66" s="61" t="s">
        <v>3686</v>
      </c>
      <c r="C66" s="94" t="s">
        <v>193</v>
      </c>
      <c r="D66" s="61" t="s">
        <v>1993</v>
      </c>
      <c r="E66" s="11" t="str">
        <f>HYPERLINK("https://youtu.be/O6k6WuEnE6Q?t=8789","channel 4")</f>
        <v>channel 4</v>
      </c>
    </row>
    <row r="67">
      <c r="A67" s="141"/>
      <c r="B67" s="96" t="s">
        <v>3047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3689</v>
      </c>
      <c r="C69" s="94" t="s">
        <v>181</v>
      </c>
      <c r="D69" s="61" t="s">
        <v>3690</v>
      </c>
      <c r="E69" s="11" t="str">
        <f>HYPERLINK("https://youtu.be/48lIkOiI1TE","channel 3")</f>
        <v>channel 3</v>
      </c>
    </row>
    <row r="70">
      <c r="A70" s="141"/>
      <c r="B70" s="61" t="s">
        <v>3103</v>
      </c>
      <c r="C70" s="94" t="s">
        <v>233</v>
      </c>
      <c r="D70" s="61" t="s">
        <v>3691</v>
      </c>
      <c r="E70" s="11" t="str">
        <f>HYPERLINK("https://youtu.be/g_F2A3xeYwA","channel 4")</f>
        <v>channel 4</v>
      </c>
    </row>
    <row r="71">
      <c r="A71" s="141"/>
      <c r="B71" s="61" t="s">
        <v>3665</v>
      </c>
      <c r="C71" s="94" t="s">
        <v>176</v>
      </c>
      <c r="D71" s="61" t="s">
        <v>3689</v>
      </c>
      <c r="E71" s="11" t="str">
        <f>HYPERLINK("https://youtu.be/48lIkOiI1TE?t=982","channel 3")</f>
        <v>channel 3</v>
      </c>
    </row>
    <row r="72">
      <c r="A72" s="141"/>
      <c r="B72" s="61" t="s">
        <v>3103</v>
      </c>
      <c r="C72" s="94" t="s">
        <v>292</v>
      </c>
      <c r="D72" s="61" t="s">
        <v>3690</v>
      </c>
      <c r="E72" s="11" t="str">
        <f>HYPERLINK("https://youtu.be/g_F2A3xeYwA?t=948","channel 4")</f>
        <v>channel 4</v>
      </c>
    </row>
    <row r="73">
      <c r="A73" s="141"/>
      <c r="B73" s="61" t="s">
        <v>3665</v>
      </c>
      <c r="C73" s="94" t="s">
        <v>185</v>
      </c>
      <c r="D73" s="61" t="s">
        <v>3691</v>
      </c>
      <c r="E73" s="11" t="str">
        <f>HYPERLINK("https://youtu.be/48lIkOiI1TE?t=1899","channel 3")</f>
        <v>channel 3</v>
      </c>
    </row>
    <row r="74">
      <c r="A74" s="141"/>
      <c r="B74" s="61" t="s">
        <v>3103</v>
      </c>
      <c r="C74" s="94" t="s">
        <v>181</v>
      </c>
      <c r="D74" s="61" t="s">
        <v>3689</v>
      </c>
      <c r="E74" s="11" t="str">
        <f>HYPERLINK("https://youtu.be/g_F2A3xeYwA?t=1886","channel 4")</f>
        <v>channel 4</v>
      </c>
    </row>
    <row r="75">
      <c r="A75" s="141"/>
      <c r="B75" s="61" t="s">
        <v>3665</v>
      </c>
      <c r="C75" s="94" t="s">
        <v>220</v>
      </c>
      <c r="D75" s="61" t="s">
        <v>3690</v>
      </c>
      <c r="E75" s="11" t="str">
        <f>HYPERLINK("https://youtu.be/48lIkOiI1TE?t=2847","channel 3")</f>
        <v>channel 3</v>
      </c>
    </row>
    <row r="76">
      <c r="A76" s="141"/>
      <c r="B76" s="61" t="s">
        <v>3691</v>
      </c>
      <c r="C76" s="94" t="s">
        <v>41</v>
      </c>
      <c r="D76" s="61" t="s">
        <v>3689</v>
      </c>
      <c r="E76" s="11" t="str">
        <f>HYPERLINK("https://youtu.be/g_F2A3xeYwA?t=2971","channel 4")</f>
        <v>channel 4</v>
      </c>
    </row>
    <row r="77">
      <c r="A77" s="141"/>
      <c r="B77" s="61" t="s">
        <v>3665</v>
      </c>
      <c r="C77" s="94" t="s">
        <v>194</v>
      </c>
      <c r="D77" s="61" t="s">
        <v>3103</v>
      </c>
      <c r="E77" s="11" t="str">
        <f>HYPERLINK("https://youtu.be/48lIkOiI1TE?t=3807","channel 3")</f>
        <v>channel 3</v>
      </c>
    </row>
    <row r="78">
      <c r="A78" s="141"/>
      <c r="B78" s="61" t="s">
        <v>3691</v>
      </c>
      <c r="C78" s="94" t="s">
        <v>158</v>
      </c>
      <c r="D78" s="61" t="s">
        <v>3690</v>
      </c>
      <c r="E78" s="11" t="str">
        <f>HYPERLINK("https://youtu.be/g_F2A3xeYwA?t=3899","channel 4")</f>
        <v>channel 4</v>
      </c>
    </row>
    <row r="79">
      <c r="A79" s="141"/>
      <c r="B79" s="61" t="s">
        <v>3690</v>
      </c>
      <c r="C79" s="94" t="s">
        <v>155</v>
      </c>
      <c r="D79" s="61" t="s">
        <v>3689</v>
      </c>
      <c r="E79" s="11" t="str">
        <f>HYPERLINK("https://youtu.be/48lIkOiI1TE?t=4832","channel 3")</f>
        <v>channel 3</v>
      </c>
    </row>
    <row r="80">
      <c r="A80" s="141"/>
      <c r="B80" s="61" t="s">
        <v>3691</v>
      </c>
      <c r="C80" s="94" t="s">
        <v>14</v>
      </c>
      <c r="D80" s="61" t="s">
        <v>3103</v>
      </c>
      <c r="E80" s="11" t="str">
        <f>HYPERLINK("https://youtu.be/g_F2A3xeYwA?t=4797","channel 4")</f>
        <v>channel 4</v>
      </c>
    </row>
    <row r="81">
      <c r="A81" s="141"/>
      <c r="B81" s="61" t="s">
        <v>3689</v>
      </c>
      <c r="C81" s="94" t="s">
        <v>210</v>
      </c>
      <c r="D81" s="61" t="s">
        <v>3665</v>
      </c>
      <c r="E81" s="11" t="str">
        <f>HYPERLINK("https://youtu.be/48lIkOiI1TE?t=6148","channel 3")</f>
        <v>channel 3</v>
      </c>
    </row>
    <row r="82">
      <c r="A82" s="141"/>
      <c r="B82" s="61" t="s">
        <v>3690</v>
      </c>
      <c r="C82" s="94" t="s">
        <v>525</v>
      </c>
      <c r="D82" s="61" t="s">
        <v>3103</v>
      </c>
      <c r="E82" s="11" t="str">
        <f>HYPERLINK("https://youtu.be/g_F2A3xeYwA?t=6143","channel 4")</f>
        <v>channel 4</v>
      </c>
    </row>
    <row r="83">
      <c r="A83" s="141"/>
      <c r="B83" s="61" t="s">
        <v>3691</v>
      </c>
      <c r="C83" s="94" t="s">
        <v>23</v>
      </c>
      <c r="D83" s="61" t="s">
        <v>3665</v>
      </c>
      <c r="E83" s="11" t="str">
        <f>HYPERLINK("https://youtu.be/48lIkOiI1TE?t=7070","channel 3")</f>
        <v>channel 3</v>
      </c>
    </row>
    <row r="84">
      <c r="A84" s="141"/>
      <c r="B84" s="61" t="s">
        <v>3689</v>
      </c>
      <c r="C84" s="94" t="s">
        <v>302</v>
      </c>
      <c r="D84" s="61" t="s">
        <v>3103</v>
      </c>
      <c r="E84" s="11" t="str">
        <f>HYPERLINK("https://youtu.be/g_F2A3xeYwA?t=7072","channel 4")</f>
        <v>channel 4</v>
      </c>
    </row>
    <row r="85">
      <c r="A85" s="141"/>
      <c r="B85" s="61" t="s">
        <v>3690</v>
      </c>
      <c r="C85" s="94" t="s">
        <v>302</v>
      </c>
      <c r="D85" s="61" t="s">
        <v>3665</v>
      </c>
      <c r="E85" s="11" t="str">
        <f>HYPERLINK("https://youtu.be/48lIkOiI1TE?t=7978","channel 3")</f>
        <v>channel 3</v>
      </c>
    </row>
    <row r="86">
      <c r="A86" s="141"/>
      <c r="B86" s="61" t="s">
        <v>3689</v>
      </c>
      <c r="C86" s="94" t="s">
        <v>17</v>
      </c>
      <c r="D86" s="61" t="s">
        <v>3691</v>
      </c>
      <c r="E86" s="11" t="str">
        <f>HYPERLINK("https://youtu.be/g_F2A3xeYwA?t=8009","channel 4")</f>
        <v>channel 4</v>
      </c>
    </row>
    <row r="87">
      <c r="A87" s="141"/>
      <c r="B87" s="61" t="s">
        <v>3103</v>
      </c>
      <c r="C87" s="94" t="s">
        <v>182</v>
      </c>
      <c r="D87" s="61" t="s">
        <v>3665</v>
      </c>
      <c r="E87" s="11" t="str">
        <f>HYPERLINK("https://youtu.be/48lIkOiI1TE?t=8867","channel 3")</f>
        <v>channel 3</v>
      </c>
    </row>
    <row r="88">
      <c r="A88" s="141"/>
      <c r="B88" s="61" t="s">
        <v>3690</v>
      </c>
      <c r="C88" s="94" t="s">
        <v>442</v>
      </c>
      <c r="D88" s="61" t="s">
        <v>3691</v>
      </c>
      <c r="E88" s="11" t="str">
        <f>HYPERLINK("https://youtu.be/g_F2A3xeYwA?t=8933","channel 4")</f>
        <v>channel 4</v>
      </c>
    </row>
    <row r="89">
      <c r="A89" s="141"/>
      <c r="B89" s="96" t="s">
        <v>3300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142" t="s">
        <v>2392</v>
      </c>
      <c r="C91" s="94" t="s">
        <v>464</v>
      </c>
      <c r="D91" s="61" t="s">
        <v>1416</v>
      </c>
      <c r="E91" s="11" t="str">
        <f>HYPERLINK("https://youtu.be/jgtVceaGZd0","channel 1")</f>
        <v>channel 1</v>
      </c>
    </row>
    <row r="92">
      <c r="A92" s="141"/>
      <c r="B92" s="61" t="s">
        <v>3692</v>
      </c>
      <c r="C92" s="94" t="s">
        <v>534</v>
      </c>
      <c r="D92" s="61" t="s">
        <v>3474</v>
      </c>
      <c r="E92" s="11" t="str">
        <f>HYPERLINK("https://youtu.be/grG2nbaX2UI","channel 2")</f>
        <v>channel 2</v>
      </c>
    </row>
    <row r="93">
      <c r="A93" s="141"/>
      <c r="B93" s="61" t="s">
        <v>3475</v>
      </c>
      <c r="C93" s="94" t="s">
        <v>477</v>
      </c>
      <c r="D93" s="61" t="s">
        <v>2392</v>
      </c>
      <c r="E93" s="11" t="str">
        <f>HYPERLINK("https://youtu.be/jgtVceaGZd0?t=1034","channel 1")</f>
        <v>channel 1</v>
      </c>
    </row>
    <row r="94">
      <c r="A94" s="141"/>
      <c r="B94" s="61" t="s">
        <v>3692</v>
      </c>
      <c r="C94" s="94" t="s">
        <v>158</v>
      </c>
      <c r="D94" s="61" t="s">
        <v>1416</v>
      </c>
      <c r="E94" s="11" t="str">
        <f>HYPERLINK("https://youtu.be/grG2nbaX2UI?t=1049","channel 2")</f>
        <v>channel 2</v>
      </c>
    </row>
    <row r="95">
      <c r="A95" s="141"/>
      <c r="B95" s="61" t="s">
        <v>3475</v>
      </c>
      <c r="C95" s="94" t="s">
        <v>380</v>
      </c>
      <c r="D95" s="61" t="s">
        <v>3474</v>
      </c>
      <c r="E95" s="11" t="str">
        <f>HYPERLINK("https://youtu.be/jgtVceaGZd0?t=1968","channel 1")</f>
        <v>channel 1</v>
      </c>
    </row>
    <row r="96">
      <c r="A96" s="141"/>
      <c r="B96" s="61" t="s">
        <v>3692</v>
      </c>
      <c r="C96" s="94" t="s">
        <v>362</v>
      </c>
      <c r="D96" s="61" t="s">
        <v>2392</v>
      </c>
      <c r="E96" s="11" t="str">
        <f>HYPERLINK("https://youtu.be/grG2nbaX2UI?t=1960","channel 2")</f>
        <v>channel 2</v>
      </c>
    </row>
    <row r="97">
      <c r="A97" s="141"/>
      <c r="B97" s="61" t="s">
        <v>3475</v>
      </c>
      <c r="C97" s="94" t="s">
        <v>16</v>
      </c>
      <c r="D97" s="61" t="s">
        <v>1416</v>
      </c>
      <c r="E97" s="11" t="str">
        <f>HYPERLINK("https://youtu.be/jgtVceaGZd0?t=2904","channel 1")</f>
        <v>channel 1</v>
      </c>
    </row>
    <row r="98">
      <c r="A98" s="141"/>
      <c r="B98" s="61" t="s">
        <v>3474</v>
      </c>
      <c r="C98" s="94" t="s">
        <v>1242</v>
      </c>
      <c r="D98" s="61" t="s">
        <v>2392</v>
      </c>
      <c r="E98" s="11" t="str">
        <f>HYPERLINK("https://youtu.be/grG2nbaX2UI?t=2913","channel 2")</f>
        <v>channel 2</v>
      </c>
    </row>
    <row r="99">
      <c r="A99" s="141"/>
      <c r="B99" s="61" t="s">
        <v>3475</v>
      </c>
      <c r="C99" s="94" t="s">
        <v>344</v>
      </c>
      <c r="D99" s="61" t="s">
        <v>3692</v>
      </c>
      <c r="E99" s="11" t="str">
        <f>HYPERLINK("https://youtu.be/jgtVceaGZd0?t=3856","channel 1")</f>
        <v>channel 1</v>
      </c>
    </row>
    <row r="100">
      <c r="A100" s="141"/>
      <c r="B100" s="61" t="s">
        <v>3474</v>
      </c>
      <c r="C100" s="94" t="s">
        <v>193</v>
      </c>
      <c r="D100" s="61" t="s">
        <v>1416</v>
      </c>
      <c r="E100" s="11" t="str">
        <f>HYPERLINK("https://youtu.be/grG2nbaX2UI?t=3843","channel 2")</f>
        <v>channel 2</v>
      </c>
    </row>
    <row r="101">
      <c r="A101" s="141"/>
      <c r="B101" s="61" t="s">
        <v>1416</v>
      </c>
      <c r="C101" s="94" t="s">
        <v>16</v>
      </c>
      <c r="D101" s="61" t="s">
        <v>2392</v>
      </c>
      <c r="E101" s="11" t="str">
        <f>HYPERLINK("https://youtu.be/jgtVceaGZd0?t=4876","channel 1")</f>
        <v>channel 1</v>
      </c>
    </row>
    <row r="102">
      <c r="A102" s="141"/>
      <c r="B102" s="61" t="s">
        <v>3474</v>
      </c>
      <c r="C102" s="94" t="s">
        <v>394</v>
      </c>
      <c r="D102" s="61" t="s">
        <v>3692</v>
      </c>
      <c r="E102" s="11" t="str">
        <f>HYPERLINK("https://youtu.be/grG2nbaX2UI?t=4884","channel 2")</f>
        <v>channel 2</v>
      </c>
    </row>
    <row r="103">
      <c r="A103" s="141"/>
      <c r="B103" s="61" t="s">
        <v>2392</v>
      </c>
      <c r="C103" s="94" t="s">
        <v>24</v>
      </c>
      <c r="D103" s="61" t="s">
        <v>3475</v>
      </c>
      <c r="E103" s="11" t="str">
        <f>HYPERLINK("https://youtu.be/jgtVceaGZd0?t=5781","channel 1")</f>
        <v>channel 1</v>
      </c>
    </row>
    <row r="104">
      <c r="A104" s="141"/>
      <c r="B104" s="61" t="s">
        <v>1416</v>
      </c>
      <c r="C104" s="94" t="s">
        <v>549</v>
      </c>
      <c r="D104" s="61" t="s">
        <v>3692</v>
      </c>
      <c r="E104" s="11" t="str">
        <f>HYPERLINK("https://youtu.be/grG2nbaX2UI?t=5814","channel 2")</f>
        <v>channel 2</v>
      </c>
    </row>
    <row r="105">
      <c r="A105" s="141"/>
      <c r="B105" s="61" t="s">
        <v>3474</v>
      </c>
      <c r="C105" s="94" t="s">
        <v>22</v>
      </c>
      <c r="D105" s="61" t="s">
        <v>3475</v>
      </c>
      <c r="E105" s="11" t="str">
        <f>HYPERLINK("https://youtu.be/jgtVceaGZd0?t=6725","channel 1")</f>
        <v>channel 1</v>
      </c>
    </row>
    <row r="106">
      <c r="A106" s="141"/>
      <c r="B106" s="61" t="s">
        <v>2392</v>
      </c>
      <c r="C106" s="94" t="s">
        <v>3693</v>
      </c>
      <c r="D106" s="61" t="s">
        <v>3692</v>
      </c>
      <c r="E106" s="11" t="str">
        <f>HYPERLINK("https://youtu.be/grG2nbaX2UI?t=6729","channel 2")</f>
        <v>channel 2</v>
      </c>
    </row>
    <row r="107">
      <c r="A107" s="141"/>
      <c r="B107" s="61" t="s">
        <v>1416</v>
      </c>
      <c r="C107" s="94" t="s">
        <v>43</v>
      </c>
      <c r="D107" s="61" t="s">
        <v>3475</v>
      </c>
      <c r="E107" s="11" t="str">
        <f>HYPERLINK("https://youtu.be/jgtVceaGZd0?t=7658","channel 1")</f>
        <v>channel 1</v>
      </c>
    </row>
    <row r="108">
      <c r="A108" s="141"/>
      <c r="B108" s="61" t="s">
        <v>2392</v>
      </c>
      <c r="C108" s="94" t="s">
        <v>173</v>
      </c>
      <c r="D108" s="61" t="s">
        <v>3474</v>
      </c>
      <c r="E108" s="11" t="str">
        <f>HYPERLINK("https://youtu.be/grG2nbaX2UI?t=7644","channel 2")</f>
        <v>channel 2</v>
      </c>
    </row>
    <row r="109">
      <c r="A109" s="141"/>
      <c r="B109" s="61" t="s">
        <v>3692</v>
      </c>
      <c r="C109" s="94" t="s">
        <v>21</v>
      </c>
      <c r="D109" s="61" t="s">
        <v>3475</v>
      </c>
      <c r="E109" s="11" t="str">
        <f>HYPERLINK("https://youtu.be/jgtVceaGZd0?t=8541","channel 1")</f>
        <v>channel 1</v>
      </c>
    </row>
    <row r="110">
      <c r="A110" s="141"/>
      <c r="B110" s="61" t="s">
        <v>1416</v>
      </c>
      <c r="C110" s="94" t="s">
        <v>220</v>
      </c>
      <c r="D110" s="61" t="s">
        <v>3474</v>
      </c>
      <c r="E110" s="11" t="str">
        <f>HYPERLINK("https://youtu.be/grG2nbaX2UI?t=8607","channel 2")</f>
        <v>channel 2</v>
      </c>
    </row>
    <row r="111">
      <c r="A111" s="141"/>
      <c r="B111" s="96" t="s">
        <v>1560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3694</v>
      </c>
      <c r="C113" s="94" t="s">
        <v>23</v>
      </c>
      <c r="D113" s="61" t="s">
        <v>3695</v>
      </c>
      <c r="E113" s="11" t="str">
        <f>HYPERLINK("https://youtu.be/ahnah1LVYGc","channel 1")</f>
        <v>channel 1</v>
      </c>
    </row>
    <row r="114">
      <c r="A114" s="141"/>
      <c r="B114" s="61" t="s">
        <v>3696</v>
      </c>
      <c r="C114" s="94" t="s">
        <v>718</v>
      </c>
      <c r="D114" s="61" t="s">
        <v>3697</v>
      </c>
      <c r="E114" s="11" t="str">
        <f>HYPERLINK("https://youtu.be/2O_Kh1vfcIY","channel 2")</f>
        <v>channel 2</v>
      </c>
    </row>
    <row r="115">
      <c r="A115" s="141"/>
      <c r="B115" s="61" t="s">
        <v>1355</v>
      </c>
      <c r="C115" s="94" t="s">
        <v>945</v>
      </c>
      <c r="D115" s="61" t="s">
        <v>3694</v>
      </c>
      <c r="E115" s="11" t="str">
        <f>HYPERLINK("https://youtu.be/ahnah1LVYGc?t=1169","channel 1")</f>
        <v>channel 1</v>
      </c>
    </row>
    <row r="116">
      <c r="A116" s="141"/>
      <c r="B116" s="61" t="s">
        <v>3696</v>
      </c>
      <c r="C116" s="94" t="s">
        <v>158</v>
      </c>
      <c r="D116" s="61" t="s">
        <v>3695</v>
      </c>
      <c r="E116" s="11" t="str">
        <f>HYPERLINK("https://youtu.be/2O_Kh1vfcIY?t=1116","channel 2")</f>
        <v>channel 2</v>
      </c>
    </row>
    <row r="117">
      <c r="A117" s="141"/>
      <c r="B117" s="61" t="s">
        <v>1355</v>
      </c>
      <c r="C117" s="94" t="s">
        <v>248</v>
      </c>
      <c r="D117" s="61" t="s">
        <v>3697</v>
      </c>
      <c r="E117" s="11" t="str">
        <f>HYPERLINK("https://youtu.be/ahnah1LVYGc?t=2137","channel 1")</f>
        <v>channel 1</v>
      </c>
    </row>
    <row r="118">
      <c r="A118" s="141"/>
      <c r="B118" s="61" t="s">
        <v>3696</v>
      </c>
      <c r="C118" s="94" t="s">
        <v>173</v>
      </c>
      <c r="D118" s="61" t="s">
        <v>3694</v>
      </c>
      <c r="E118" s="11" t="str">
        <f>HYPERLINK("https://youtu.be/2O_Kh1vfcIY?t=2057","channel 2")</f>
        <v>channel 2</v>
      </c>
    </row>
    <row r="119">
      <c r="A119" s="141"/>
      <c r="B119" s="61" t="s">
        <v>1355</v>
      </c>
      <c r="C119" s="94" t="s">
        <v>290</v>
      </c>
      <c r="D119" s="61" t="s">
        <v>3695</v>
      </c>
      <c r="E119" s="11" t="str">
        <f>HYPERLINK("https://youtu.be/ahnah1LVYGc?t=3035","channel 1")</f>
        <v>channel 1</v>
      </c>
    </row>
    <row r="120">
      <c r="A120" s="141"/>
      <c r="B120" s="61" t="s">
        <v>3697</v>
      </c>
      <c r="C120" s="94" t="s">
        <v>1701</v>
      </c>
      <c r="D120" s="61" t="s">
        <v>3694</v>
      </c>
      <c r="E120" s="11" t="str">
        <f>HYPERLINK("https://youtu.be/2O_Kh1vfcIY?t=3018","channel 2")</f>
        <v>channel 2</v>
      </c>
    </row>
    <row r="121">
      <c r="A121" s="141"/>
      <c r="B121" s="61" t="s">
        <v>1355</v>
      </c>
      <c r="C121" s="94" t="s">
        <v>301</v>
      </c>
      <c r="D121" s="61" t="s">
        <v>3696</v>
      </c>
      <c r="E121" s="11" t="str">
        <f>HYPERLINK("https://youtu.be/ahnah1LVYGc?t=3980","channel 1")</f>
        <v>channel 1</v>
      </c>
    </row>
    <row r="122">
      <c r="A122" s="141"/>
      <c r="B122" s="61" t="s">
        <v>3697</v>
      </c>
      <c r="C122" s="94" t="s">
        <v>43</v>
      </c>
      <c r="D122" s="61" t="s">
        <v>3695</v>
      </c>
      <c r="E122" s="11" t="str">
        <f>HYPERLINK("https://youtu.be/2O_Kh1vfcIY?t=3961","channel 2")</f>
        <v>channel 2</v>
      </c>
    </row>
    <row r="123">
      <c r="A123" s="141"/>
      <c r="B123" s="61" t="s">
        <v>3695</v>
      </c>
      <c r="C123" s="94" t="s">
        <v>979</v>
      </c>
      <c r="D123" s="61" t="s">
        <v>3694</v>
      </c>
      <c r="E123" s="11" t="str">
        <f>HYPERLINK("https://youtu.be/ahnah1LVYGc?t=4943","channel 1")</f>
        <v>channel 1</v>
      </c>
    </row>
    <row r="124">
      <c r="A124" s="141"/>
      <c r="B124" s="61" t="s">
        <v>3697</v>
      </c>
      <c r="C124" s="94" t="s">
        <v>14</v>
      </c>
      <c r="D124" s="61" t="s">
        <v>3696</v>
      </c>
      <c r="E124" s="11" t="str">
        <f>HYPERLINK("https://youtu.be/2O_Kh1vfcIY?t=4870","channel 2")</f>
        <v>channel 2</v>
      </c>
    </row>
    <row r="125">
      <c r="A125" s="141"/>
      <c r="B125" s="61" t="s">
        <v>3694</v>
      </c>
      <c r="C125" s="94" t="s">
        <v>1059</v>
      </c>
      <c r="D125" s="61" t="s">
        <v>1355</v>
      </c>
      <c r="E125" s="11" t="str">
        <f>HYPERLINK("https://youtu.be/ahnah1LVYGc?t=5856","channel 1")</f>
        <v>channel 1</v>
      </c>
    </row>
    <row r="126">
      <c r="A126" s="141"/>
      <c r="B126" s="61" t="s">
        <v>3695</v>
      </c>
      <c r="C126" s="94" t="s">
        <v>7</v>
      </c>
      <c r="D126" s="61" t="s">
        <v>3696</v>
      </c>
      <c r="E126" s="11" t="str">
        <f>HYPERLINK("https://youtu.be/2O_Kh1vfcIY?t=5820","channel 2")</f>
        <v>channel 2</v>
      </c>
    </row>
    <row r="127">
      <c r="A127" s="141"/>
      <c r="B127" s="61" t="s">
        <v>3697</v>
      </c>
      <c r="C127" s="94" t="s">
        <v>251</v>
      </c>
      <c r="D127" s="61" t="s">
        <v>1355</v>
      </c>
      <c r="E127" s="11" t="str">
        <f>HYPERLINK("https://youtu.be/ahnah1LVYGc?t=6795","channel 1")</f>
        <v>channel 1</v>
      </c>
    </row>
    <row r="128">
      <c r="A128" s="141"/>
      <c r="B128" s="61" t="s">
        <v>3694</v>
      </c>
      <c r="C128" s="94" t="s">
        <v>245</v>
      </c>
      <c r="D128" s="61" t="s">
        <v>3696</v>
      </c>
      <c r="E128" s="11" t="str">
        <f>HYPERLINK("https://youtu.be/2O_Kh1vfcIY?t=6729","channel 2")</f>
        <v>channel 2</v>
      </c>
    </row>
    <row r="129">
      <c r="A129" s="141"/>
      <c r="B129" s="61" t="s">
        <v>3695</v>
      </c>
      <c r="C129" s="94" t="s">
        <v>718</v>
      </c>
      <c r="D129" s="61" t="s">
        <v>1355</v>
      </c>
      <c r="E129" s="11" t="str">
        <f>HYPERLINK("https://youtu.be/ahnah1LVYGc?t=7738","channel 1")</f>
        <v>channel 1</v>
      </c>
    </row>
    <row r="130">
      <c r="A130" s="141"/>
      <c r="B130" s="61" t="s">
        <v>3694</v>
      </c>
      <c r="C130" s="94" t="s">
        <v>155</v>
      </c>
      <c r="D130" s="61" t="s">
        <v>3697</v>
      </c>
      <c r="E130" s="11" t="str">
        <f>HYPERLINK("https://youtu.be/2O_Kh1vfcIY?t=7689","channel 2")</f>
        <v>channel 2</v>
      </c>
    </row>
    <row r="131">
      <c r="A131" s="141"/>
      <c r="B131" s="61" t="s">
        <v>3696</v>
      </c>
      <c r="C131" s="94" t="s">
        <v>324</v>
      </c>
      <c r="D131" s="61" t="s">
        <v>1355</v>
      </c>
      <c r="E131" s="11" t="str">
        <f>HYPERLINK("https://youtu.be/ahnah1LVYGc?t=8705","channel 1")</f>
        <v>channel 1</v>
      </c>
    </row>
    <row r="132">
      <c r="A132" s="145"/>
      <c r="B132" s="61" t="s">
        <v>3695</v>
      </c>
      <c r="C132" s="94" t="s">
        <v>354</v>
      </c>
      <c r="D132" s="61" t="s">
        <v>3697</v>
      </c>
      <c r="E132" s="11" t="str">
        <f>HYPERLINK("https://youtu.be/2O_Kh1vfcIY?t=8597","channel 2")</f>
        <v>channel 2</v>
      </c>
    </row>
    <row r="133">
      <c r="B133" s="96" t="s">
        <v>3083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3242</v>
      </c>
      <c r="C135" s="94" t="s">
        <v>41</v>
      </c>
      <c r="D135" s="61" t="s">
        <v>3698</v>
      </c>
      <c r="E135" s="11" t="str">
        <f>HYPERLINK("https://youtu.be/aq3a90lgBjk","channel 3")</f>
        <v>channel 3</v>
      </c>
    </row>
    <row r="136">
      <c r="B136" s="62" t="s">
        <v>2501</v>
      </c>
      <c r="C136" s="94" t="s">
        <v>194</v>
      </c>
      <c r="D136" s="62" t="s">
        <v>2058</v>
      </c>
      <c r="E136" s="11" t="str">
        <f>HYPERLINK("https://youtu.be/gKhXxF6Rfxk","channel 4")</f>
        <v>channel 4</v>
      </c>
    </row>
    <row r="137">
      <c r="B137" s="62" t="s">
        <v>2829</v>
      </c>
      <c r="C137" s="94" t="s">
        <v>594</v>
      </c>
      <c r="D137" s="62" t="s">
        <v>3242</v>
      </c>
      <c r="E137" s="11" t="str">
        <f>HYPERLINK("https://youtu.be/aq3a90lgBjk?t=938","channel 3")</f>
        <v>channel 3</v>
      </c>
    </row>
    <row r="138">
      <c r="B138" s="62" t="s">
        <v>2501</v>
      </c>
      <c r="C138" s="94" t="s">
        <v>193</v>
      </c>
      <c r="D138" s="61" t="s">
        <v>3698</v>
      </c>
      <c r="E138" s="11" t="str">
        <f>HYPERLINK("https://youtu.be/gKhXxF6Rfxk?t=968","channel 4")</f>
        <v>channel 4</v>
      </c>
    </row>
    <row r="139">
      <c r="B139" s="62" t="s">
        <v>2829</v>
      </c>
      <c r="C139" s="94" t="s">
        <v>41</v>
      </c>
      <c r="D139" s="62" t="s">
        <v>2058</v>
      </c>
      <c r="E139" s="11" t="str">
        <f>HYPERLINK("https://youtu.be/aq3a90lgBjk?t=1878","channel 3")</f>
        <v>channel 3</v>
      </c>
    </row>
    <row r="140">
      <c r="B140" s="62" t="s">
        <v>2501</v>
      </c>
      <c r="C140" s="94" t="s">
        <v>463</v>
      </c>
      <c r="D140" s="62" t="s">
        <v>3242</v>
      </c>
      <c r="E140" s="11" t="str">
        <f>HYPERLINK("https://youtu.be/gKhXxF6Rfxk?t=1953","channel 4")</f>
        <v>channel 4</v>
      </c>
    </row>
    <row r="141">
      <c r="B141" s="62" t="s">
        <v>2829</v>
      </c>
      <c r="C141" s="94" t="s">
        <v>250</v>
      </c>
      <c r="D141" s="61" t="s">
        <v>3698</v>
      </c>
      <c r="E141" s="11" t="str">
        <f>HYPERLINK("https://youtu.be/aq3a90lgBjk?t=2778","channel 3")</f>
        <v>channel 3</v>
      </c>
    </row>
    <row r="142">
      <c r="B142" s="62" t="s">
        <v>2058</v>
      </c>
      <c r="C142" s="94" t="s">
        <v>158</v>
      </c>
      <c r="D142" s="62" t="s">
        <v>3242</v>
      </c>
      <c r="E142" s="11" t="str">
        <f>HYPERLINK("https://youtu.be/gKhXxF6Rfxk?t=3012","channel 4")</f>
        <v>channel 4</v>
      </c>
    </row>
    <row r="143">
      <c r="B143" s="62" t="s">
        <v>2829</v>
      </c>
      <c r="C143" s="94" t="s">
        <v>233</v>
      </c>
      <c r="D143" s="62" t="s">
        <v>2501</v>
      </c>
      <c r="E143" s="11" t="str">
        <f>HYPERLINK("https://youtu.be/aq3a90lgBjk?t=3748","channel 3")</f>
        <v>channel 3</v>
      </c>
    </row>
    <row r="144">
      <c r="B144" s="62" t="s">
        <v>2058</v>
      </c>
      <c r="C144" s="94" t="s">
        <v>271</v>
      </c>
      <c r="D144" s="61" t="s">
        <v>3698</v>
      </c>
      <c r="E144" s="11" t="str">
        <f>HYPERLINK("https://youtu.be/gKhXxF6Rfxk?t=3908","channel 4")</f>
        <v>channel 4</v>
      </c>
    </row>
    <row r="145">
      <c r="B145" s="61" t="s">
        <v>3698</v>
      </c>
      <c r="C145" s="94" t="s">
        <v>39</v>
      </c>
      <c r="D145" s="62" t="s">
        <v>3242</v>
      </c>
      <c r="E145" s="11" t="str">
        <f>HYPERLINK("https://youtu.be/aq3a90lgBjk?t=4713","channel 3")</f>
        <v>channel 3</v>
      </c>
    </row>
    <row r="146">
      <c r="B146" s="62" t="s">
        <v>2058</v>
      </c>
      <c r="C146" s="94" t="s">
        <v>173</v>
      </c>
      <c r="D146" s="62" t="s">
        <v>2501</v>
      </c>
      <c r="E146" s="11" t="str">
        <f>HYPERLINK("https://youtu.be/gKhXxF6Rfxk?t=4959","channel 4")</f>
        <v>channel 4</v>
      </c>
    </row>
    <row r="147">
      <c r="B147" s="62" t="s">
        <v>3242</v>
      </c>
      <c r="C147" s="94" t="s">
        <v>362</v>
      </c>
      <c r="D147" s="62" t="s">
        <v>2829</v>
      </c>
      <c r="E147" s="11" t="str">
        <f>HYPERLINK("https://youtu.be/aq3a90lgBjk?t=5710","channel 3")</f>
        <v>channel 3</v>
      </c>
    </row>
    <row r="148">
      <c r="B148" s="61" t="s">
        <v>3698</v>
      </c>
      <c r="C148" s="94" t="s">
        <v>354</v>
      </c>
      <c r="D148" s="62" t="s">
        <v>2501</v>
      </c>
      <c r="E148" s="11" t="str">
        <f>HYPERLINK("https://youtu.be/gKhXxF6Rfxk?t=5792","channel 4")</f>
        <v>channel 4</v>
      </c>
    </row>
    <row r="149">
      <c r="B149" s="62" t="s">
        <v>2058</v>
      </c>
      <c r="C149" s="94" t="s">
        <v>239</v>
      </c>
      <c r="D149" s="62" t="s">
        <v>2829</v>
      </c>
      <c r="E149" s="11" t="str">
        <f>HYPERLINK("https://youtu.be/aq3a90lgBjk?t=6714","channel 3")</f>
        <v>channel 3</v>
      </c>
    </row>
    <row r="150">
      <c r="B150" s="62" t="s">
        <v>3242</v>
      </c>
      <c r="C150" s="94" t="s">
        <v>17</v>
      </c>
      <c r="D150" s="62" t="s">
        <v>2501</v>
      </c>
      <c r="E150" s="11" t="str">
        <f>HYPERLINK("https://youtu.be/gKhXxF6Rfxk?t=6648","channel 4")</f>
        <v>channel 4</v>
      </c>
    </row>
    <row r="151">
      <c r="B151" s="61" t="s">
        <v>3698</v>
      </c>
      <c r="C151" s="94" t="s">
        <v>231</v>
      </c>
      <c r="D151" s="62" t="s">
        <v>2829</v>
      </c>
      <c r="E151" s="11" t="str">
        <f>HYPERLINK("https://youtu.be/aq3a90lgBjk?t=7705","channel 3")</f>
        <v>channel 3</v>
      </c>
    </row>
    <row r="152">
      <c r="B152" s="62" t="s">
        <v>3242</v>
      </c>
      <c r="C152" s="94" t="s">
        <v>366</v>
      </c>
      <c r="D152" s="62" t="s">
        <v>2058</v>
      </c>
      <c r="E152" s="11" t="str">
        <f>HYPERLINK("https://youtu.be/gKhXxF6Rfxk?t=7617","channel 4")</f>
        <v>channel 4</v>
      </c>
    </row>
    <row r="153">
      <c r="B153" s="62" t="s">
        <v>2501</v>
      </c>
      <c r="C153" s="94" t="s">
        <v>301</v>
      </c>
      <c r="D153" s="62" t="s">
        <v>2829</v>
      </c>
      <c r="E153" s="11" t="str">
        <f>HYPERLINK("https://youtu.be/aq3a90lgBjk?t=8601","channel 3")</f>
        <v>channel 3</v>
      </c>
    </row>
    <row r="154">
      <c r="B154" s="61" t="s">
        <v>3698</v>
      </c>
      <c r="C154" s="94" t="s">
        <v>18</v>
      </c>
      <c r="D154" s="62" t="s">
        <v>2058</v>
      </c>
      <c r="E154" s="11" t="str">
        <f>HYPERLINK("https://youtu.be/gKhXxF6Rfxk?t=8530","channel 4")</f>
        <v>channel 4</v>
      </c>
    </row>
    <row r="155">
      <c r="B155" s="96" t="s">
        <v>2670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0" t="s">
        <v>3699</v>
      </c>
      <c r="C157" s="94" t="s">
        <v>158</v>
      </c>
      <c r="D157" s="61" t="s">
        <v>3700</v>
      </c>
      <c r="E157" s="11" t="str">
        <f>HYPERLINK("https://youtu.be/uEbVnzA8If0","channel 3")</f>
        <v>channel 3</v>
      </c>
    </row>
    <row r="158">
      <c r="B158" s="61" t="s">
        <v>1365</v>
      </c>
      <c r="C158" s="94" t="s">
        <v>271</v>
      </c>
      <c r="D158" s="62" t="s">
        <v>3701</v>
      </c>
      <c r="E158" s="11" t="str">
        <f>HYPERLINK("https://youtu.be/G1pPLB-f238","channel 4")</f>
        <v>channel 4</v>
      </c>
    </row>
    <row r="159">
      <c r="B159" s="62" t="s">
        <v>3702</v>
      </c>
      <c r="C159" s="94" t="s">
        <v>220</v>
      </c>
      <c r="D159" s="62" t="s">
        <v>3699</v>
      </c>
      <c r="E159" s="11" t="str">
        <f>HYPERLINK("https://youtu.be/uEbVnzA8If0?t=1046","channel 3")</f>
        <v>channel 3</v>
      </c>
    </row>
    <row r="160">
      <c r="B160" s="61" t="s">
        <v>1365</v>
      </c>
      <c r="C160" s="94" t="s">
        <v>155</v>
      </c>
      <c r="D160" s="61" t="s">
        <v>3700</v>
      </c>
      <c r="E160" s="11" t="str">
        <f>HYPERLINK("https://youtu.be/G1pPLB-f238?t=1173","channel 4")</f>
        <v>channel 4</v>
      </c>
    </row>
    <row r="161">
      <c r="B161" s="62" t="s">
        <v>3702</v>
      </c>
      <c r="C161" s="94" t="s">
        <v>3046</v>
      </c>
      <c r="D161" s="62" t="s">
        <v>3701</v>
      </c>
      <c r="E161" s="11" t="str">
        <f>HYPERLINK("https://youtu.be/uEbVnzA8If0?t=1997","channel 3")</f>
        <v>channel 3</v>
      </c>
    </row>
    <row r="162">
      <c r="B162" s="61" t="s">
        <v>1365</v>
      </c>
      <c r="C162" s="94" t="s">
        <v>196</v>
      </c>
      <c r="D162" s="62" t="s">
        <v>3699</v>
      </c>
      <c r="E162" s="11" t="str">
        <f>HYPERLINK("https://youtu.be/G1pPLB-f238?t=2018","channel 4")</f>
        <v>channel 4</v>
      </c>
    </row>
    <row r="163">
      <c r="B163" s="62" t="s">
        <v>3702</v>
      </c>
      <c r="C163" s="94" t="s">
        <v>404</v>
      </c>
      <c r="D163" s="61" t="s">
        <v>3700</v>
      </c>
      <c r="E163" s="11" t="str">
        <f>HYPERLINK("https://youtu.be/uEbVnzA8If0?t=3019","channel 3")</f>
        <v>channel 3</v>
      </c>
    </row>
    <row r="164">
      <c r="B164" s="62" t="s">
        <v>3701</v>
      </c>
      <c r="C164" s="94" t="s">
        <v>487</v>
      </c>
      <c r="D164" s="62" t="s">
        <v>3699</v>
      </c>
      <c r="E164" s="11" t="str">
        <f>HYPERLINK("https://youtu.be/G1pPLB-f238?t=2902","channel 4")</f>
        <v>channel 4</v>
      </c>
    </row>
    <row r="165">
      <c r="B165" s="62" t="s">
        <v>3702</v>
      </c>
      <c r="C165" s="94" t="s">
        <v>316</v>
      </c>
      <c r="D165" s="61" t="s">
        <v>1365</v>
      </c>
      <c r="E165" s="11" t="str">
        <f>HYPERLINK("https://youtu.be/uEbVnzA8If0?t=3908","channel 3")</f>
        <v>channel 3</v>
      </c>
    </row>
    <row r="166">
      <c r="B166" s="62" t="s">
        <v>3701</v>
      </c>
      <c r="C166" s="94" t="s">
        <v>732</v>
      </c>
      <c r="D166" s="61" t="s">
        <v>3700</v>
      </c>
      <c r="E166" s="11" t="str">
        <f>HYPERLINK("https://youtu.be/G1pPLB-f238?t=3782","channel 4")</f>
        <v>channel 4</v>
      </c>
    </row>
    <row r="167">
      <c r="B167" s="61" t="s">
        <v>3700</v>
      </c>
      <c r="C167" s="94" t="s">
        <v>158</v>
      </c>
      <c r="D167" s="62" t="s">
        <v>3699</v>
      </c>
      <c r="E167" s="11" t="str">
        <f>HYPERLINK("https://youtu.be/uEbVnzA8If0?t=4821","channel 3")</f>
        <v>channel 3</v>
      </c>
    </row>
    <row r="168">
      <c r="B168" s="62" t="s">
        <v>3701</v>
      </c>
      <c r="C168" s="94" t="s">
        <v>17</v>
      </c>
      <c r="D168" s="61" t="s">
        <v>1365</v>
      </c>
      <c r="E168" s="11" t="str">
        <f>HYPERLINK("https://youtu.be/G1pPLB-f238?t=4775","channel 4")</f>
        <v>channel 4</v>
      </c>
    </row>
    <row r="169">
      <c r="B169" s="62" t="s">
        <v>3699</v>
      </c>
      <c r="C169" s="94" t="s">
        <v>573</v>
      </c>
      <c r="D169" s="62" t="s">
        <v>3702</v>
      </c>
      <c r="E169" s="11" t="str">
        <f>HYPERLINK("https://youtu.be/uEbVnzA8If0?t=5768","channel 3")</f>
        <v>channel 3</v>
      </c>
    </row>
    <row r="170">
      <c r="B170" s="61" t="s">
        <v>3700</v>
      </c>
      <c r="C170" s="94" t="s">
        <v>449</v>
      </c>
      <c r="D170" s="61" t="s">
        <v>1365</v>
      </c>
      <c r="E170" s="11" t="str">
        <f>HYPERLINK("https://youtu.be/G1pPLB-f238?t=5723","channel 4")</f>
        <v>channel 4</v>
      </c>
    </row>
    <row r="171">
      <c r="B171" s="62" t="s">
        <v>3701</v>
      </c>
      <c r="C171" s="94" t="s">
        <v>193</v>
      </c>
      <c r="D171" s="62" t="s">
        <v>3702</v>
      </c>
      <c r="E171" s="11" t="str">
        <f>HYPERLINK("https://youtu.be/uEbVnzA8If0?t=6704","channel 3")</f>
        <v>channel 3</v>
      </c>
    </row>
    <row r="172">
      <c r="B172" s="62" t="s">
        <v>3699</v>
      </c>
      <c r="C172" s="94" t="s">
        <v>292</v>
      </c>
      <c r="D172" s="61" t="s">
        <v>1365</v>
      </c>
      <c r="E172" s="11" t="str">
        <f>HYPERLINK("https://youtu.be/G1pPLB-f238?t=6660","channel 4")</f>
        <v>channel 4</v>
      </c>
    </row>
    <row r="173">
      <c r="B173" s="61" t="s">
        <v>3700</v>
      </c>
      <c r="C173" s="94" t="s">
        <v>250</v>
      </c>
      <c r="D173" s="62" t="s">
        <v>3702</v>
      </c>
      <c r="E173" s="11" t="str">
        <f>HYPERLINK("https://youtu.be/uEbVnzA8If0?t=7615","channel 3")</f>
        <v>channel 3</v>
      </c>
    </row>
    <row r="174">
      <c r="B174" s="62" t="s">
        <v>3699</v>
      </c>
      <c r="C174" s="94" t="s">
        <v>534</v>
      </c>
      <c r="D174" s="62" t="s">
        <v>3701</v>
      </c>
      <c r="E174" s="11" t="str">
        <f>HYPERLINK("https://youtu.be/G1pPLB-f238?t=7576","channel 4")</f>
        <v>channel 4</v>
      </c>
    </row>
    <row r="175">
      <c r="B175" s="61" t="s">
        <v>1365</v>
      </c>
      <c r="C175" s="94" t="s">
        <v>34</v>
      </c>
      <c r="D175" s="62" t="s">
        <v>3702</v>
      </c>
      <c r="E175" s="11" t="str">
        <f>HYPERLINK("https://youtu.be/uEbVnzA8If0?t=8508","channel 3")</f>
        <v>channel 3</v>
      </c>
    </row>
    <row r="176">
      <c r="B176" s="61" t="s">
        <v>3700</v>
      </c>
      <c r="C176" s="94" t="s">
        <v>3703</v>
      </c>
      <c r="D176" s="62" t="s">
        <v>3701</v>
      </c>
      <c r="E176" s="11" t="str">
        <f>HYPERLINK("https://youtu.be/G1pPLB-f238?t=8488","channel 4")</f>
        <v>channel 4</v>
      </c>
    </row>
    <row r="177">
      <c r="B177" s="96" t="s">
        <v>2495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1191</v>
      </c>
      <c r="C179" s="94" t="s">
        <v>459</v>
      </c>
      <c r="D179" s="62" t="s">
        <v>1385</v>
      </c>
      <c r="E179" s="11" t="str">
        <f>HYPERLINK("https://youtu.be/FWCIJxkhOf4","channel 1")</f>
        <v>channel 1</v>
      </c>
    </row>
    <row r="180">
      <c r="B180" s="62" t="s">
        <v>1696</v>
      </c>
      <c r="C180" s="94" t="s">
        <v>250</v>
      </c>
      <c r="D180" s="62" t="s">
        <v>2472</v>
      </c>
      <c r="E180" s="11" t="str">
        <f>HYPERLINK("https://youtu.be/0V2_P_xr3xs","channel 2")</f>
        <v>channel 2</v>
      </c>
    </row>
    <row r="181">
      <c r="B181" s="62" t="s">
        <v>1694</v>
      </c>
      <c r="C181" s="94" t="s">
        <v>248</v>
      </c>
      <c r="D181" s="62" t="s">
        <v>1191</v>
      </c>
      <c r="E181" s="11" t="str">
        <f>HYPERLINK("https://youtu.be/FWCIJxkhOf4?t=954","channel 1")</f>
        <v>channel 1</v>
      </c>
    </row>
    <row r="182">
      <c r="B182" s="62" t="s">
        <v>1696</v>
      </c>
      <c r="C182" s="94" t="s">
        <v>158</v>
      </c>
      <c r="D182" s="62" t="s">
        <v>1385</v>
      </c>
      <c r="E182" s="11" t="str">
        <f>HYPERLINK("https://youtu.be/0V2_P_xr3xs?t=967","channel 2")</f>
        <v>channel 2</v>
      </c>
    </row>
    <row r="183">
      <c r="B183" s="62" t="s">
        <v>1694</v>
      </c>
      <c r="C183" s="94" t="s">
        <v>18</v>
      </c>
      <c r="D183" s="62" t="s">
        <v>2472</v>
      </c>
      <c r="E183" s="11" t="str">
        <f>HYPERLINK("https://youtu.be/FWCIJxkhOf4?t=1780","channel 1")</f>
        <v>channel 1</v>
      </c>
    </row>
    <row r="184">
      <c r="B184" s="62" t="s">
        <v>1696</v>
      </c>
      <c r="C184" s="94" t="s">
        <v>357</v>
      </c>
      <c r="D184" s="62" t="s">
        <v>1191</v>
      </c>
      <c r="E184" s="11" t="str">
        <f>HYPERLINK("https://youtu.be/0V2_P_xr3xs?t=1864","channel 2")</f>
        <v>channel 2</v>
      </c>
    </row>
    <row r="185">
      <c r="B185" s="62" t="s">
        <v>1694</v>
      </c>
      <c r="C185" s="94" t="s">
        <v>257</v>
      </c>
      <c r="D185" s="62" t="s">
        <v>1385</v>
      </c>
      <c r="E185" s="11" t="str">
        <f>HYPERLINK("https://youtu.be/FWCIJxkhOf4?t=2669","channel 1")</f>
        <v>channel 1</v>
      </c>
    </row>
    <row r="186">
      <c r="B186" s="62" t="s">
        <v>2472</v>
      </c>
      <c r="C186" s="94" t="s">
        <v>18</v>
      </c>
      <c r="D186" s="62" t="s">
        <v>1191</v>
      </c>
      <c r="E186" s="11" t="str">
        <f>HYPERLINK("https://youtu.be/0V2_P_xr3xs?t=2670","channel 2")</f>
        <v>channel 2</v>
      </c>
    </row>
    <row r="187">
      <c r="B187" s="62" t="s">
        <v>1694</v>
      </c>
      <c r="C187" s="94" t="s">
        <v>181</v>
      </c>
      <c r="D187" s="62" t="s">
        <v>1696</v>
      </c>
      <c r="E187" s="11" t="str">
        <f>HYPERLINK("https://youtu.be/FWCIJxkhOf4?t=3691","channel 1")</f>
        <v>channel 1</v>
      </c>
    </row>
    <row r="188">
      <c r="B188" s="62" t="s">
        <v>2472</v>
      </c>
      <c r="C188" s="94" t="s">
        <v>351</v>
      </c>
      <c r="D188" s="62" t="s">
        <v>1385</v>
      </c>
      <c r="E188" s="11" t="str">
        <f>HYPERLINK("https://youtu.be/0V2_P_xr3xs?t=3686","channel 2")</f>
        <v>channel 2</v>
      </c>
    </row>
    <row r="189">
      <c r="B189" s="62" t="s">
        <v>1385</v>
      </c>
      <c r="C189" s="94" t="s">
        <v>442</v>
      </c>
      <c r="D189" s="62" t="s">
        <v>1191</v>
      </c>
      <c r="E189" s="11" t="str">
        <f>HYPERLINK("https://youtu.be/FWCIJxkhOf4?t=4575","channel 1")</f>
        <v>channel 1</v>
      </c>
    </row>
    <row r="190">
      <c r="B190" s="62" t="s">
        <v>2472</v>
      </c>
      <c r="C190" s="94" t="s">
        <v>163</v>
      </c>
      <c r="D190" s="62" t="s">
        <v>1696</v>
      </c>
      <c r="E190" s="11" t="str">
        <f>HYPERLINK("https://youtu.be/0V2_P_xr3xs?t=4577","channel 2")</f>
        <v>channel 2</v>
      </c>
    </row>
    <row r="191">
      <c r="B191" s="62" t="s">
        <v>1191</v>
      </c>
      <c r="C191" s="94" t="s">
        <v>426</v>
      </c>
      <c r="D191" s="62" t="s">
        <v>1694</v>
      </c>
      <c r="E191" s="11" t="str">
        <f>HYPERLINK("https://youtu.be/FWCIJxkhOf4?t=5537","channel 1")</f>
        <v>channel 1</v>
      </c>
    </row>
    <row r="192">
      <c r="B192" s="62" t="s">
        <v>1385</v>
      </c>
      <c r="C192" s="94" t="s">
        <v>957</v>
      </c>
      <c r="D192" s="62" t="s">
        <v>1696</v>
      </c>
      <c r="E192" s="11" t="str">
        <f>HYPERLINK("https://youtu.be/0V2_P_xr3xs?t=5568","channel 2")</f>
        <v>channel 2</v>
      </c>
    </row>
    <row r="193">
      <c r="B193" s="62" t="s">
        <v>2472</v>
      </c>
      <c r="C193" s="94" t="s">
        <v>218</v>
      </c>
      <c r="D193" s="62" t="s">
        <v>1694</v>
      </c>
      <c r="E193" s="11" t="str">
        <f>HYPERLINK("https://youtu.be/FWCIJxkhOf4?t=6460","channel 1")</f>
        <v>channel 1</v>
      </c>
    </row>
    <row r="194">
      <c r="B194" s="62" t="s">
        <v>1191</v>
      </c>
      <c r="C194" s="94" t="s">
        <v>193</v>
      </c>
      <c r="D194" s="62" t="s">
        <v>1696</v>
      </c>
      <c r="E194" s="11" t="str">
        <f>HYPERLINK("https://youtu.be/0V2_P_xr3xs?t=6406","channel 2")</f>
        <v>channel 2</v>
      </c>
    </row>
    <row r="195">
      <c r="B195" s="62" t="s">
        <v>1385</v>
      </c>
      <c r="C195" s="94" t="s">
        <v>38</v>
      </c>
      <c r="D195" s="62" t="s">
        <v>1694</v>
      </c>
      <c r="E195" s="11" t="str">
        <f>HYPERLINK("https://youtu.be/FWCIJxkhOf4?t=7372","channel 1")</f>
        <v>channel 1</v>
      </c>
    </row>
    <row r="196">
      <c r="B196" s="62" t="s">
        <v>1191</v>
      </c>
      <c r="C196" s="94" t="s">
        <v>186</v>
      </c>
      <c r="D196" s="62" t="s">
        <v>2472</v>
      </c>
      <c r="E196" s="11" t="str">
        <f>HYPERLINK("https://youtu.be/0V2_P_xr3xs?t=7369","channel 2")</f>
        <v>channel 2</v>
      </c>
    </row>
    <row r="197">
      <c r="B197" s="62" t="s">
        <v>1696</v>
      </c>
      <c r="C197" s="94" t="s">
        <v>218</v>
      </c>
      <c r="D197" s="62" t="s">
        <v>1694</v>
      </c>
      <c r="E197" s="11" t="str">
        <f>HYPERLINK("https://youtu.be/FWCIJxkhOf4?t=8232","channel 1")</f>
        <v>channel 1</v>
      </c>
    </row>
    <row r="198">
      <c r="B198" s="62" t="s">
        <v>1385</v>
      </c>
      <c r="C198" s="94" t="s">
        <v>1472</v>
      </c>
      <c r="D198" s="62" t="s">
        <v>2472</v>
      </c>
      <c r="E198" s="11" t="str">
        <f>HYPERLINK("https://youtu.be/0V2_P_xr3xs?t=8243","channel 2")</f>
        <v>channel 2</v>
      </c>
    </row>
    <row r="199">
      <c r="B199" s="96" t="s">
        <v>3637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1660</v>
      </c>
      <c r="C201" s="94" t="s">
        <v>162</v>
      </c>
      <c r="D201" s="62" t="s">
        <v>2256</v>
      </c>
      <c r="E201" s="11" t="str">
        <f>HYPERLINK("https://youtu.be/31V6Y0y6g2k","channel 1")</f>
        <v>channel 1</v>
      </c>
    </row>
    <row r="202">
      <c r="B202" s="62" t="s">
        <v>3704</v>
      </c>
      <c r="C202" s="94" t="s">
        <v>336</v>
      </c>
      <c r="D202" s="62" t="s">
        <v>3705</v>
      </c>
      <c r="E202" s="11" t="str">
        <f>HYPERLINK("https://youtu.be/fq4rq02sz6s","channel 2")</f>
        <v>channel 2</v>
      </c>
    </row>
    <row r="203">
      <c r="B203" s="62" t="s">
        <v>3706</v>
      </c>
      <c r="C203" s="94" t="s">
        <v>41</v>
      </c>
      <c r="D203" s="62" t="s">
        <v>1660</v>
      </c>
      <c r="E203" s="11" t="str">
        <f>HYPERLINK("https://youtu.be/31V6Y0y6g2k?t=1094","channel 1")</f>
        <v>channel 1</v>
      </c>
    </row>
    <row r="204">
      <c r="B204" s="62" t="s">
        <v>3704</v>
      </c>
      <c r="C204" s="94" t="s">
        <v>477</v>
      </c>
      <c r="D204" s="62" t="s">
        <v>2256</v>
      </c>
      <c r="E204" s="11" t="str">
        <f>HYPERLINK("https://youtu.be/fq4rq02sz6s?t=1087","channel 2")</f>
        <v>channel 2</v>
      </c>
    </row>
    <row r="205">
      <c r="B205" s="62" t="s">
        <v>3706</v>
      </c>
      <c r="C205" s="94" t="s">
        <v>158</v>
      </c>
      <c r="D205" s="62" t="s">
        <v>3705</v>
      </c>
      <c r="E205" s="11" t="str">
        <f>HYPERLINK("https://youtu.be/31V6Y0y6g2k?t=2078","channel 1")</f>
        <v>channel 1</v>
      </c>
    </row>
    <row r="206">
      <c r="B206" s="62" t="s">
        <v>3704</v>
      </c>
      <c r="C206" s="94" t="s">
        <v>155</v>
      </c>
      <c r="D206" s="62" t="s">
        <v>1660</v>
      </c>
      <c r="E206" s="11" t="str">
        <f>HYPERLINK("https://youtu.be/fq4rq02sz6s?t=2015","channel 2")</f>
        <v>channel 2</v>
      </c>
    </row>
    <row r="207">
      <c r="B207" s="62" t="s">
        <v>3706</v>
      </c>
      <c r="C207" s="94" t="s">
        <v>173</v>
      </c>
      <c r="D207" s="62" t="s">
        <v>2256</v>
      </c>
      <c r="E207" s="11" t="str">
        <f>HYPERLINK("https://youtu.be/31V6Y0y6g2k?t=2988","channel 1")</f>
        <v>channel 1</v>
      </c>
    </row>
    <row r="208">
      <c r="B208" s="62" t="s">
        <v>3705</v>
      </c>
      <c r="C208" s="94" t="s">
        <v>357</v>
      </c>
      <c r="D208" s="62" t="s">
        <v>1660</v>
      </c>
      <c r="E208" s="11" t="str">
        <f>HYPERLINK("https://youtu.be/fq4rq02sz6s?t=3016","channel 2")</f>
        <v>channel 2</v>
      </c>
    </row>
    <row r="209">
      <c r="B209" s="62" t="s">
        <v>3706</v>
      </c>
      <c r="C209" s="94" t="s">
        <v>203</v>
      </c>
      <c r="D209" s="62" t="s">
        <v>3704</v>
      </c>
      <c r="E209" s="11" t="str">
        <f>HYPERLINK("https://youtu.be/31V6Y0y6g2k?t=3892","channel 1")</f>
        <v>channel 1</v>
      </c>
    </row>
    <row r="210">
      <c r="B210" s="62" t="s">
        <v>3705</v>
      </c>
      <c r="C210" s="94" t="s">
        <v>664</v>
      </c>
      <c r="D210" s="62" t="s">
        <v>2256</v>
      </c>
      <c r="E210" s="11" t="str">
        <f>HYPERLINK("https://youtu.be/fq4rq02sz6s?t=3894","channel 2")</f>
        <v>channel 2</v>
      </c>
    </row>
    <row r="211">
      <c r="B211" s="62" t="s">
        <v>2256</v>
      </c>
      <c r="C211" s="94" t="s">
        <v>18</v>
      </c>
      <c r="D211" s="62" t="s">
        <v>1660</v>
      </c>
      <c r="E211" s="11" t="str">
        <f>HYPERLINK("https://youtu.be/31V6Y0y6g2k?t=4836","channel 1")</f>
        <v>channel 1</v>
      </c>
    </row>
    <row r="212">
      <c r="B212" s="62" t="s">
        <v>3705</v>
      </c>
      <c r="C212" s="94" t="s">
        <v>336</v>
      </c>
      <c r="D212" s="62" t="s">
        <v>3704</v>
      </c>
      <c r="E212" s="11" t="str">
        <f>HYPERLINK("https://youtu.be/fq4rq02sz6s?t=4850","channel 2")</f>
        <v>channel 2</v>
      </c>
    </row>
    <row r="213">
      <c r="B213" s="62" t="s">
        <v>1660</v>
      </c>
      <c r="C213" s="94" t="s">
        <v>162</v>
      </c>
      <c r="D213" s="62" t="s">
        <v>3706</v>
      </c>
      <c r="E213" s="11" t="str">
        <f>HYPERLINK("https://youtu.be/31V6Y0y6g2k?t=5752","channel 1")</f>
        <v>channel 1</v>
      </c>
    </row>
    <row r="214">
      <c r="B214" s="62" t="s">
        <v>2256</v>
      </c>
      <c r="C214" s="94" t="s">
        <v>802</v>
      </c>
      <c r="D214" s="62" t="s">
        <v>3704</v>
      </c>
      <c r="E214" s="11" t="str">
        <f>HYPERLINK("https://youtu.be/fq4rq02sz6s?t=5745","channel 2")</f>
        <v>channel 2</v>
      </c>
    </row>
    <row r="215">
      <c r="B215" s="62" t="s">
        <v>3705</v>
      </c>
      <c r="C215" s="94" t="s">
        <v>23</v>
      </c>
      <c r="D215" s="62" t="s">
        <v>3706</v>
      </c>
      <c r="E215" s="11" t="str">
        <f>HYPERLINK("https://youtu.be/31V6Y0y6g2k?t=6735","channel 1")</f>
        <v>channel 1</v>
      </c>
    </row>
    <row r="216">
      <c r="B216" s="62" t="s">
        <v>1660</v>
      </c>
      <c r="C216" s="94" t="s">
        <v>2761</v>
      </c>
      <c r="D216" s="62" t="s">
        <v>3704</v>
      </c>
      <c r="E216" s="11" t="str">
        <f>HYPERLINK("https://youtu.be/fq4rq02sz6s?t=6751","channel 2")</f>
        <v>channel 2</v>
      </c>
    </row>
    <row r="217">
      <c r="B217" s="62" t="s">
        <v>2256</v>
      </c>
      <c r="C217" s="94" t="s">
        <v>158</v>
      </c>
      <c r="D217" s="62" t="s">
        <v>3706</v>
      </c>
      <c r="E217" s="11" t="str">
        <f>HYPERLINK("https://youtu.be/31V6Y0y6g2k?t=7772","channel 1")</f>
        <v>channel 1</v>
      </c>
    </row>
    <row r="218">
      <c r="B218" s="62" t="s">
        <v>1660</v>
      </c>
      <c r="C218" s="94" t="s">
        <v>442</v>
      </c>
      <c r="D218" s="62" t="s">
        <v>3705</v>
      </c>
      <c r="E218" s="11" t="str">
        <f>HYPERLINK("https://youtu.be/fq4rq02sz6s?t=7737","channel 2")</f>
        <v>channel 2</v>
      </c>
    </row>
    <row r="219">
      <c r="B219" s="62" t="s">
        <v>3704</v>
      </c>
      <c r="C219" s="94" t="s">
        <v>786</v>
      </c>
      <c r="D219" s="62" t="s">
        <v>3706</v>
      </c>
      <c r="E219" s="11" t="str">
        <f>HYPERLINK("https://youtu.be/31V6Y0y6g2k?t=8797","channel 1")</f>
        <v>channel 1</v>
      </c>
    </row>
    <row r="220">
      <c r="B220" s="62" t="s">
        <v>2256</v>
      </c>
      <c r="C220" s="94" t="s">
        <v>176</v>
      </c>
      <c r="D220" s="62" t="s">
        <v>3705</v>
      </c>
      <c r="E220" s="11" t="str">
        <f>HYPERLINK("https://youtu.be/fq4rq02sz6s?t=8681","channel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2260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142" t="s">
        <v>1897</v>
      </c>
      <c r="C3" s="94" t="s">
        <v>418</v>
      </c>
      <c r="D3" s="61" t="s">
        <v>3510</v>
      </c>
      <c r="E3" s="11" t="str">
        <f>HYPERLINK("https://youtu.be/0CfsRTS1Ivg","channel 1")</f>
        <v>channel 1</v>
      </c>
    </row>
    <row r="4">
      <c r="A4" s="141"/>
      <c r="B4" s="61" t="s">
        <v>1416</v>
      </c>
      <c r="C4" s="94" t="s">
        <v>18</v>
      </c>
      <c r="D4" s="61" t="s">
        <v>1010</v>
      </c>
      <c r="E4" s="11" t="str">
        <f>HYPERLINK("https://youtu.be/Y8jeFXTo2Vk","channel 2")</f>
        <v>channel 2</v>
      </c>
    </row>
    <row r="5">
      <c r="A5" s="141"/>
      <c r="B5" s="61" t="s">
        <v>3590</v>
      </c>
      <c r="C5" s="94" t="s">
        <v>244</v>
      </c>
      <c r="D5" s="61" t="s">
        <v>1897</v>
      </c>
      <c r="E5" s="11" t="str">
        <f>HYPERLINK("https://youtu.be/0CfsRTS1Ivg?t=1077","channel 1")</f>
        <v>channel 1</v>
      </c>
    </row>
    <row r="6">
      <c r="A6" s="141"/>
      <c r="B6" s="61" t="s">
        <v>1416</v>
      </c>
      <c r="C6" s="94" t="s">
        <v>193</v>
      </c>
      <c r="D6" s="61" t="s">
        <v>3510</v>
      </c>
      <c r="E6" s="11" t="str">
        <f>HYPERLINK("https://youtu.be/Y8jeFXTo2Vk?t=912","channel 2")</f>
        <v>channel 2</v>
      </c>
    </row>
    <row r="7">
      <c r="A7" s="141"/>
      <c r="B7" s="61" t="s">
        <v>3590</v>
      </c>
      <c r="C7" s="94" t="s">
        <v>195</v>
      </c>
      <c r="D7" s="61" t="s">
        <v>1010</v>
      </c>
      <c r="E7" s="11" t="str">
        <f>HYPERLINK("https://youtu.be/0CfsRTS1Ivg?t=2006","channel 1")</f>
        <v>channel 1</v>
      </c>
    </row>
    <row r="8">
      <c r="A8" s="141"/>
      <c r="B8" s="61" t="s">
        <v>1416</v>
      </c>
      <c r="C8" s="94" t="s">
        <v>193</v>
      </c>
      <c r="D8" s="61" t="s">
        <v>1897</v>
      </c>
      <c r="E8" s="11" t="str">
        <f>HYPERLINK("https://youtu.be/Y8jeFXTo2Vk?t=1743","channel 2")</f>
        <v>channel 2</v>
      </c>
    </row>
    <row r="9">
      <c r="A9" s="141"/>
      <c r="B9" s="61" t="s">
        <v>3590</v>
      </c>
      <c r="C9" s="94" t="s">
        <v>344</v>
      </c>
      <c r="D9" s="61" t="s">
        <v>3510</v>
      </c>
      <c r="E9" s="11" t="str">
        <f>HYPERLINK("https://youtu.be/0CfsRTS1Ivg?t=2912","channel 1")</f>
        <v>channel 1</v>
      </c>
    </row>
    <row r="10">
      <c r="A10" s="141"/>
      <c r="B10" s="61" t="s">
        <v>1010</v>
      </c>
      <c r="C10" s="94" t="s">
        <v>225</v>
      </c>
      <c r="D10" s="61" t="s">
        <v>1897</v>
      </c>
      <c r="E10" s="11" t="str">
        <f>HYPERLINK("https://youtu.be/Y8jeFXTo2Vk?t=2738","channel 2")</f>
        <v>channel 2</v>
      </c>
    </row>
    <row r="11">
      <c r="A11" s="141"/>
      <c r="B11" s="61" t="s">
        <v>3590</v>
      </c>
      <c r="C11" s="94" t="s">
        <v>158</v>
      </c>
      <c r="D11" s="61" t="s">
        <v>1416</v>
      </c>
      <c r="E11" s="11" t="str">
        <f>HYPERLINK("https://youtu.be/0CfsRTS1Ivg?t=3754","channel 1")</f>
        <v>channel 1</v>
      </c>
    </row>
    <row r="12">
      <c r="A12" s="141"/>
      <c r="B12" s="61" t="s">
        <v>1010</v>
      </c>
      <c r="C12" s="94" t="s">
        <v>344</v>
      </c>
      <c r="D12" s="61" t="s">
        <v>3510</v>
      </c>
      <c r="E12" s="11" t="str">
        <f>HYPERLINK("https://youtu.be/Y8jeFXTo2Vk?t=3654","channel 2")</f>
        <v>channel 2</v>
      </c>
    </row>
    <row r="13">
      <c r="A13" s="141"/>
      <c r="B13" s="61" t="s">
        <v>3510</v>
      </c>
      <c r="C13" s="94" t="s">
        <v>251</v>
      </c>
      <c r="D13" s="61" t="s">
        <v>1897</v>
      </c>
      <c r="E13" s="11" t="str">
        <f>HYPERLINK("https://youtu.be/0CfsRTS1Ivg?t=4641","channel 1")</f>
        <v>channel 1</v>
      </c>
    </row>
    <row r="14">
      <c r="A14" s="141"/>
      <c r="B14" s="61" t="s">
        <v>1010</v>
      </c>
      <c r="C14" s="94" t="s">
        <v>545</v>
      </c>
      <c r="D14" s="61" t="s">
        <v>1416</v>
      </c>
      <c r="E14" s="11" t="str">
        <f>HYPERLINK("https://youtu.be/Y8jeFXTo2Vk?t=4575","channel 2")</f>
        <v>channel 2</v>
      </c>
    </row>
    <row r="15">
      <c r="A15" s="141"/>
      <c r="B15" s="61" t="s">
        <v>1897</v>
      </c>
      <c r="C15" s="94" t="s">
        <v>3707</v>
      </c>
      <c r="D15" s="61" t="s">
        <v>3590</v>
      </c>
      <c r="E15" s="11" t="str">
        <f>HYPERLINK("https://youtu.be/0CfsRTS1Ivg?t=5557","channel 1")</f>
        <v>channel 1</v>
      </c>
    </row>
    <row r="16">
      <c r="A16" s="141"/>
      <c r="B16" s="61" t="s">
        <v>3510</v>
      </c>
      <c r="C16" s="94" t="s">
        <v>203</v>
      </c>
      <c r="D16" s="61" t="s">
        <v>1416</v>
      </c>
      <c r="E16" s="11" t="str">
        <f>HYPERLINK("https://youtu.be/Y8jeFXTo2Vk?t=5453","channel 2")</f>
        <v>channel 2</v>
      </c>
    </row>
    <row r="17">
      <c r="A17" s="141"/>
      <c r="B17" s="61" t="s">
        <v>1010</v>
      </c>
      <c r="C17" s="94" t="s">
        <v>324</v>
      </c>
      <c r="D17" s="61" t="s">
        <v>3590</v>
      </c>
      <c r="E17" s="11" t="str">
        <f>HYPERLINK("https://youtu.be/0CfsRTS1Ivg?t=6475","channel 1")</f>
        <v>channel 1</v>
      </c>
    </row>
    <row r="18">
      <c r="A18" s="141"/>
      <c r="B18" s="61" t="s">
        <v>1897</v>
      </c>
      <c r="C18" s="94" t="s">
        <v>195</v>
      </c>
      <c r="D18" s="61" t="s">
        <v>1416</v>
      </c>
      <c r="E18" s="11" t="str">
        <f>HYPERLINK("https://youtu.be/Y8jeFXTo2Vk?t=6307","channel 2")</f>
        <v>channel 2</v>
      </c>
    </row>
    <row r="19">
      <c r="A19" s="141"/>
      <c r="B19" s="61" t="s">
        <v>3510</v>
      </c>
      <c r="C19" s="94" t="s">
        <v>352</v>
      </c>
      <c r="D19" s="61" t="s">
        <v>3590</v>
      </c>
      <c r="E19" s="11" t="str">
        <f>HYPERLINK("https://youtu.be/0CfsRTS1Ivg?t=7398","channel 1")</f>
        <v>channel 1</v>
      </c>
    </row>
    <row r="20">
      <c r="A20" s="141"/>
      <c r="B20" s="61" t="s">
        <v>1897</v>
      </c>
      <c r="C20" s="94" t="s">
        <v>14</v>
      </c>
      <c r="D20" s="61" t="s">
        <v>1010</v>
      </c>
      <c r="E20" s="11" t="str">
        <f>HYPERLINK("https://youtu.be/Y8jeFXTo2Vk?t=7255","channel 2")</f>
        <v>channel 2</v>
      </c>
    </row>
    <row r="21">
      <c r="A21" s="141"/>
      <c r="B21" s="61" t="s">
        <v>1416</v>
      </c>
      <c r="C21" s="94" t="s">
        <v>7</v>
      </c>
      <c r="D21" s="61" t="s">
        <v>3590</v>
      </c>
      <c r="E21" s="11" t="str">
        <f>HYPERLINK("https://youtu.be/0CfsRTS1Ivg?t=8320","channel 1")</f>
        <v>channel 1</v>
      </c>
    </row>
    <row r="22">
      <c r="A22" s="141"/>
      <c r="B22" s="61" t="s">
        <v>3510</v>
      </c>
      <c r="C22" s="94" t="s">
        <v>464</v>
      </c>
      <c r="D22" s="61" t="s">
        <v>1010</v>
      </c>
      <c r="E22" s="11" t="str">
        <f>HYPERLINK("https://youtu.be/Y8jeFXTo2Vk?t=8097","channel 2")</f>
        <v>channel 2</v>
      </c>
    </row>
    <row r="23">
      <c r="A23" s="141"/>
      <c r="B23" s="96" t="s">
        <v>2410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3708</v>
      </c>
      <c r="C25" s="94" t="s">
        <v>38</v>
      </c>
      <c r="D25" s="61" t="s">
        <v>360</v>
      </c>
      <c r="E25" s="11" t="str">
        <f>HYPERLINK("https://youtu.be/reG7G5KG_z4","channel 1")</f>
        <v>channel 1</v>
      </c>
    </row>
    <row r="26">
      <c r="A26" s="141"/>
      <c r="B26" s="61" t="s">
        <v>3178</v>
      </c>
      <c r="C26" s="94" t="s">
        <v>177</v>
      </c>
      <c r="D26" s="61" t="s">
        <v>999</v>
      </c>
      <c r="E26" s="11" t="str">
        <f>HYPERLINK("https://youtu.be/HVKea6SUgMI","channel 2")</f>
        <v>channel 2</v>
      </c>
    </row>
    <row r="27">
      <c r="A27" s="141"/>
      <c r="B27" s="61" t="s">
        <v>3709</v>
      </c>
      <c r="C27" s="94" t="s">
        <v>244</v>
      </c>
      <c r="D27" s="61" t="s">
        <v>3708</v>
      </c>
      <c r="E27" s="11" t="str">
        <f>HYPERLINK("https://youtu.be/reG7G5KG_z4?t=1021","channel 1")</f>
        <v>channel 1</v>
      </c>
    </row>
    <row r="28">
      <c r="A28" s="141"/>
      <c r="B28" s="61" t="s">
        <v>3178</v>
      </c>
      <c r="C28" s="94" t="s">
        <v>278</v>
      </c>
      <c r="D28" s="61" t="s">
        <v>360</v>
      </c>
      <c r="E28" s="11" t="str">
        <f>HYPERLINK("https://youtu.be/HVKea6SUgMI?t=905","channel 2")</f>
        <v>channel 2</v>
      </c>
    </row>
    <row r="29">
      <c r="A29" s="141"/>
      <c r="B29" s="61" t="s">
        <v>3709</v>
      </c>
      <c r="C29" s="94" t="s">
        <v>193</v>
      </c>
      <c r="D29" s="61" t="s">
        <v>999</v>
      </c>
      <c r="E29" s="11" t="str">
        <f>HYPERLINK("https://youtu.be/reG7G5KG_z4?t=1921","channel 1")</f>
        <v>channel 1</v>
      </c>
    </row>
    <row r="30">
      <c r="A30" s="141"/>
      <c r="B30" s="61" t="s">
        <v>3178</v>
      </c>
      <c r="C30" s="94" t="s">
        <v>210</v>
      </c>
      <c r="D30" s="61" t="s">
        <v>3708</v>
      </c>
      <c r="E30" s="11" t="str">
        <f>HYPERLINK("https://youtu.be/HVKea6SUgMI?t=1908","channel 2")</f>
        <v>channel 2</v>
      </c>
    </row>
    <row r="31">
      <c r="A31" s="141"/>
      <c r="B31" s="61" t="s">
        <v>3709</v>
      </c>
      <c r="C31" s="94" t="s">
        <v>17</v>
      </c>
      <c r="D31" s="61" t="s">
        <v>360</v>
      </c>
      <c r="E31" s="11" t="str">
        <f>HYPERLINK("https://youtu.be/reG7G5KG_z4?t=2849","channel 1")</f>
        <v>channel 1</v>
      </c>
    </row>
    <row r="32">
      <c r="A32" s="141"/>
      <c r="B32" s="61" t="s">
        <v>999</v>
      </c>
      <c r="C32" s="94" t="s">
        <v>290</v>
      </c>
      <c r="D32" s="61" t="s">
        <v>3708</v>
      </c>
      <c r="E32" s="11" t="str">
        <f>HYPERLINK("https://youtu.be/qdfGcTWi8Yg","channel 2")</f>
        <v>channel 2</v>
      </c>
    </row>
    <row r="33">
      <c r="A33" s="141"/>
      <c r="B33" s="61" t="s">
        <v>3709</v>
      </c>
      <c r="C33" s="94" t="s">
        <v>258</v>
      </c>
      <c r="D33" s="61" t="s">
        <v>3178</v>
      </c>
      <c r="E33" s="11" t="str">
        <f>HYPERLINK("https://youtu.be/reG7G5KG_z4?t=3771","channel 1")</f>
        <v>channel 1</v>
      </c>
    </row>
    <row r="34">
      <c r="A34" s="141"/>
      <c r="B34" s="61" t="s">
        <v>999</v>
      </c>
      <c r="C34" s="94" t="s">
        <v>344</v>
      </c>
      <c r="D34" s="61" t="s">
        <v>360</v>
      </c>
      <c r="E34" s="11" t="str">
        <f>HYPERLINK("https://youtu.be/qdfGcTWi8Yg?t=805","channel 2")</f>
        <v>channel 2</v>
      </c>
    </row>
    <row r="35">
      <c r="A35" s="141"/>
      <c r="B35" s="61" t="s">
        <v>360</v>
      </c>
      <c r="C35" s="94" t="s">
        <v>442</v>
      </c>
      <c r="D35" s="61" t="s">
        <v>3708</v>
      </c>
      <c r="E35" s="11" t="str">
        <f>HYPERLINK("https://youtu.be/reG7G5KG_z4?t=4645","channel 1")</f>
        <v>channel 1</v>
      </c>
    </row>
    <row r="36">
      <c r="A36" s="141"/>
      <c r="B36" s="61" t="s">
        <v>999</v>
      </c>
      <c r="C36" s="94" t="s">
        <v>362</v>
      </c>
      <c r="D36" s="61" t="s">
        <v>3178</v>
      </c>
      <c r="E36" s="11" t="str">
        <f>HYPERLINK("https://youtu.be/qdfGcTWi8Yg?t=1679","channel 2")</f>
        <v>channel 2</v>
      </c>
    </row>
    <row r="37">
      <c r="A37" s="141"/>
      <c r="B37" s="61" t="s">
        <v>3708</v>
      </c>
      <c r="C37" s="94" t="s">
        <v>43</v>
      </c>
      <c r="D37" s="61" t="s">
        <v>3709</v>
      </c>
      <c r="E37" s="11" t="str">
        <f>HYPERLINK("https://youtu.be/reG7G5KG_z4?t=5566","channel 1")</f>
        <v>channel 1</v>
      </c>
    </row>
    <row r="38">
      <c r="A38" s="141"/>
      <c r="B38" s="61" t="s">
        <v>360</v>
      </c>
      <c r="C38" s="94" t="s">
        <v>193</v>
      </c>
      <c r="D38" s="61" t="s">
        <v>3178</v>
      </c>
      <c r="E38" s="11" t="str">
        <f>HYPERLINK("https://youtu.be/qdfGcTWi8Yg?t=2518","channel 2")</f>
        <v>channel 2</v>
      </c>
    </row>
    <row r="39">
      <c r="A39" s="141"/>
      <c r="B39" s="61" t="s">
        <v>999</v>
      </c>
      <c r="C39" s="94" t="s">
        <v>1015</v>
      </c>
      <c r="D39" s="61" t="s">
        <v>3709</v>
      </c>
      <c r="E39" s="11" t="str">
        <f>HYPERLINK("https://youtu.be/reG7G5KG_z4?t=6445","channel 1")</f>
        <v>channel 1</v>
      </c>
    </row>
    <row r="40">
      <c r="A40" s="141"/>
      <c r="B40" s="61" t="s">
        <v>3708</v>
      </c>
      <c r="C40" s="94" t="s">
        <v>14</v>
      </c>
      <c r="D40" s="61" t="s">
        <v>3178</v>
      </c>
      <c r="E40" s="11" t="str">
        <f>HYPERLINK("https://youtu.be/qdfGcTWi8Yg?t=3464","channel 2")</f>
        <v>channel 2</v>
      </c>
    </row>
    <row r="41">
      <c r="A41" s="141"/>
      <c r="B41" s="61" t="s">
        <v>360</v>
      </c>
      <c r="C41" s="94" t="s">
        <v>20</v>
      </c>
      <c r="D41" s="61" t="s">
        <v>3709</v>
      </c>
      <c r="E41" s="11" t="str">
        <f>HYPERLINK("https://youtu.be/reG7G5KG_z4?t=7373","channel 1")</f>
        <v>channel 1</v>
      </c>
    </row>
    <row r="42">
      <c r="A42" s="141"/>
      <c r="B42" s="61" t="s">
        <v>3708</v>
      </c>
      <c r="C42" s="94" t="s">
        <v>203</v>
      </c>
      <c r="D42" s="61" t="s">
        <v>999</v>
      </c>
      <c r="E42" s="11" t="str">
        <f>HYPERLINK("https://youtu.be/qdfGcTWi8Yg?t=4517","channel 2")</f>
        <v>channel 2</v>
      </c>
    </row>
    <row r="43">
      <c r="A43" s="141"/>
      <c r="B43" s="61" t="s">
        <v>3178</v>
      </c>
      <c r="C43" s="94" t="s">
        <v>344</v>
      </c>
      <c r="D43" s="61" t="s">
        <v>3709</v>
      </c>
      <c r="E43" s="11" t="str">
        <f>HYPERLINK("https://youtu.be/reG7G5KG_z4?t=8245","channel 1")</f>
        <v>channel 1</v>
      </c>
    </row>
    <row r="44">
      <c r="A44" s="141"/>
      <c r="B44" s="61" t="s">
        <v>360</v>
      </c>
      <c r="C44" s="94" t="s">
        <v>265</v>
      </c>
      <c r="D44" s="61" t="s">
        <v>999</v>
      </c>
      <c r="E44" s="11" t="str">
        <f>HYPERLINK("https://youtu.be/qdfGcTWi8Yg?t=5355","channel 2")</f>
        <v>channel 2</v>
      </c>
    </row>
    <row r="45">
      <c r="A45" s="141"/>
      <c r="B45" s="96" t="s">
        <v>2919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2012</v>
      </c>
      <c r="C47" s="94" t="s">
        <v>19</v>
      </c>
      <c r="D47" s="61" t="s">
        <v>3710</v>
      </c>
      <c r="E47" s="11" t="str">
        <f>HYPERLINK("https://youtu.be/rM_Ez7y0SIo","channel 3")</f>
        <v>channel 3</v>
      </c>
    </row>
    <row r="48">
      <c r="A48" s="141"/>
      <c r="B48" s="61" t="s">
        <v>857</v>
      </c>
      <c r="C48" s="94" t="s">
        <v>17</v>
      </c>
      <c r="D48" s="61" t="s">
        <v>3711</v>
      </c>
      <c r="E48" s="11" t="str">
        <f>HYPERLINK("https://youtu.be/gHc7lXPcESs","channel 4")</f>
        <v>channel 4</v>
      </c>
    </row>
    <row r="49">
      <c r="A49" s="141"/>
      <c r="B49" s="61" t="s">
        <v>3712</v>
      </c>
      <c r="C49" s="94" t="s">
        <v>159</v>
      </c>
      <c r="D49" s="61" t="s">
        <v>2012</v>
      </c>
      <c r="E49" s="11" t="str">
        <f>HYPERLINK("https://youtu.be/rM_Ez7y0SIo?t=932","channel 3")</f>
        <v>channel 3</v>
      </c>
    </row>
    <row r="50">
      <c r="A50" s="141"/>
      <c r="B50" s="61" t="s">
        <v>857</v>
      </c>
      <c r="C50" s="94" t="s">
        <v>155</v>
      </c>
      <c r="D50" s="61" t="s">
        <v>3710</v>
      </c>
      <c r="E50" s="11" t="str">
        <f>HYPERLINK("https://youtu.be/gHc7lXPcESs?t=910","channel 4")</f>
        <v>channel 4</v>
      </c>
    </row>
    <row r="51">
      <c r="A51" s="141"/>
      <c r="B51" s="61" t="s">
        <v>3712</v>
      </c>
      <c r="C51" s="94" t="s">
        <v>158</v>
      </c>
      <c r="D51" s="61" t="s">
        <v>3711</v>
      </c>
      <c r="E51" s="11" t="str">
        <f>HYPERLINK("https://youtu.be/rM_Ez7y0SIo?t=1883","channel 3")</f>
        <v>channel 3</v>
      </c>
    </row>
    <row r="52">
      <c r="A52" s="141"/>
      <c r="B52" s="61" t="s">
        <v>857</v>
      </c>
      <c r="C52" s="94" t="s">
        <v>193</v>
      </c>
      <c r="D52" s="61" t="s">
        <v>2012</v>
      </c>
      <c r="E52" s="11" t="str">
        <f>HYPERLINK("https://youtu.be/gHc7lXPcESs?t=1932","channel 4")</f>
        <v>channel 4</v>
      </c>
    </row>
    <row r="53">
      <c r="A53" s="141"/>
      <c r="B53" s="61" t="s">
        <v>3712</v>
      </c>
      <c r="C53" s="94" t="s">
        <v>38</v>
      </c>
      <c r="D53" s="61" t="s">
        <v>3710</v>
      </c>
      <c r="E53" s="11" t="str">
        <f>HYPERLINK("https://youtu.be/rM_Ez7y0SIo?t=2826","channel 3")</f>
        <v>channel 3</v>
      </c>
    </row>
    <row r="54">
      <c r="A54" s="141"/>
      <c r="B54" s="61" t="s">
        <v>3711</v>
      </c>
      <c r="C54" s="94" t="s">
        <v>17</v>
      </c>
      <c r="D54" s="61" t="s">
        <v>2012</v>
      </c>
      <c r="E54" s="11" t="str">
        <f>HYPERLINK("https://youtu.be/gHc7lXPcESs?t=2875","channel 4")</f>
        <v>channel 4</v>
      </c>
    </row>
    <row r="55">
      <c r="A55" s="141"/>
      <c r="B55" s="61" t="s">
        <v>3712</v>
      </c>
      <c r="C55" s="94" t="s">
        <v>23</v>
      </c>
      <c r="D55" s="61" t="s">
        <v>857</v>
      </c>
      <c r="E55" s="11" t="str">
        <f>HYPERLINK("https://youtu.be/rM_Ez7y0SIo?t=3739","channel 3")</f>
        <v>channel 3</v>
      </c>
    </row>
    <row r="56">
      <c r="A56" s="141"/>
      <c r="B56" s="61" t="s">
        <v>3711</v>
      </c>
      <c r="C56" s="94" t="s">
        <v>158</v>
      </c>
      <c r="D56" s="61" t="s">
        <v>3710</v>
      </c>
      <c r="E56" s="11" t="str">
        <f>HYPERLINK("https://youtu.be/gHc7lXPcESs?t=3796","channel 4")</f>
        <v>channel 4</v>
      </c>
    </row>
    <row r="57">
      <c r="A57" s="141"/>
      <c r="B57" s="61" t="s">
        <v>3710</v>
      </c>
      <c r="C57" s="94" t="s">
        <v>158</v>
      </c>
      <c r="D57" s="61" t="s">
        <v>2012</v>
      </c>
      <c r="E57" s="11" t="str">
        <f>HYPERLINK("https://youtu.be/rM_Ez7y0SIo?t=4656","channel 3")</f>
        <v>channel 3</v>
      </c>
    </row>
    <row r="58">
      <c r="A58" s="141"/>
      <c r="B58" s="61" t="s">
        <v>3711</v>
      </c>
      <c r="C58" s="94" t="s">
        <v>36</v>
      </c>
      <c r="D58" s="61" t="s">
        <v>857</v>
      </c>
      <c r="E58" s="11" t="str">
        <f>HYPERLINK("https://youtu.be/gHc7lXPcESs?t=4748","channel 4")</f>
        <v>channel 4</v>
      </c>
    </row>
    <row r="59">
      <c r="A59" s="141"/>
      <c r="B59" s="61" t="s">
        <v>2012</v>
      </c>
      <c r="C59" s="94" t="s">
        <v>301</v>
      </c>
      <c r="D59" s="61" t="s">
        <v>3712</v>
      </c>
      <c r="E59" s="11" t="str">
        <f>HYPERLINK("https://youtu.be/rM_Ez7y0SIo?t=5515","channel 3")</f>
        <v>channel 3</v>
      </c>
    </row>
    <row r="60">
      <c r="A60" s="141"/>
      <c r="B60" s="61" t="s">
        <v>3710</v>
      </c>
      <c r="C60" s="94" t="s">
        <v>168</v>
      </c>
      <c r="D60" s="61" t="s">
        <v>857</v>
      </c>
      <c r="E60" s="11" t="str">
        <f>HYPERLINK("https://youtu.be/gHc7lXPcESs?t=5676","channel 4")</f>
        <v>channel 4</v>
      </c>
    </row>
    <row r="61">
      <c r="A61" s="141"/>
      <c r="B61" s="61" t="s">
        <v>3711</v>
      </c>
      <c r="C61" s="94" t="s">
        <v>20</v>
      </c>
      <c r="D61" s="61" t="s">
        <v>3712</v>
      </c>
      <c r="E61" s="11" t="str">
        <f>HYPERLINK("https://youtu.be/rM_Ez7y0SIo?t=6397","channel 3")</f>
        <v>channel 3</v>
      </c>
    </row>
    <row r="62">
      <c r="A62" s="141"/>
      <c r="B62" s="61" t="s">
        <v>2012</v>
      </c>
      <c r="C62" s="94" t="s">
        <v>209</v>
      </c>
      <c r="D62" s="61" t="s">
        <v>857</v>
      </c>
      <c r="E62" s="11" t="str">
        <f>HYPERLINK("https://youtu.be/gHc7lXPcESs?t=6499","channel 4")</f>
        <v>channel 4</v>
      </c>
    </row>
    <row r="63">
      <c r="A63" s="141"/>
      <c r="B63" s="61" t="s">
        <v>3710</v>
      </c>
      <c r="C63" s="94" t="s">
        <v>218</v>
      </c>
      <c r="D63" s="61" t="s">
        <v>3712</v>
      </c>
      <c r="E63" s="11" t="str">
        <f>HYPERLINK("https://youtu.be/rM_Ez7y0SIo?t=7264","channel 3")</f>
        <v>channel 3</v>
      </c>
    </row>
    <row r="64">
      <c r="A64" s="141"/>
      <c r="B64" s="61" t="s">
        <v>2012</v>
      </c>
      <c r="C64" s="94" t="s">
        <v>41</v>
      </c>
      <c r="D64" s="61" t="s">
        <v>3711</v>
      </c>
      <c r="E64" s="11" t="str">
        <f>HYPERLINK("https://youtu.be/gHc7lXPcESs?t=7431","channel 4")</f>
        <v>channel 4</v>
      </c>
    </row>
    <row r="65">
      <c r="A65" s="141"/>
      <c r="B65" s="61" t="s">
        <v>857</v>
      </c>
      <c r="C65" s="94" t="s">
        <v>303</v>
      </c>
      <c r="D65" s="61" t="s">
        <v>3712</v>
      </c>
      <c r="E65" s="11" t="str">
        <f>HYPERLINK("https://youtu.be/rM_Ez7y0SIo?t=8152","channel 3")</f>
        <v>channel 3</v>
      </c>
    </row>
    <row r="66">
      <c r="A66" s="141"/>
      <c r="B66" s="61" t="s">
        <v>3710</v>
      </c>
      <c r="C66" s="94" t="s">
        <v>162</v>
      </c>
      <c r="D66" s="61" t="s">
        <v>3711</v>
      </c>
      <c r="E66" s="11" t="str">
        <f>HYPERLINK("https://youtu.be/gHc7lXPcESs?t=8315","channel 4")</f>
        <v>channel 4</v>
      </c>
    </row>
    <row r="67">
      <c r="A67" s="141"/>
      <c r="B67" s="96" t="s">
        <v>3141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2004</v>
      </c>
      <c r="C69" s="94" t="s">
        <v>327</v>
      </c>
      <c r="D69" s="61" t="s">
        <v>3713</v>
      </c>
      <c r="E69" s="11" t="str">
        <f>HYPERLINK("https://youtu.be/_QsdNuVAyOM","channel 3")</f>
        <v>channel 3</v>
      </c>
    </row>
    <row r="70">
      <c r="A70" s="141"/>
      <c r="B70" s="61" t="s">
        <v>3142</v>
      </c>
      <c r="C70" s="94" t="s">
        <v>42</v>
      </c>
      <c r="D70" s="61" t="s">
        <v>3462</v>
      </c>
      <c r="E70" s="11" t="str">
        <f>HYPERLINK("https://youtu.be/nPRb29IidY4","channel 4")</f>
        <v>channel 4</v>
      </c>
    </row>
    <row r="71">
      <c r="A71" s="141"/>
      <c r="B71" s="61" t="s">
        <v>3714</v>
      </c>
      <c r="C71" s="94" t="s">
        <v>208</v>
      </c>
      <c r="D71" s="61" t="s">
        <v>2004</v>
      </c>
      <c r="E71" s="11" t="str">
        <f>HYPERLINK("https://youtu.be/_QsdNuVAyOM?t=978","channel 3")</f>
        <v>channel 3</v>
      </c>
    </row>
    <row r="72">
      <c r="A72" s="141"/>
      <c r="B72" s="61" t="s">
        <v>3142</v>
      </c>
      <c r="C72" s="94" t="s">
        <v>43</v>
      </c>
      <c r="D72" s="61" t="s">
        <v>3713</v>
      </c>
      <c r="E72" s="11" t="str">
        <f>HYPERLINK("https://youtu.be/nPRb29IidY4?t=925","channel 4")</f>
        <v>channel 4</v>
      </c>
    </row>
    <row r="73">
      <c r="A73" s="141"/>
      <c r="B73" s="61" t="s">
        <v>3714</v>
      </c>
      <c r="C73" s="94" t="s">
        <v>216</v>
      </c>
      <c r="D73" s="61" t="s">
        <v>3462</v>
      </c>
      <c r="E73" s="11" t="str">
        <f>HYPERLINK("https://youtu.be/_QsdNuVAyOM?t=1861","channel 3")</f>
        <v>channel 3</v>
      </c>
    </row>
    <row r="74">
      <c r="A74" s="141"/>
      <c r="B74" s="61" t="s">
        <v>3142</v>
      </c>
      <c r="C74" s="94" t="s">
        <v>555</v>
      </c>
      <c r="D74" s="61" t="s">
        <v>2004</v>
      </c>
      <c r="E74" s="11" t="str">
        <f>HYPERLINK("https://youtu.be/nPRb29IidY4?t=1948","channel 4")</f>
        <v>channel 4</v>
      </c>
    </row>
    <row r="75">
      <c r="A75" s="141"/>
      <c r="B75" s="61" t="s">
        <v>3714</v>
      </c>
      <c r="C75" s="94" t="s">
        <v>162</v>
      </c>
      <c r="D75" s="61" t="s">
        <v>3713</v>
      </c>
      <c r="E75" s="11" t="str">
        <f>HYPERLINK("https://youtu.be/_QsdNuVAyOM?t=2778","channel 3")</f>
        <v>channel 3</v>
      </c>
    </row>
    <row r="76">
      <c r="A76" s="141"/>
      <c r="B76" s="61" t="s">
        <v>3462</v>
      </c>
      <c r="C76" s="94" t="s">
        <v>233</v>
      </c>
      <c r="D76" s="61" t="s">
        <v>2004</v>
      </c>
      <c r="E76" s="11" t="str">
        <f>HYPERLINK("https://youtu.be/nPRb29IidY4?t=2808","channel 4")</f>
        <v>channel 4</v>
      </c>
    </row>
    <row r="77">
      <c r="A77" s="141"/>
      <c r="B77" s="61" t="s">
        <v>3714</v>
      </c>
      <c r="C77" s="94" t="s">
        <v>229</v>
      </c>
      <c r="D77" s="61" t="s">
        <v>3142</v>
      </c>
      <c r="E77" s="11" t="str">
        <f>HYPERLINK("https://youtu.be/_QsdNuVAyOM?t=3684","channel 3")</f>
        <v>channel 3</v>
      </c>
    </row>
    <row r="78">
      <c r="A78" s="141"/>
      <c r="B78" s="61" t="s">
        <v>3462</v>
      </c>
      <c r="C78" s="94" t="s">
        <v>43</v>
      </c>
      <c r="D78" s="61" t="s">
        <v>3713</v>
      </c>
      <c r="E78" s="11" t="str">
        <f>HYPERLINK("https://youtu.be/nPRb29IidY4?t=3759","channel 4")</f>
        <v>channel 4</v>
      </c>
    </row>
    <row r="79">
      <c r="A79" s="141"/>
      <c r="B79" s="61" t="s">
        <v>3713</v>
      </c>
      <c r="C79" s="94" t="s">
        <v>181</v>
      </c>
      <c r="D79" s="61" t="s">
        <v>2004</v>
      </c>
      <c r="E79" s="11" t="str">
        <f>HYPERLINK("https://youtu.be/_QsdNuVAyOM?t=4681","channel 3")</f>
        <v>channel 3</v>
      </c>
    </row>
    <row r="80">
      <c r="A80" s="141"/>
      <c r="B80" s="61" t="s">
        <v>3462</v>
      </c>
      <c r="C80" s="94" t="s">
        <v>208</v>
      </c>
      <c r="D80" s="61" t="s">
        <v>3142</v>
      </c>
      <c r="E80" s="11" t="str">
        <f>HYPERLINK("https://youtu.be/nPRb29IidY4?t=4610","channel 4")</f>
        <v>channel 4</v>
      </c>
    </row>
    <row r="81">
      <c r="A81" s="141"/>
      <c r="B81" s="61" t="s">
        <v>2004</v>
      </c>
      <c r="C81" s="94" t="s">
        <v>208</v>
      </c>
      <c r="D81" s="61" t="s">
        <v>3714</v>
      </c>
      <c r="E81" s="11" t="str">
        <f>HYPERLINK("https://youtu.be/_QsdNuVAyOM?t=5557","channel 3")</f>
        <v>channel 3</v>
      </c>
    </row>
    <row r="82">
      <c r="A82" s="141"/>
      <c r="B82" s="61" t="s">
        <v>3713</v>
      </c>
      <c r="C82" s="94" t="s">
        <v>165</v>
      </c>
      <c r="D82" s="61" t="s">
        <v>3142</v>
      </c>
      <c r="E82" s="11" t="str">
        <f>HYPERLINK("https://youtu.be/nPRb29IidY4?t=5517","channel 4")</f>
        <v>channel 4</v>
      </c>
    </row>
    <row r="83">
      <c r="A83" s="141"/>
      <c r="B83" s="61" t="s">
        <v>3462</v>
      </c>
      <c r="C83" s="94" t="s">
        <v>43</v>
      </c>
      <c r="D83" s="61" t="s">
        <v>3714</v>
      </c>
      <c r="E83" s="11" t="str">
        <f>HYPERLINK("https://youtu.be/_QsdNuVAyOM?t=6456","channel 3")</f>
        <v>channel 3</v>
      </c>
    </row>
    <row r="84">
      <c r="A84" s="141"/>
      <c r="B84" s="61" t="s">
        <v>2004</v>
      </c>
      <c r="C84" s="94" t="s">
        <v>1049</v>
      </c>
      <c r="D84" s="61" t="s">
        <v>3142</v>
      </c>
      <c r="E84" s="11" t="str">
        <f>HYPERLINK("https://youtu.be/nPRb29IidY4?t=6401","channel 4")</f>
        <v>channel 4</v>
      </c>
    </row>
    <row r="85">
      <c r="A85" s="141"/>
      <c r="B85" s="61" t="s">
        <v>3713</v>
      </c>
      <c r="C85" s="94" t="s">
        <v>177</v>
      </c>
      <c r="D85" s="61" t="s">
        <v>3714</v>
      </c>
      <c r="E85" s="11" t="str">
        <f>HYPERLINK("https://youtu.be/_QsdNuVAyOM?t=7541","channel 3")</f>
        <v>channel 3</v>
      </c>
    </row>
    <row r="86">
      <c r="A86" s="141"/>
      <c r="B86" s="61" t="s">
        <v>2004</v>
      </c>
      <c r="C86" s="94" t="s">
        <v>18</v>
      </c>
      <c r="D86" s="61" t="s">
        <v>3462</v>
      </c>
      <c r="E86" s="11" t="str">
        <f>HYPERLINK("https://youtu.be/nPRb29IidY4?t=7484","channel 4")</f>
        <v>channel 4</v>
      </c>
    </row>
    <row r="87">
      <c r="A87" s="141"/>
      <c r="B87" s="61" t="s">
        <v>3142</v>
      </c>
      <c r="C87" s="94" t="s">
        <v>17</v>
      </c>
      <c r="D87" s="61" t="s">
        <v>3714</v>
      </c>
      <c r="E87" s="11" t="str">
        <f>HYPERLINK("https://youtu.be/_QsdNuVAyOM?t=8472","channel 3")</f>
        <v>channel 3</v>
      </c>
    </row>
    <row r="88">
      <c r="A88" s="141"/>
      <c r="B88" s="61" t="s">
        <v>3713</v>
      </c>
      <c r="C88" s="94" t="s">
        <v>688</v>
      </c>
      <c r="D88" s="61" t="s">
        <v>3462</v>
      </c>
      <c r="E88" s="11" t="str">
        <f>HYPERLINK("https://youtu.be/nPRb29IidY4?t=8414","channel 4")</f>
        <v>channel 4</v>
      </c>
    </row>
    <row r="89">
      <c r="A89" s="141"/>
      <c r="B89" s="96" t="s">
        <v>2417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61" t="s">
        <v>3715</v>
      </c>
      <c r="C91" s="94" t="s">
        <v>38</v>
      </c>
      <c r="D91" s="61" t="s">
        <v>3716</v>
      </c>
      <c r="E91" s="11" t="str">
        <f>HYPERLINK("https://youtu.be/5AlTz4b5de4","channel 1")</f>
        <v>channel 1</v>
      </c>
    </row>
    <row r="92">
      <c r="A92" s="141"/>
      <c r="B92" s="61" t="s">
        <v>3656</v>
      </c>
      <c r="C92" s="94" t="s">
        <v>158</v>
      </c>
      <c r="D92" s="61" t="s">
        <v>3717</v>
      </c>
      <c r="E92" s="11" t="str">
        <f>HYPERLINK("https://youtu.be/9pKbb5fuGtc","channel 2")</f>
        <v>channel 2</v>
      </c>
    </row>
    <row r="93">
      <c r="A93" s="141"/>
      <c r="B93" s="61" t="s">
        <v>2687</v>
      </c>
      <c r="C93" s="94" t="s">
        <v>176</v>
      </c>
      <c r="D93" s="61" t="s">
        <v>3715</v>
      </c>
      <c r="E93" s="11" t="str">
        <f>HYPERLINK("https://youtu.be/5AlTz4b5de4?t=1252","channel 1")</f>
        <v>channel 1</v>
      </c>
    </row>
    <row r="94">
      <c r="A94" s="141"/>
      <c r="B94" s="61" t="s">
        <v>3656</v>
      </c>
      <c r="C94" s="94" t="s">
        <v>16</v>
      </c>
      <c r="D94" s="61" t="s">
        <v>3716</v>
      </c>
      <c r="E94" s="11" t="str">
        <f>HYPERLINK("https://youtu.be/9pKbb5fuGtc?t=1185","channel 2")</f>
        <v>channel 2</v>
      </c>
    </row>
    <row r="95">
      <c r="A95" s="141"/>
      <c r="B95" s="61" t="s">
        <v>2687</v>
      </c>
      <c r="C95" s="94" t="s">
        <v>162</v>
      </c>
      <c r="D95" s="61" t="s">
        <v>3717</v>
      </c>
      <c r="E95" s="11" t="str">
        <f>HYPERLINK("https://youtu.be/5AlTz4b5de4?t=2156","channel 1")</f>
        <v>channel 1</v>
      </c>
    </row>
    <row r="96">
      <c r="A96" s="141"/>
      <c r="B96" s="61" t="s">
        <v>3656</v>
      </c>
      <c r="C96" s="94" t="s">
        <v>227</v>
      </c>
      <c r="D96" s="61" t="s">
        <v>3715</v>
      </c>
      <c r="E96" s="11" t="str">
        <f>HYPERLINK("https://youtu.be/9pKbb5fuGtc?t=2114","channel 2")</f>
        <v>channel 2</v>
      </c>
    </row>
    <row r="97">
      <c r="A97" s="141"/>
      <c r="B97" s="61" t="s">
        <v>2687</v>
      </c>
      <c r="C97" s="94" t="s">
        <v>37</v>
      </c>
      <c r="D97" s="61" t="s">
        <v>3716</v>
      </c>
      <c r="E97" s="11" t="str">
        <f>HYPERLINK("https://youtu.be/5AlTz4b5de4?t=3086","channel 1")</f>
        <v>channel 1</v>
      </c>
    </row>
    <row r="98">
      <c r="A98" s="141"/>
      <c r="B98" s="61" t="s">
        <v>3717</v>
      </c>
      <c r="C98" s="94" t="s">
        <v>751</v>
      </c>
      <c r="D98" s="61" t="s">
        <v>3715</v>
      </c>
      <c r="E98" s="11" t="str">
        <f>HYPERLINK("https://youtu.be/9pKbb5fuGtc?t=3020","channel 2")</f>
        <v>channel 2</v>
      </c>
    </row>
    <row r="99">
      <c r="A99" s="141"/>
      <c r="B99" s="61" t="s">
        <v>2687</v>
      </c>
      <c r="C99" s="94" t="s">
        <v>232</v>
      </c>
      <c r="D99" s="61" t="s">
        <v>3656</v>
      </c>
      <c r="E99" s="11" t="str">
        <f>HYPERLINK("https://youtu.be/5AlTz4b5de4?t=3992","channel 1")</f>
        <v>channel 1</v>
      </c>
    </row>
    <row r="100">
      <c r="A100" s="141"/>
      <c r="B100" s="61" t="s">
        <v>3717</v>
      </c>
      <c r="C100" s="94" t="s">
        <v>20</v>
      </c>
      <c r="D100" s="61" t="s">
        <v>3716</v>
      </c>
      <c r="E100" s="11" t="str">
        <f>HYPERLINK("https://youtu.be/9pKbb5fuGtc?t=3932","channel 2")</f>
        <v>channel 2</v>
      </c>
    </row>
    <row r="101">
      <c r="A101" s="141"/>
      <c r="B101" s="61" t="s">
        <v>3716</v>
      </c>
      <c r="C101" s="94" t="s">
        <v>426</v>
      </c>
      <c r="D101" s="61" t="s">
        <v>3715</v>
      </c>
      <c r="E101" s="11" t="str">
        <f>HYPERLINK("https://youtu.be/5AlTz4b5de4?t=4896","channel 1")</f>
        <v>channel 1</v>
      </c>
    </row>
    <row r="102">
      <c r="A102" s="141"/>
      <c r="B102" s="61" t="s">
        <v>3717</v>
      </c>
      <c r="C102" s="94" t="s">
        <v>24</v>
      </c>
      <c r="D102" s="61" t="s">
        <v>3656</v>
      </c>
      <c r="E102" s="11" t="str">
        <f>HYPERLINK("https://youtu.be/9pKbb5fuGtc?t=4846","channel 2")</f>
        <v>channel 2</v>
      </c>
    </row>
    <row r="103">
      <c r="A103" s="141"/>
      <c r="B103" s="61" t="s">
        <v>3715</v>
      </c>
      <c r="C103" s="94" t="s">
        <v>301</v>
      </c>
      <c r="D103" s="61" t="s">
        <v>2687</v>
      </c>
      <c r="E103" s="11" t="str">
        <f>HYPERLINK("https://youtu.be/5AlTz4b5de4?t=5851","channel 1")</f>
        <v>channel 1</v>
      </c>
    </row>
    <row r="104">
      <c r="A104" s="141"/>
      <c r="B104" s="61" t="s">
        <v>3716</v>
      </c>
      <c r="C104" s="94" t="s">
        <v>165</v>
      </c>
      <c r="D104" s="61" t="s">
        <v>3656</v>
      </c>
      <c r="E104" s="11" t="str">
        <f>HYPERLINK("https://youtu.be/9pKbb5fuGtc?t=5805","channel 2")</f>
        <v>channel 2</v>
      </c>
    </row>
    <row r="105">
      <c r="A105" s="141"/>
      <c r="B105" s="61" t="s">
        <v>3717</v>
      </c>
      <c r="C105" s="94" t="s">
        <v>248</v>
      </c>
      <c r="D105" s="61" t="s">
        <v>2687</v>
      </c>
      <c r="E105" s="11" t="str">
        <f>HYPERLINK("https://youtu.be/5AlTz4b5de4?t=6796","channel 1")</f>
        <v>channel 1</v>
      </c>
    </row>
    <row r="106">
      <c r="A106" s="141"/>
      <c r="B106" s="61" t="s">
        <v>3715</v>
      </c>
      <c r="C106" s="94" t="s">
        <v>882</v>
      </c>
      <c r="D106" s="61" t="s">
        <v>3656</v>
      </c>
      <c r="E106" s="11" t="str">
        <f>HYPERLINK("https://youtu.be/9pKbb5fuGtc?t=6720","channel 2")</f>
        <v>channel 2</v>
      </c>
    </row>
    <row r="107">
      <c r="A107" s="141"/>
      <c r="B107" s="61" t="s">
        <v>3716</v>
      </c>
      <c r="C107" s="94" t="s">
        <v>225</v>
      </c>
      <c r="D107" s="61" t="s">
        <v>2687</v>
      </c>
      <c r="E107" s="11" t="str">
        <f>HYPERLINK("https://youtu.be/5AlTz4b5de4?t=7718","channel 1")</f>
        <v>channel 1</v>
      </c>
    </row>
    <row r="108">
      <c r="A108" s="141"/>
      <c r="B108" s="61" t="s">
        <v>3715</v>
      </c>
      <c r="C108" s="94" t="s">
        <v>185</v>
      </c>
      <c r="D108" s="61" t="s">
        <v>3717</v>
      </c>
      <c r="E108" s="11" t="str">
        <f>HYPERLINK("https://youtu.be/9pKbb5fuGtc?t=7641","channel 2")</f>
        <v>channel 2</v>
      </c>
    </row>
    <row r="109">
      <c r="A109" s="141"/>
      <c r="B109" s="61" t="s">
        <v>3656</v>
      </c>
      <c r="C109" s="94" t="s">
        <v>227</v>
      </c>
      <c r="D109" s="61" t="s">
        <v>2687</v>
      </c>
      <c r="E109" s="11" t="str">
        <f>HYPERLINK("https://youtu.be/5AlTz4b5de4?t=8665","channel 1")</f>
        <v>channel 1</v>
      </c>
    </row>
    <row r="110">
      <c r="A110" s="141"/>
      <c r="B110" s="61" t="s">
        <v>3716</v>
      </c>
      <c r="C110" s="94" t="s">
        <v>7</v>
      </c>
      <c r="D110" s="61" t="s">
        <v>3717</v>
      </c>
      <c r="E110" s="11" t="str">
        <f>HYPERLINK("https://youtu.be/9pKbb5fuGtc?t=8572","channel 2")</f>
        <v>channel 2</v>
      </c>
    </row>
    <row r="111">
      <c r="A111" s="141"/>
      <c r="B111" s="96" t="s">
        <v>1803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3718</v>
      </c>
      <c r="C113" s="94" t="s">
        <v>229</v>
      </c>
      <c r="D113" s="61" t="s">
        <v>3719</v>
      </c>
      <c r="E113" s="11" t="str">
        <f>HYPERLINK("https://youtu.be/Jljo9H3Aef0","channel 1")</f>
        <v>channel 1</v>
      </c>
    </row>
    <row r="114">
      <c r="A114" s="141"/>
      <c r="B114" s="61" t="s">
        <v>3720</v>
      </c>
      <c r="C114" s="94" t="s">
        <v>251</v>
      </c>
      <c r="D114" s="61" t="s">
        <v>3721</v>
      </c>
      <c r="E114" s="11" t="str">
        <f>HYPERLINK("https://youtu.be/FYCU8g6WBA0","channel 2")</f>
        <v>channel 2</v>
      </c>
    </row>
    <row r="115">
      <c r="A115" s="141"/>
      <c r="B115" s="61" t="s">
        <v>3125</v>
      </c>
      <c r="C115" s="94" t="s">
        <v>208</v>
      </c>
      <c r="D115" s="61" t="s">
        <v>3718</v>
      </c>
      <c r="E115" s="11" t="str">
        <f>HYPERLINK("https://youtu.be/Jljo9H3Aef0?t=1172","channel 1")</f>
        <v>channel 1</v>
      </c>
    </row>
    <row r="116">
      <c r="A116" s="141"/>
      <c r="B116" s="61" t="s">
        <v>3720</v>
      </c>
      <c r="C116" s="94" t="s">
        <v>225</v>
      </c>
      <c r="D116" s="61" t="s">
        <v>3719</v>
      </c>
      <c r="E116" s="11" t="str">
        <f>HYPERLINK("https://youtu.be/FYCU8g6WBA0?t=1033","channel 2")</f>
        <v>channel 2</v>
      </c>
    </row>
    <row r="117">
      <c r="A117" s="141"/>
      <c r="B117" s="61" t="s">
        <v>3125</v>
      </c>
      <c r="C117" s="94" t="s">
        <v>14</v>
      </c>
      <c r="D117" s="61" t="s">
        <v>3721</v>
      </c>
      <c r="E117" s="11" t="str">
        <f>HYPERLINK("https://youtu.be/Jljo9H3Aef0?t=2057","channel 1")</f>
        <v>channel 1</v>
      </c>
    </row>
    <row r="118">
      <c r="A118" s="141"/>
      <c r="B118" s="61" t="s">
        <v>3720</v>
      </c>
      <c r="C118" s="94" t="s">
        <v>525</v>
      </c>
      <c r="D118" s="61" t="s">
        <v>3718</v>
      </c>
      <c r="E118" s="11" t="str">
        <f>HYPERLINK("https://youtu.be/FYCU8g6WBA0?t=1995","channel 2")</f>
        <v>channel 2</v>
      </c>
    </row>
    <row r="119">
      <c r="A119" s="141"/>
      <c r="B119" s="61" t="s">
        <v>3125</v>
      </c>
      <c r="C119" s="94" t="s">
        <v>245</v>
      </c>
      <c r="D119" s="61" t="s">
        <v>3719</v>
      </c>
      <c r="E119" s="11" t="str">
        <f>HYPERLINK("https://youtu.be/Jljo9H3Aef0?t=3028","channel 1")</f>
        <v>channel 1</v>
      </c>
    </row>
    <row r="120">
      <c r="A120" s="141"/>
      <c r="B120" s="61" t="s">
        <v>3721</v>
      </c>
      <c r="C120" s="94" t="s">
        <v>182</v>
      </c>
      <c r="D120" s="61" t="s">
        <v>3718</v>
      </c>
      <c r="E120" s="11" t="str">
        <f>HYPERLINK("https://youtu.be/FYCU8g6WBA0?t=2979","channel 2")</f>
        <v>channel 2</v>
      </c>
    </row>
    <row r="121">
      <c r="A121" s="141"/>
      <c r="B121" s="61" t="s">
        <v>3125</v>
      </c>
      <c r="C121" s="94" t="s">
        <v>574</v>
      </c>
      <c r="D121" s="61" t="s">
        <v>3720</v>
      </c>
      <c r="E121" s="11" t="str">
        <f>HYPERLINK("https://youtu.be/Jljo9H3Aef0?t=3964","channel 1")</f>
        <v>channel 1</v>
      </c>
    </row>
    <row r="122">
      <c r="A122" s="141"/>
      <c r="B122" s="61" t="s">
        <v>3721</v>
      </c>
      <c r="C122" s="94" t="s">
        <v>508</v>
      </c>
      <c r="D122" s="61" t="s">
        <v>3719</v>
      </c>
      <c r="E122" s="11" t="str">
        <f>HYPERLINK("https://youtu.be/FYCU8g6WBA0?t=3917","channel 2")</f>
        <v>channel 2</v>
      </c>
    </row>
    <row r="123">
      <c r="A123" s="141"/>
      <c r="B123" s="61" t="s">
        <v>3719</v>
      </c>
      <c r="C123" s="94" t="s">
        <v>342</v>
      </c>
      <c r="D123" s="61" t="s">
        <v>3718</v>
      </c>
      <c r="E123" s="11" t="str">
        <f>HYPERLINK("https://youtu.be/Jljo9H3Aef0?t=5010","channel 1")</f>
        <v>channel 1</v>
      </c>
    </row>
    <row r="124">
      <c r="A124" s="141"/>
      <c r="B124" s="61" t="s">
        <v>3721</v>
      </c>
      <c r="C124" s="94" t="s">
        <v>11</v>
      </c>
      <c r="D124" s="61" t="s">
        <v>3720</v>
      </c>
      <c r="E124" s="11" t="str">
        <f>HYPERLINK("https://youtu.be/FYCU8g6WBA0?t=4918","channel 2")</f>
        <v>channel 2</v>
      </c>
    </row>
    <row r="125">
      <c r="A125" s="141"/>
      <c r="B125" s="61" t="s">
        <v>3718</v>
      </c>
      <c r="C125" s="94" t="s">
        <v>193</v>
      </c>
      <c r="D125" s="61" t="s">
        <v>3125</v>
      </c>
      <c r="E125" s="11" t="str">
        <f>HYPERLINK("https://youtu.be/Jljo9H3Aef0?t=6073","channel 1")</f>
        <v>channel 1</v>
      </c>
    </row>
    <row r="126">
      <c r="A126" s="141"/>
      <c r="B126" s="61" t="s">
        <v>3719</v>
      </c>
      <c r="C126" s="94" t="s">
        <v>515</v>
      </c>
      <c r="D126" s="61" t="s">
        <v>3720</v>
      </c>
      <c r="E126" s="11" t="str">
        <f>HYPERLINK("https://youtu.be/FYCU8g6WBA0?t=5993","channel 2")</f>
        <v>channel 2</v>
      </c>
    </row>
    <row r="127">
      <c r="A127" s="141"/>
      <c r="B127" s="61" t="s">
        <v>3721</v>
      </c>
      <c r="C127" s="94" t="s">
        <v>545</v>
      </c>
      <c r="D127" s="61" t="s">
        <v>3125</v>
      </c>
      <c r="E127" s="11" t="str">
        <f>HYPERLINK("https://youtu.be/Jljo9H3Aef0?t=6864","channel 1")</f>
        <v>channel 1</v>
      </c>
    </row>
    <row r="128">
      <c r="A128" s="141"/>
      <c r="B128" s="61" t="s">
        <v>3718</v>
      </c>
      <c r="C128" s="94" t="s">
        <v>418</v>
      </c>
      <c r="D128" s="61" t="s">
        <v>3720</v>
      </c>
      <c r="E128" s="11" t="str">
        <f>HYPERLINK("https://youtu.be/FYCU8g6WBA0?t=6796","channel 2")</f>
        <v>channel 2</v>
      </c>
    </row>
    <row r="129">
      <c r="A129" s="141"/>
      <c r="B129" s="61" t="s">
        <v>3719</v>
      </c>
      <c r="C129" s="94" t="s">
        <v>545</v>
      </c>
      <c r="D129" s="61" t="s">
        <v>3125</v>
      </c>
      <c r="E129" s="11" t="str">
        <f>HYPERLINK("https://youtu.be/Jljo9H3Aef0?t=7677","channel 1")</f>
        <v>channel 1</v>
      </c>
    </row>
    <row r="130">
      <c r="A130" s="141"/>
      <c r="B130" s="61" t="s">
        <v>3718</v>
      </c>
      <c r="C130" s="94" t="s">
        <v>394</v>
      </c>
      <c r="D130" s="61" t="s">
        <v>3721</v>
      </c>
      <c r="E130" s="11" t="str">
        <f>HYPERLINK("https://youtu.be/FYCU8g6WBA0?t=7616","channel 2")</f>
        <v>channel 2</v>
      </c>
    </row>
    <row r="131">
      <c r="A131" s="141"/>
      <c r="B131" s="61" t="s">
        <v>3720</v>
      </c>
      <c r="C131" s="94" t="s">
        <v>736</v>
      </c>
      <c r="D131" s="61" t="s">
        <v>3125</v>
      </c>
      <c r="E131" s="11" t="str">
        <f>HYPERLINK("https://youtu.be/Jljo9H3Aef0?t=8602","channel 1")</f>
        <v>channel 1</v>
      </c>
    </row>
    <row r="132">
      <c r="A132" s="145"/>
      <c r="B132" s="61" t="s">
        <v>3719</v>
      </c>
      <c r="C132" s="94" t="s">
        <v>219</v>
      </c>
      <c r="D132" s="61" t="s">
        <v>3721</v>
      </c>
      <c r="E132" s="11" t="str">
        <f>HYPERLINK("https://youtu.be/FYCU8g6WBA0?t=8514","channel 2")</f>
        <v>channel 2</v>
      </c>
    </row>
    <row r="133">
      <c r="B133" s="96" t="s">
        <v>2666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2448</v>
      </c>
      <c r="C135" s="94" t="s">
        <v>464</v>
      </c>
      <c r="D135" s="61" t="s">
        <v>3722</v>
      </c>
      <c r="E135" s="11" t="str">
        <f>HYPERLINK("https://youtu.be/9yXRAq-nLv4","channel 3")</f>
        <v>channel 3</v>
      </c>
    </row>
    <row r="136">
      <c r="B136" s="62" t="s">
        <v>3723</v>
      </c>
      <c r="C136" s="94" t="s">
        <v>289</v>
      </c>
      <c r="D136" s="62" t="s">
        <v>3724</v>
      </c>
      <c r="E136" s="11" t="str">
        <f>HYPERLINK("https://youtu.be/7KoYrPvvUqU","channel 4")</f>
        <v>channel 4</v>
      </c>
    </row>
    <row r="137">
      <c r="B137" s="62" t="s">
        <v>3725</v>
      </c>
      <c r="C137" s="94" t="s">
        <v>534</v>
      </c>
      <c r="D137" s="62" t="s">
        <v>2448</v>
      </c>
      <c r="E137" s="11" t="str">
        <f>HYPERLINK("https://youtu.be/9yXRAq-nLv4?t=1117","channel 3")</f>
        <v>channel 3</v>
      </c>
    </row>
    <row r="138">
      <c r="B138" s="62" t="s">
        <v>3723</v>
      </c>
      <c r="C138" s="94" t="s">
        <v>258</v>
      </c>
      <c r="D138" s="61" t="s">
        <v>3722</v>
      </c>
      <c r="E138" s="11" t="str">
        <f>HYPERLINK("https://youtu.be/7KoYrPvvUqU?t=1001","channel 4")</f>
        <v>channel 4</v>
      </c>
    </row>
    <row r="139">
      <c r="B139" s="62" t="s">
        <v>3725</v>
      </c>
      <c r="C139" s="94" t="s">
        <v>20</v>
      </c>
      <c r="D139" s="62" t="s">
        <v>3724</v>
      </c>
      <c r="E139" s="11" t="str">
        <f>HYPERLINK("https://youtu.be/9yXRAq-nLv4?t=2082","channel 3")</f>
        <v>channel 3</v>
      </c>
    </row>
    <row r="140">
      <c r="B140" s="62" t="s">
        <v>3723</v>
      </c>
      <c r="C140" s="94" t="s">
        <v>640</v>
      </c>
      <c r="D140" s="62" t="s">
        <v>2448</v>
      </c>
      <c r="E140" s="11" t="str">
        <f>HYPERLINK("https://youtu.be/7KoYrPvvUqU?t=1940","channel 4")</f>
        <v>channel 4</v>
      </c>
    </row>
    <row r="141">
      <c r="B141" s="62" t="s">
        <v>3725</v>
      </c>
      <c r="C141" s="94" t="s">
        <v>7</v>
      </c>
      <c r="D141" s="61" t="s">
        <v>3722</v>
      </c>
      <c r="E141" s="11" t="str">
        <f>HYPERLINK("https://youtu.be/9yXRAq-nLv4?t=3014","channel 3")</f>
        <v>channel 3</v>
      </c>
    </row>
    <row r="142">
      <c r="B142" s="62" t="s">
        <v>3724</v>
      </c>
      <c r="C142" s="94" t="s">
        <v>158</v>
      </c>
      <c r="D142" s="62" t="s">
        <v>2448</v>
      </c>
      <c r="E142" s="11" t="str">
        <f>HYPERLINK("https://youtu.be/7KoYrPvvUqU?t=2869","channel 4")</f>
        <v>channel 4</v>
      </c>
    </row>
    <row r="143">
      <c r="B143" s="62" t="s">
        <v>3725</v>
      </c>
      <c r="C143" s="94" t="s">
        <v>177</v>
      </c>
      <c r="D143" s="62" t="s">
        <v>3723</v>
      </c>
      <c r="E143" s="11" t="str">
        <f>HYPERLINK("https://youtu.be/9yXRAq-nLv4?t=3905","channel 3")</f>
        <v>channel 3</v>
      </c>
    </row>
    <row r="144">
      <c r="B144" s="62" t="s">
        <v>3724</v>
      </c>
      <c r="C144" s="94" t="s">
        <v>1255</v>
      </c>
      <c r="D144" s="61" t="s">
        <v>3722</v>
      </c>
      <c r="E144" s="11" t="str">
        <f>HYPERLINK("https://youtu.be/7KoYrPvvUqU?t=3789","channel 4")</f>
        <v>channel 4</v>
      </c>
    </row>
    <row r="145">
      <c r="B145" s="61" t="s">
        <v>3722</v>
      </c>
      <c r="C145" s="94" t="s">
        <v>231</v>
      </c>
      <c r="D145" s="62" t="s">
        <v>2448</v>
      </c>
      <c r="E145" s="11" t="str">
        <f>HYPERLINK("https://youtu.be/9yXRAq-nLv4?t=4903","channel 3")</f>
        <v>channel 3</v>
      </c>
    </row>
    <row r="146">
      <c r="B146" s="62" t="s">
        <v>3724</v>
      </c>
      <c r="C146" s="94" t="s">
        <v>554</v>
      </c>
      <c r="D146" s="62" t="s">
        <v>3723</v>
      </c>
      <c r="E146" s="11" t="str">
        <f>HYPERLINK("https://youtu.be/7KoYrPvvUqU?t=4749","channel 4")</f>
        <v>channel 4</v>
      </c>
    </row>
    <row r="147">
      <c r="B147" s="62" t="s">
        <v>2448</v>
      </c>
      <c r="C147" s="94" t="s">
        <v>256</v>
      </c>
      <c r="D147" s="62" t="s">
        <v>3725</v>
      </c>
      <c r="E147" s="11" t="str">
        <f>HYPERLINK("https://youtu.be/9yXRAq-nLv4?t=5885","channel 3")</f>
        <v>channel 3</v>
      </c>
    </row>
    <row r="148">
      <c r="B148" s="61" t="s">
        <v>3722</v>
      </c>
      <c r="C148" s="94" t="s">
        <v>17</v>
      </c>
      <c r="D148" s="62" t="s">
        <v>3723</v>
      </c>
      <c r="E148" s="11" t="str">
        <f>HYPERLINK("https://youtu.be/7KoYrPvvUqU?t=5772","channel 4")</f>
        <v>channel 4</v>
      </c>
    </row>
    <row r="149">
      <c r="B149" s="62" t="s">
        <v>3724</v>
      </c>
      <c r="C149" s="94" t="s">
        <v>640</v>
      </c>
      <c r="D149" s="62" t="s">
        <v>3725</v>
      </c>
      <c r="E149" s="11" t="str">
        <f>HYPERLINK("https://youtu.be/9yXRAq-nLv4?t=6841","channel 3")</f>
        <v>channel 3</v>
      </c>
    </row>
    <row r="150">
      <c r="B150" s="62" t="s">
        <v>2448</v>
      </c>
      <c r="C150" s="94" t="s">
        <v>301</v>
      </c>
      <c r="D150" s="62" t="s">
        <v>3723</v>
      </c>
      <c r="E150" s="11" t="str">
        <f>HYPERLINK("https://youtu.be/7KoYrPvvUqU?t=6670","channel 4")</f>
        <v>channel 4</v>
      </c>
    </row>
    <row r="151">
      <c r="B151" s="61" t="s">
        <v>3722</v>
      </c>
      <c r="C151" s="94" t="s">
        <v>2887</v>
      </c>
      <c r="D151" s="62" t="s">
        <v>3725</v>
      </c>
      <c r="E151" s="11" t="str">
        <f>HYPERLINK("https://youtu.be/9yXRAq-nLv4?t=7821","channel 3")</f>
        <v>channel 3</v>
      </c>
    </row>
    <row r="152">
      <c r="B152" s="62" t="s">
        <v>2448</v>
      </c>
      <c r="C152" s="94" t="s">
        <v>281</v>
      </c>
      <c r="D152" s="62" t="s">
        <v>3724</v>
      </c>
      <c r="E152" s="11" t="str">
        <f>HYPERLINK("https://youtu.be/7KoYrPvvUqU?t=7617","channel 4")</f>
        <v>channel 4</v>
      </c>
    </row>
    <row r="153">
      <c r="B153" s="62" t="s">
        <v>3723</v>
      </c>
      <c r="C153" s="94" t="s">
        <v>218</v>
      </c>
      <c r="D153" s="62" t="s">
        <v>3725</v>
      </c>
      <c r="E153" s="11" t="str">
        <f>HYPERLINK("https://youtu.be/9yXRAq-nLv4?t=8760","channel 3")</f>
        <v>channel 3</v>
      </c>
    </row>
    <row r="154">
      <c r="B154" s="61" t="s">
        <v>3722</v>
      </c>
      <c r="C154" s="94" t="s">
        <v>185</v>
      </c>
      <c r="D154" s="62" t="s">
        <v>3724</v>
      </c>
      <c r="E154" s="11" t="str">
        <f>HYPERLINK("https://youtu.be/7KoYrPvvUqU?t=8579","channel 4")</f>
        <v>channel 4</v>
      </c>
    </row>
    <row r="155">
      <c r="B155" s="96" t="s">
        <v>2712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0" t="s">
        <v>2192</v>
      </c>
      <c r="C157" s="94" t="s">
        <v>7</v>
      </c>
      <c r="D157" s="61" t="s">
        <v>3726</v>
      </c>
      <c r="E157" s="11" t="str">
        <f>HYPERLINK("https://www.youtube.com/watch?v=-D8KMbCGks4","channel 3")</f>
        <v>channel 3</v>
      </c>
    </row>
    <row r="158">
      <c r="B158" s="61" t="s">
        <v>1176</v>
      </c>
      <c r="C158" s="94" t="s">
        <v>158</v>
      </c>
      <c r="D158" s="62" t="s">
        <v>3574</v>
      </c>
      <c r="E158" s="11" t="str">
        <f>HYPERLINK("https://youtu.be/8ZvBP2pzihY","channel 4")</f>
        <v>channel 4</v>
      </c>
    </row>
    <row r="159">
      <c r="B159" s="62" t="s">
        <v>3727</v>
      </c>
      <c r="C159" s="94" t="s">
        <v>534</v>
      </c>
      <c r="D159" s="62" t="s">
        <v>2192</v>
      </c>
      <c r="E159" s="11" t="str">
        <f>HYPERLINK("https://youtu.be/-D8KMbCGks4?t=1078","channel 3")</f>
        <v>channel 3</v>
      </c>
    </row>
    <row r="160">
      <c r="B160" s="61" t="s">
        <v>1176</v>
      </c>
      <c r="C160" s="94" t="s">
        <v>979</v>
      </c>
      <c r="D160" s="61" t="s">
        <v>3726</v>
      </c>
      <c r="E160" s="11" t="str">
        <f>HYPERLINK("https://youtu.be/8ZvBP2pzihY?t=433","channel 4")</f>
        <v>channel 4</v>
      </c>
    </row>
    <row r="161">
      <c r="B161" s="62" t="s">
        <v>3727</v>
      </c>
      <c r="C161" s="94" t="s">
        <v>271</v>
      </c>
      <c r="D161" s="62" t="s">
        <v>3574</v>
      </c>
      <c r="E161" s="11" t="str">
        <f>HYPERLINK("https://youtu.be/-D8KMbCGks4?t=2051","channel 3")</f>
        <v>channel 3</v>
      </c>
    </row>
    <row r="162">
      <c r="B162" s="61" t="s">
        <v>1176</v>
      </c>
      <c r="C162" s="94" t="s">
        <v>16</v>
      </c>
      <c r="D162" s="62" t="s">
        <v>2192</v>
      </c>
      <c r="E162" s="11" t="str">
        <f>HYPERLINK("https://youtu.be/8ZvBP2pzihY?t=1363","channel 4")</f>
        <v>channel 4</v>
      </c>
    </row>
    <row r="163">
      <c r="B163" s="62" t="s">
        <v>3727</v>
      </c>
      <c r="C163" s="94" t="s">
        <v>20</v>
      </c>
      <c r="D163" s="61" t="s">
        <v>3726</v>
      </c>
      <c r="E163" s="11" t="str">
        <f>HYPERLINK("https://youtu.be/-D8KMbCGks4?t=3034","channel 3")</f>
        <v>channel 3</v>
      </c>
    </row>
    <row r="164">
      <c r="B164" s="62" t="s">
        <v>3574</v>
      </c>
      <c r="C164" s="94" t="s">
        <v>209</v>
      </c>
      <c r="D164" s="62" t="s">
        <v>2192</v>
      </c>
      <c r="E164" s="11" t="str">
        <f>HYPERLINK("https://youtu.be/8ZvBP2pzihY?t=2243","channel 4")</f>
        <v>channel 4</v>
      </c>
    </row>
    <row r="165">
      <c r="B165" s="62" t="s">
        <v>3727</v>
      </c>
      <c r="C165" s="94" t="s">
        <v>166</v>
      </c>
      <c r="D165" s="61" t="s">
        <v>1176</v>
      </c>
      <c r="E165" s="11" t="str">
        <f>HYPERLINK("https://youtu.be/-D8KMbCGks4?t=3946","channel 3")</f>
        <v>channel 3</v>
      </c>
    </row>
    <row r="166">
      <c r="B166" s="62" t="s">
        <v>3574</v>
      </c>
      <c r="C166" s="94" t="s">
        <v>181</v>
      </c>
      <c r="D166" s="61" t="s">
        <v>3726</v>
      </c>
      <c r="E166" s="11" t="str">
        <f>HYPERLINK("https://youtu.be/8ZvBP2pzihY?t=3200","channel 4")</f>
        <v>channel 4</v>
      </c>
    </row>
    <row r="167">
      <c r="B167" s="61" t="s">
        <v>3726</v>
      </c>
      <c r="C167" s="94" t="s">
        <v>220</v>
      </c>
      <c r="D167" s="62" t="s">
        <v>2192</v>
      </c>
      <c r="E167" s="11" t="str">
        <f>HYPERLINK("https://youtu.be/-D8KMbCGks4?t=4889","channel 3")</f>
        <v>channel 3</v>
      </c>
    </row>
    <row r="168">
      <c r="B168" s="62" t="s">
        <v>3574</v>
      </c>
      <c r="C168" s="94" t="s">
        <v>620</v>
      </c>
      <c r="D168" s="61" t="s">
        <v>1176</v>
      </c>
      <c r="E168" s="11" t="str">
        <f>HYPERLINK("https://youtu.be/8ZvBP2pzihY?t=4141","channel 4")</f>
        <v>channel 4</v>
      </c>
    </row>
    <row r="169">
      <c r="B169" s="62" t="s">
        <v>2192</v>
      </c>
      <c r="C169" s="94" t="s">
        <v>324</v>
      </c>
      <c r="D169" s="62" t="s">
        <v>3727</v>
      </c>
      <c r="E169" s="11" t="str">
        <f>HYPERLINK("https://youtu.be/-D8KMbCGks4?t=5848","channel 3")</f>
        <v>channel 3</v>
      </c>
    </row>
    <row r="170">
      <c r="B170" s="61" t="s">
        <v>3726</v>
      </c>
      <c r="C170" s="94" t="s">
        <v>162</v>
      </c>
      <c r="D170" s="61" t="s">
        <v>1176</v>
      </c>
      <c r="E170" s="11" t="str">
        <f>HYPERLINK("https://youtu.be/8ZvBP2pzihY?t=5176","channel 4")</f>
        <v>channel 4</v>
      </c>
    </row>
    <row r="171">
      <c r="B171" s="62" t="s">
        <v>3574</v>
      </c>
      <c r="C171" s="94" t="s">
        <v>289</v>
      </c>
      <c r="D171" s="62" t="s">
        <v>3727</v>
      </c>
      <c r="E171" s="11" t="str">
        <f>HYPERLINK("https://youtu.be/-D8KMbCGks4?t=6791","channel 3")</f>
        <v>channel 3</v>
      </c>
    </row>
    <row r="172">
      <c r="B172" s="62" t="s">
        <v>2192</v>
      </c>
      <c r="C172" s="94" t="s">
        <v>209</v>
      </c>
      <c r="D172" s="61" t="s">
        <v>1176</v>
      </c>
      <c r="E172" s="11" t="str">
        <f>HYPERLINK("https://youtu.be/8ZvBP2pzihY?t=6095","channel 4")</f>
        <v>channel 4</v>
      </c>
    </row>
    <row r="173">
      <c r="B173" s="61" t="s">
        <v>3726</v>
      </c>
      <c r="C173" s="94" t="s">
        <v>23</v>
      </c>
      <c r="D173" s="62" t="s">
        <v>3727</v>
      </c>
      <c r="E173" s="11" t="str">
        <f>HYPERLINK("https://youtu.be/-D8KMbCGks4?t=7881","channel 3")</f>
        <v>channel 3</v>
      </c>
    </row>
    <row r="174">
      <c r="B174" s="62" t="s">
        <v>2192</v>
      </c>
      <c r="C174" s="94" t="s">
        <v>352</v>
      </c>
      <c r="D174" s="62" t="s">
        <v>3574</v>
      </c>
      <c r="E174" s="11" t="str">
        <f>HYPERLINK("https://youtu.be/8ZvBP2pzihY?t=7036","channel 4")</f>
        <v>channel 4</v>
      </c>
    </row>
    <row r="175">
      <c r="B175" s="61" t="s">
        <v>1176</v>
      </c>
      <c r="C175" s="94" t="s">
        <v>41</v>
      </c>
      <c r="D175" s="62" t="s">
        <v>3727</v>
      </c>
      <c r="E175" s="11" t="str">
        <f>HYPERLINK("https://youtu.be/-D8KMbCGks4?t=8802","channel 3")</f>
        <v>channel 3</v>
      </c>
    </row>
    <row r="176">
      <c r="B176" s="61" t="s">
        <v>3726</v>
      </c>
      <c r="C176" s="94" t="s">
        <v>219</v>
      </c>
      <c r="D176" s="62" t="s">
        <v>3574</v>
      </c>
      <c r="E176" s="11" t="str">
        <f>HYPERLINK("https://youtu.be/8ZvBP2pzihY?t=8051","channel 4")</f>
        <v>channel 4</v>
      </c>
    </row>
    <row r="177">
      <c r="B177" s="96" t="s">
        <v>2495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3429</v>
      </c>
      <c r="C179" s="94" t="s">
        <v>17</v>
      </c>
      <c r="D179" s="62" t="s">
        <v>3728</v>
      </c>
      <c r="E179" s="11" t="str">
        <f>HYPERLINK("https://youtu.be/8LyunK2RRoU","channel 1")</f>
        <v>channel 1</v>
      </c>
    </row>
    <row r="180">
      <c r="B180" s="62" t="s">
        <v>1191</v>
      </c>
      <c r="C180" s="94" t="s">
        <v>301</v>
      </c>
      <c r="D180" s="62" t="s">
        <v>131</v>
      </c>
      <c r="E180" s="11" t="str">
        <f>HYPERLINK("https://youtu.be/LLcQUth0opQ","channel 2")</f>
        <v>channel 2</v>
      </c>
    </row>
    <row r="181">
      <c r="B181" s="62" t="s">
        <v>3729</v>
      </c>
      <c r="C181" s="94" t="s">
        <v>545</v>
      </c>
      <c r="D181" s="62" t="s">
        <v>3429</v>
      </c>
      <c r="E181" s="11" t="str">
        <f>HYPERLINK("https://youtu.be/8LyunK2RRoU?t=1007","channel 1")</f>
        <v>channel 1</v>
      </c>
    </row>
    <row r="182">
      <c r="B182" s="62" t="s">
        <v>1191</v>
      </c>
      <c r="C182" s="94" t="s">
        <v>41</v>
      </c>
      <c r="D182" s="62" t="s">
        <v>3728</v>
      </c>
      <c r="E182" s="11" t="str">
        <f>HYPERLINK("https://youtu.be/LLcQUth0opQ?t=1106","channel 2")</f>
        <v>channel 2</v>
      </c>
    </row>
    <row r="183">
      <c r="B183" s="62" t="s">
        <v>3729</v>
      </c>
      <c r="C183" s="94" t="s">
        <v>248</v>
      </c>
      <c r="D183" s="62" t="s">
        <v>131</v>
      </c>
      <c r="E183" s="11" t="str">
        <f>HYPERLINK("https://youtu.be/8LyunK2RRoU?t=1926","channel 1")</f>
        <v>channel 1</v>
      </c>
    </row>
    <row r="184">
      <c r="B184" s="62" t="s">
        <v>1191</v>
      </c>
      <c r="C184" s="94" t="s">
        <v>554</v>
      </c>
      <c r="D184" s="62" t="s">
        <v>3429</v>
      </c>
      <c r="E184" s="11" t="str">
        <f>HYPERLINK("https://youtu.be/LLcQUth0opQ?t=2051","channel 2")</f>
        <v>channel 2</v>
      </c>
    </row>
    <row r="185">
      <c r="B185" s="62" t="s">
        <v>3729</v>
      </c>
      <c r="C185" s="94" t="s">
        <v>209</v>
      </c>
      <c r="D185" s="62" t="s">
        <v>3728</v>
      </c>
      <c r="E185" s="11" t="str">
        <f>HYPERLINK("https://youtu.be/8LyunK2RRoU?t=2852","channel 1")</f>
        <v>channel 1</v>
      </c>
    </row>
    <row r="186">
      <c r="B186" s="62" t="s">
        <v>131</v>
      </c>
      <c r="C186" s="94" t="s">
        <v>164</v>
      </c>
      <c r="D186" s="62" t="s">
        <v>3429</v>
      </c>
      <c r="E186" s="11" t="str">
        <f>HYPERLINK("https://youtu.be/LLcQUth0opQ?t=2956","channel 2")</f>
        <v>channel 2</v>
      </c>
    </row>
    <row r="187">
      <c r="B187" s="62" t="s">
        <v>3729</v>
      </c>
      <c r="C187" s="94" t="s">
        <v>517</v>
      </c>
      <c r="D187" s="62" t="s">
        <v>1191</v>
      </c>
      <c r="E187" s="11" t="str">
        <f>HYPERLINK("https://youtu.be/8LyunK2RRoU?t=3769","channel 1")</f>
        <v>channel 1</v>
      </c>
    </row>
    <row r="188">
      <c r="B188" s="62" t="s">
        <v>131</v>
      </c>
      <c r="C188" s="94" t="s">
        <v>547</v>
      </c>
      <c r="D188" s="62" t="s">
        <v>3728</v>
      </c>
      <c r="E188" s="11" t="str">
        <f>HYPERLINK("https://youtu.be/LLcQUth0opQ?t=3861","channel 2")</f>
        <v>channel 2</v>
      </c>
    </row>
    <row r="189">
      <c r="B189" s="62" t="s">
        <v>3728</v>
      </c>
      <c r="C189" s="94" t="s">
        <v>173</v>
      </c>
      <c r="D189" s="62" t="s">
        <v>3429</v>
      </c>
      <c r="E189" s="11" t="str">
        <f>HYPERLINK("https://youtu.be/8LyunK2RRoU?t=4673","channel 1")</f>
        <v>channel 1</v>
      </c>
    </row>
    <row r="190">
      <c r="B190" s="62" t="s">
        <v>131</v>
      </c>
      <c r="C190" s="94" t="s">
        <v>216</v>
      </c>
      <c r="D190" s="62" t="s">
        <v>1191</v>
      </c>
      <c r="E190" s="11" t="str">
        <f>HYPERLINK("https://youtu.be/LLcQUth0opQ?t=4784","channel 2")</f>
        <v>channel 2</v>
      </c>
    </row>
    <row r="191">
      <c r="B191" s="62" t="s">
        <v>3429</v>
      </c>
      <c r="C191" s="94" t="s">
        <v>464</v>
      </c>
      <c r="D191" s="62" t="s">
        <v>3729</v>
      </c>
      <c r="E191" s="11" t="str">
        <f>HYPERLINK("https://youtu.be/8LyunK2RRoU?t=5811","channel 1")</f>
        <v>channel 1</v>
      </c>
    </row>
    <row r="192">
      <c r="B192" s="62" t="s">
        <v>3728</v>
      </c>
      <c r="C192" s="94" t="s">
        <v>16</v>
      </c>
      <c r="D192" s="62" t="s">
        <v>1191</v>
      </c>
      <c r="E192" s="11" t="str">
        <f>HYPERLINK("https://youtu.be/LLcQUth0opQ?t=5874","channel 2")</f>
        <v>channel 2</v>
      </c>
    </row>
    <row r="193">
      <c r="B193" s="62" t="s">
        <v>131</v>
      </c>
      <c r="C193" s="94" t="s">
        <v>882</v>
      </c>
      <c r="D193" s="62" t="s">
        <v>3729</v>
      </c>
      <c r="E193" s="11" t="str">
        <f>HYPERLINK("https://youtu.be/8LyunK2RRoU?t=6668","channel 1")</f>
        <v>channel 1</v>
      </c>
    </row>
    <row r="194">
      <c r="B194" s="62" t="s">
        <v>3429</v>
      </c>
      <c r="C194" s="94" t="s">
        <v>43</v>
      </c>
      <c r="D194" s="62" t="s">
        <v>1191</v>
      </c>
      <c r="E194" s="11" t="str">
        <f>HYPERLINK("https://youtu.be/LLcQUth0opQ?t=6815","channel 2")</f>
        <v>channel 2</v>
      </c>
    </row>
    <row r="195">
      <c r="B195" s="62" t="s">
        <v>3728</v>
      </c>
      <c r="C195" s="94" t="s">
        <v>18</v>
      </c>
      <c r="D195" s="62" t="s">
        <v>3729</v>
      </c>
      <c r="E195" s="11" t="str">
        <f>HYPERLINK("https://youtu.be/8LyunK2RRoU?t=7579","channel 1")</f>
        <v>channel 1</v>
      </c>
    </row>
    <row r="196">
      <c r="B196" s="62" t="s">
        <v>3429</v>
      </c>
      <c r="C196" s="94" t="s">
        <v>233</v>
      </c>
      <c r="D196" s="62" t="s">
        <v>131</v>
      </c>
      <c r="E196" s="11" t="str">
        <f>HYPERLINK("https://youtu.be/LLcQUth0opQ?t=7734","channel 2")</f>
        <v>channel 2</v>
      </c>
    </row>
    <row r="197">
      <c r="B197" s="62" t="s">
        <v>1191</v>
      </c>
      <c r="C197" s="94" t="s">
        <v>697</v>
      </c>
      <c r="D197" s="62" t="s">
        <v>3729</v>
      </c>
      <c r="E197" s="11" t="str">
        <f>HYPERLINK("https://youtu.be/8LyunK2RRoU?t=8429","channel 1")</f>
        <v>channel 1</v>
      </c>
    </row>
    <row r="198">
      <c r="B198" s="62" t="s">
        <v>3728</v>
      </c>
      <c r="C198" s="94" t="s">
        <v>302</v>
      </c>
      <c r="D198" s="62" t="s">
        <v>131</v>
      </c>
      <c r="E198" s="11" t="str">
        <f>HYPERLINK("https://youtu.be/LLcQUth0opQ?t=8661","channel 2")</f>
        <v>channel 2</v>
      </c>
    </row>
    <row r="199">
      <c r="B199" s="96" t="s">
        <v>2375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3388</v>
      </c>
      <c r="C201" s="94" t="s">
        <v>23</v>
      </c>
      <c r="D201" s="62" t="s">
        <v>3730</v>
      </c>
      <c r="E201" s="11" t="str">
        <f>HYPERLINK("https://youtu.be/91gI8JV-ayM","channel 1")</f>
        <v>channel 1</v>
      </c>
    </row>
    <row r="202">
      <c r="B202" s="62" t="s">
        <v>3731</v>
      </c>
      <c r="C202" s="94" t="s">
        <v>166</v>
      </c>
      <c r="D202" s="62" t="s">
        <v>3126</v>
      </c>
      <c r="E202" s="11" t="str">
        <f>HYPERLINK("https://youtu.be/y0YIlz63QOo","channel 2")</f>
        <v>channel 2</v>
      </c>
    </row>
    <row r="203">
      <c r="B203" s="62" t="s">
        <v>3732</v>
      </c>
      <c r="C203" s="94" t="s">
        <v>2600</v>
      </c>
      <c r="D203" s="62" t="s">
        <v>3388</v>
      </c>
      <c r="E203" s="11" t="str">
        <f>HYPERLINK("https://youtu.be/91gI8JV-ayM?t=857","channel 1")</f>
        <v>channel 1</v>
      </c>
    </row>
    <row r="204">
      <c r="B204" s="62" t="s">
        <v>3731</v>
      </c>
      <c r="C204" s="94" t="s">
        <v>166</v>
      </c>
      <c r="D204" s="62" t="s">
        <v>3730</v>
      </c>
      <c r="E204" s="11" t="str">
        <f>HYPERLINK("https://youtu.be/y0YIlz63QOo?t=994","channel 2")</f>
        <v>channel 2</v>
      </c>
    </row>
    <row r="205">
      <c r="B205" s="62" t="s">
        <v>3732</v>
      </c>
      <c r="C205" s="94" t="s">
        <v>290</v>
      </c>
      <c r="D205" s="62" t="s">
        <v>3126</v>
      </c>
      <c r="E205" s="11" t="str">
        <f>HYPERLINK("https://youtu.be/91gI8JV-ayM?t=1809","channel 1")</f>
        <v>channel 1</v>
      </c>
    </row>
    <row r="206">
      <c r="B206" s="62" t="s">
        <v>3731</v>
      </c>
      <c r="C206" s="94" t="s">
        <v>545</v>
      </c>
      <c r="D206" s="62" t="s">
        <v>3388</v>
      </c>
      <c r="E206" s="11" t="str">
        <f>HYPERLINK("https://youtu.be/y0YIlz63QOo?t=2032","channel 2")</f>
        <v>channel 2</v>
      </c>
    </row>
    <row r="207">
      <c r="B207" s="62" t="s">
        <v>3732</v>
      </c>
      <c r="C207" s="94" t="s">
        <v>545</v>
      </c>
      <c r="D207" s="62" t="s">
        <v>3730</v>
      </c>
      <c r="E207" s="11" t="str">
        <f>HYPERLINK("https://youtu.be/91gI8JV-ayM?t=2783","channel 1")</f>
        <v>channel 1</v>
      </c>
    </row>
    <row r="208">
      <c r="B208" s="62" t="s">
        <v>3126</v>
      </c>
      <c r="C208" s="94" t="s">
        <v>248</v>
      </c>
      <c r="D208" s="62" t="s">
        <v>3388</v>
      </c>
      <c r="E208" s="11" t="str">
        <f>HYPERLINK("https://youtu.be/y0YIlz63QOo?t=2951","channel 2")</f>
        <v>channel 2</v>
      </c>
    </row>
    <row r="209">
      <c r="B209" s="62" t="s">
        <v>3732</v>
      </c>
      <c r="C209" s="94" t="s">
        <v>209</v>
      </c>
      <c r="D209" s="62" t="s">
        <v>3731</v>
      </c>
      <c r="E209" s="11" t="str">
        <f>HYPERLINK("https://youtu.be/91gI8JV-ayM?t=3694","channel 1")</f>
        <v>channel 1</v>
      </c>
    </row>
    <row r="210">
      <c r="B210" s="62" t="s">
        <v>3126</v>
      </c>
      <c r="C210" s="94" t="s">
        <v>158</v>
      </c>
      <c r="D210" s="62" t="s">
        <v>3730</v>
      </c>
      <c r="E210" s="11" t="str">
        <f>HYPERLINK("https://youtu.be/y0YIlz63QOo?t=3838","channel 2")</f>
        <v>channel 2</v>
      </c>
    </row>
    <row r="211">
      <c r="B211" s="62" t="s">
        <v>3730</v>
      </c>
      <c r="C211" s="94" t="s">
        <v>219</v>
      </c>
      <c r="D211" s="62" t="s">
        <v>3388</v>
      </c>
      <c r="E211" s="11" t="str">
        <f>HYPERLINK("https://youtu.be/91gI8JV-ayM?t=4649","channel 1")</f>
        <v>channel 1</v>
      </c>
    </row>
    <row r="212">
      <c r="B212" s="62" t="s">
        <v>3126</v>
      </c>
      <c r="C212" s="94" t="s">
        <v>185</v>
      </c>
      <c r="D212" s="62" t="s">
        <v>3731</v>
      </c>
      <c r="E212" s="11" t="str">
        <f>HYPERLINK("https://youtu.be/y0YIlz63QOo?t=4779","channel 2")</f>
        <v>channel 2</v>
      </c>
    </row>
    <row r="213">
      <c r="B213" s="62" t="s">
        <v>3388</v>
      </c>
      <c r="C213" s="94" t="s">
        <v>556</v>
      </c>
      <c r="D213" s="62" t="s">
        <v>3732</v>
      </c>
      <c r="E213" s="11" t="str">
        <f>HYPERLINK("https://youtu.be/91gI8JV-ayM?t=5536","channel 1")</f>
        <v>channel 1</v>
      </c>
    </row>
    <row r="214">
      <c r="B214" s="62" t="s">
        <v>3730</v>
      </c>
      <c r="C214" s="94" t="s">
        <v>289</v>
      </c>
      <c r="D214" s="62" t="s">
        <v>3731</v>
      </c>
      <c r="E214" s="11" t="str">
        <f>HYPERLINK("https://youtu.be/y0YIlz63QOo?t=5675","channel 2")</f>
        <v>channel 2</v>
      </c>
    </row>
    <row r="215">
      <c r="B215" s="62" t="s">
        <v>3126</v>
      </c>
      <c r="C215" s="94" t="s">
        <v>464</v>
      </c>
      <c r="D215" s="62" t="s">
        <v>3732</v>
      </c>
      <c r="E215" s="11" t="str">
        <f>HYPERLINK("https://youtu.be/91gI8JV-ayM?t=6426","channel 1")</f>
        <v>channel 1</v>
      </c>
    </row>
    <row r="216">
      <c r="B216" s="62" t="s">
        <v>3388</v>
      </c>
      <c r="C216" s="94" t="s">
        <v>547</v>
      </c>
      <c r="D216" s="62" t="s">
        <v>3731</v>
      </c>
      <c r="E216" s="11" t="str">
        <f>HYPERLINK("https://youtu.be/y0YIlz63QOo?t=6545","channel 2")</f>
        <v>channel 2</v>
      </c>
    </row>
    <row r="217">
      <c r="B217" s="62" t="s">
        <v>3730</v>
      </c>
      <c r="C217" s="94" t="s">
        <v>464</v>
      </c>
      <c r="D217" s="62" t="s">
        <v>3732</v>
      </c>
      <c r="E217" s="11" t="str">
        <f>HYPERLINK("https://youtu.be/91gI8JV-ayM?t=7235","channel 1")</f>
        <v>channel 1</v>
      </c>
    </row>
    <row r="218">
      <c r="B218" s="62" t="s">
        <v>3388</v>
      </c>
      <c r="C218" s="94" t="s">
        <v>158</v>
      </c>
      <c r="D218" s="62" t="s">
        <v>3126</v>
      </c>
      <c r="E218" s="11" t="str">
        <f>HYPERLINK("https://youtu.be/y0YIlz63QOo?t=7348","channel 2")</f>
        <v>channel 2</v>
      </c>
    </row>
    <row r="219">
      <c r="B219" s="62" t="s">
        <v>3731</v>
      </c>
      <c r="C219" s="94" t="s">
        <v>279</v>
      </c>
      <c r="D219" s="62" t="s">
        <v>3732</v>
      </c>
      <c r="E219" s="11" t="str">
        <f>HYPERLINK("https://youtu.be/91gI8JV-ayM?t=8049","channel 1")</f>
        <v>channel 1</v>
      </c>
    </row>
    <row r="220">
      <c r="B220" s="62" t="s">
        <v>3730</v>
      </c>
      <c r="C220" s="94" t="s">
        <v>155</v>
      </c>
      <c r="D220" s="62" t="s">
        <v>3126</v>
      </c>
      <c r="E220" s="11" t="str">
        <f>HYPERLINK("https://youtu.be/y0YIlz63QOo?t=8130","channel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2471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142" t="s">
        <v>1832</v>
      </c>
      <c r="C3" s="94" t="s">
        <v>162</v>
      </c>
      <c r="D3" s="61" t="s">
        <v>3733</v>
      </c>
      <c r="E3" s="11" t="str">
        <f>HYPERLINK("https://youtu.be/m4wYI6omIyM","channel 1")</f>
        <v>channel 1</v>
      </c>
    </row>
    <row r="4">
      <c r="A4" s="141"/>
      <c r="B4" s="61" t="s">
        <v>1966</v>
      </c>
      <c r="C4" s="94" t="s">
        <v>34</v>
      </c>
      <c r="D4" s="61" t="s">
        <v>3569</v>
      </c>
      <c r="E4" s="11" t="str">
        <f>HYPERLINK("https://youtu.be/Nv-0iT_VGfA","channel 2")</f>
        <v>channel 2</v>
      </c>
    </row>
    <row r="5">
      <c r="A5" s="141"/>
      <c r="B5" s="61" t="s">
        <v>3720</v>
      </c>
      <c r="C5" s="94" t="s">
        <v>257</v>
      </c>
      <c r="D5" s="61" t="s">
        <v>1832</v>
      </c>
      <c r="E5" s="11" t="str">
        <f>HYPERLINK("https://youtu.be/m4wYI6omIyM?t=1031","channel 1")</f>
        <v>channel 1</v>
      </c>
    </row>
    <row r="6">
      <c r="A6" s="141"/>
      <c r="B6" s="61" t="s">
        <v>1966</v>
      </c>
      <c r="C6" s="94" t="s">
        <v>354</v>
      </c>
      <c r="D6" s="61" t="s">
        <v>3733</v>
      </c>
      <c r="E6" s="11" t="str">
        <f>HYPERLINK("https://youtu.be/Nv-0iT_VGfA?t=1010","channel 2")</f>
        <v>channel 2</v>
      </c>
    </row>
    <row r="7">
      <c r="A7" s="141"/>
      <c r="B7" s="61" t="s">
        <v>3720</v>
      </c>
      <c r="C7" s="94" t="s">
        <v>17</v>
      </c>
      <c r="D7" s="61" t="s">
        <v>3569</v>
      </c>
      <c r="E7" s="11" t="str">
        <f>HYPERLINK("https://youtu.be/m4wYI6omIyM?t=1880","channel 1")</f>
        <v>channel 1</v>
      </c>
    </row>
    <row r="8">
      <c r="A8" s="141"/>
      <c r="B8" s="61" t="s">
        <v>1966</v>
      </c>
      <c r="C8" s="94" t="s">
        <v>302</v>
      </c>
      <c r="D8" s="61" t="s">
        <v>1832</v>
      </c>
      <c r="E8" s="11" t="str">
        <f>HYPERLINK("https://youtu.be/Nv-0iT_VGfA?t=2032","channel 2")</f>
        <v>channel 2</v>
      </c>
    </row>
    <row r="9">
      <c r="A9" s="141"/>
      <c r="B9" s="61" t="s">
        <v>3720</v>
      </c>
      <c r="C9" s="94" t="s">
        <v>344</v>
      </c>
      <c r="D9" s="61" t="s">
        <v>3733</v>
      </c>
      <c r="E9" s="11" t="str">
        <f>HYPERLINK("https://youtu.be/m4wYI6omIyM?t=2869","channel 1")</f>
        <v>channel 1</v>
      </c>
    </row>
    <row r="10">
      <c r="A10" s="141"/>
      <c r="B10" s="61" t="s">
        <v>3569</v>
      </c>
      <c r="C10" s="94" t="s">
        <v>362</v>
      </c>
      <c r="D10" s="61" t="s">
        <v>1832</v>
      </c>
      <c r="E10" s="11" t="str">
        <f>HYPERLINK("https://youtu.be/Nv-0iT_VGfA?t=2917","channel 2")</f>
        <v>channel 2</v>
      </c>
    </row>
    <row r="11">
      <c r="A11" s="141"/>
      <c r="B11" s="61" t="s">
        <v>3720</v>
      </c>
      <c r="C11" s="94" t="s">
        <v>194</v>
      </c>
      <c r="D11" s="61" t="s">
        <v>1966</v>
      </c>
      <c r="E11" s="11" t="str">
        <f>HYPERLINK("https://youtu.be/m4wYI6omIyM?t=3801","channel 1")</f>
        <v>channel 1</v>
      </c>
    </row>
    <row r="12">
      <c r="A12" s="141"/>
      <c r="B12" s="61" t="s">
        <v>3569</v>
      </c>
      <c r="C12" s="94" t="s">
        <v>545</v>
      </c>
      <c r="D12" s="61" t="s">
        <v>3733</v>
      </c>
      <c r="E12" s="11" t="str">
        <f>HYPERLINK("https://youtu.be/Nv-0iT_VGfA?t=3881","channel 2")</f>
        <v>channel 2</v>
      </c>
    </row>
    <row r="13">
      <c r="A13" s="141"/>
      <c r="B13" s="61" t="s">
        <v>3733</v>
      </c>
      <c r="C13" s="94" t="s">
        <v>18</v>
      </c>
      <c r="D13" s="61" t="s">
        <v>1832</v>
      </c>
      <c r="E13" s="11" t="str">
        <f>HYPERLINK("https://youtu.be/m4wYI6omIyM?t=4736","channel 1")</f>
        <v>channel 1</v>
      </c>
    </row>
    <row r="14">
      <c r="A14" s="141"/>
      <c r="B14" s="61" t="s">
        <v>3569</v>
      </c>
      <c r="C14" s="94" t="s">
        <v>168</v>
      </c>
      <c r="D14" s="61" t="s">
        <v>1966</v>
      </c>
      <c r="E14" s="11" t="str">
        <f>HYPERLINK("https://youtu.be/Nv-0iT_VGfA?t=4892","channel 2")</f>
        <v>channel 2</v>
      </c>
    </row>
    <row r="15">
      <c r="A15" s="141"/>
      <c r="B15" s="61" t="s">
        <v>1832</v>
      </c>
      <c r="C15" s="94" t="s">
        <v>37</v>
      </c>
      <c r="D15" s="61" t="s">
        <v>3720</v>
      </c>
      <c r="E15" s="11" t="str">
        <f>HYPERLINK("https://youtu.be/m4wYI6omIyM?t=5694","channel 1")</f>
        <v>channel 1</v>
      </c>
    </row>
    <row r="16">
      <c r="A16" s="141"/>
      <c r="B16" s="61" t="s">
        <v>3733</v>
      </c>
      <c r="C16" s="94" t="s">
        <v>281</v>
      </c>
      <c r="D16" s="61" t="s">
        <v>1966</v>
      </c>
      <c r="E16" s="11" t="str">
        <f>HYPERLINK("https://youtu.be/Nv-0iT_VGfA?t=5874","channel 2")</f>
        <v>channel 2</v>
      </c>
    </row>
    <row r="17">
      <c r="A17" s="141"/>
      <c r="B17" s="61" t="s">
        <v>3569</v>
      </c>
      <c r="C17" s="94" t="s">
        <v>303</v>
      </c>
      <c r="D17" s="61" t="s">
        <v>3720</v>
      </c>
      <c r="E17" s="11" t="str">
        <f>HYPERLINK("https://youtu.be/m4wYI6omIyM?t=6606","channel 1")</f>
        <v>channel 1</v>
      </c>
    </row>
    <row r="18">
      <c r="A18" s="141"/>
      <c r="B18" s="61" t="s">
        <v>1832</v>
      </c>
      <c r="C18" s="94" t="s">
        <v>2379</v>
      </c>
      <c r="D18" s="61" t="s">
        <v>1966</v>
      </c>
      <c r="E18" s="11" t="str">
        <f>HYPERLINK("https://youtu.be/Nv-0iT_VGfA?t=7721","channel 2")</f>
        <v>channel 2</v>
      </c>
    </row>
    <row r="19">
      <c r="A19" s="141"/>
      <c r="B19" s="61" t="s">
        <v>3733</v>
      </c>
      <c r="C19" s="94" t="s">
        <v>342</v>
      </c>
      <c r="D19" s="61" t="s">
        <v>3720</v>
      </c>
      <c r="E19" s="11" t="str">
        <f>HYPERLINK("https://youtu.be/m4wYI6omIyM?t=7533","channel 1")</f>
        <v>channel 1</v>
      </c>
    </row>
    <row r="20">
      <c r="A20" s="141"/>
      <c r="B20" s="61" t="s">
        <v>1832</v>
      </c>
      <c r="C20" s="94" t="s">
        <v>162</v>
      </c>
      <c r="D20" s="61" t="s">
        <v>3569</v>
      </c>
      <c r="E20" s="11" t="str">
        <f>HYPERLINK("https://youtu.be/Nv-0iT_VGfA?t=7721","channel 2")</f>
        <v>channel 2</v>
      </c>
    </row>
    <row r="21">
      <c r="A21" s="141"/>
      <c r="B21" s="61" t="s">
        <v>1966</v>
      </c>
      <c r="C21" s="94" t="s">
        <v>515</v>
      </c>
      <c r="D21" s="61" t="s">
        <v>3720</v>
      </c>
      <c r="E21" s="11" t="str">
        <f>HYPERLINK("https://youtu.be/m4wYI6omIyM?t=8468","channel 1")</f>
        <v>channel 1</v>
      </c>
    </row>
    <row r="22">
      <c r="A22" s="141"/>
      <c r="B22" s="61" t="s">
        <v>3733</v>
      </c>
      <c r="C22" s="94" t="s">
        <v>246</v>
      </c>
      <c r="D22" s="61" t="s">
        <v>3569</v>
      </c>
      <c r="E22" s="11" t="str">
        <f>HYPERLINK("https://youtu.be/Nv-0iT_VGfA?t=8630","channel 2")</f>
        <v>channel 2</v>
      </c>
    </row>
    <row r="23">
      <c r="A23" s="141"/>
      <c r="B23" s="96" t="s">
        <v>2410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2580</v>
      </c>
      <c r="C25" s="94" t="s">
        <v>573</v>
      </c>
      <c r="D25" s="61" t="s">
        <v>2577</v>
      </c>
      <c r="E25" s="11" t="str">
        <f>HYPERLINK("https://youtu.be/uR5x7lxdAPA","channel 1")</f>
        <v>channel 1</v>
      </c>
    </row>
    <row r="26">
      <c r="A26" s="141"/>
      <c r="B26" s="61" t="s">
        <v>217</v>
      </c>
      <c r="C26" s="94" t="s">
        <v>7</v>
      </c>
      <c r="D26" s="61" t="s">
        <v>3734</v>
      </c>
      <c r="E26" s="11" t="str">
        <f>HYPERLINK("https://youtu.be/L8pxZQj2Cvg","channel 2")</f>
        <v>channel 2</v>
      </c>
    </row>
    <row r="27">
      <c r="A27" s="141"/>
      <c r="B27" s="61" t="s">
        <v>3735</v>
      </c>
      <c r="C27" s="94" t="s">
        <v>183</v>
      </c>
      <c r="D27" s="61" t="s">
        <v>2580</v>
      </c>
      <c r="E27" s="11" t="str">
        <f>HYPERLINK("https://youtu.be/uR5x7lxdAPA?t=973","channel 1")</f>
        <v>channel 1</v>
      </c>
    </row>
    <row r="28">
      <c r="A28" s="141"/>
      <c r="B28" s="61" t="s">
        <v>217</v>
      </c>
      <c r="C28" s="94" t="s">
        <v>376</v>
      </c>
      <c r="D28" s="61" t="s">
        <v>2577</v>
      </c>
      <c r="E28" s="11" t="str">
        <f>HYPERLINK("https://youtu.be/L8pxZQj2Cvg?t=1017","channel 2")</f>
        <v>channel 2</v>
      </c>
    </row>
    <row r="29">
      <c r="A29" s="141"/>
      <c r="B29" s="61" t="s">
        <v>3735</v>
      </c>
      <c r="C29" s="94" t="s">
        <v>344</v>
      </c>
      <c r="D29" s="61" t="s">
        <v>3734</v>
      </c>
      <c r="E29" s="11" t="str">
        <f>HYPERLINK("https://youtu.be/uR5x7lxdAPA?t=1935","channel 1")</f>
        <v>channel 1</v>
      </c>
    </row>
    <row r="30">
      <c r="A30" s="141"/>
      <c r="B30" s="61" t="s">
        <v>217</v>
      </c>
      <c r="C30" s="94" t="s">
        <v>218</v>
      </c>
      <c r="D30" s="61" t="s">
        <v>2580</v>
      </c>
      <c r="E30" s="11" t="str">
        <f>HYPERLINK("https://youtu.be/L8pxZQj2Cvg?t=1922","channel 2")</f>
        <v>channel 2</v>
      </c>
    </row>
    <row r="31">
      <c r="A31" s="141"/>
      <c r="B31" s="61" t="s">
        <v>3735</v>
      </c>
      <c r="C31" s="94" t="s">
        <v>761</v>
      </c>
      <c r="D31" s="61" t="s">
        <v>2577</v>
      </c>
      <c r="E31" s="11" t="str">
        <f>HYPERLINK("https://youtu.be/uR5x7lxdAPA?t=2920","channel 1")</f>
        <v>channel 1</v>
      </c>
    </row>
    <row r="32">
      <c r="A32" s="141"/>
      <c r="B32" s="61" t="s">
        <v>3734</v>
      </c>
      <c r="C32" s="94" t="s">
        <v>155</v>
      </c>
      <c r="D32" s="61" t="s">
        <v>2580</v>
      </c>
      <c r="E32" s="11" t="str">
        <f>HYPERLINK("https://youtu.be/L8pxZQj2Cvg?t=2864","channel 2")</f>
        <v>channel 2</v>
      </c>
    </row>
    <row r="33">
      <c r="A33" s="141"/>
      <c r="B33" s="61" t="s">
        <v>3735</v>
      </c>
      <c r="C33" s="94" t="s">
        <v>166</v>
      </c>
      <c r="D33" s="61" t="s">
        <v>217</v>
      </c>
      <c r="E33" s="11" t="str">
        <f>HYPERLINK("https://youtu.be/uR5x7lxdAPA?t=3882","channel 1")</f>
        <v>channel 1</v>
      </c>
    </row>
    <row r="34">
      <c r="A34" s="141"/>
      <c r="B34" s="61" t="s">
        <v>3734</v>
      </c>
      <c r="C34" s="94" t="s">
        <v>248</v>
      </c>
      <c r="D34" s="61" t="s">
        <v>2577</v>
      </c>
      <c r="E34" s="11" t="str">
        <f>HYPERLINK("https://youtu.be/L8pxZQj2Cvg?t=3778","channel 2")</f>
        <v>channel 2</v>
      </c>
    </row>
    <row r="35">
      <c r="A35" s="141"/>
      <c r="B35" s="61" t="s">
        <v>2577</v>
      </c>
      <c r="C35" s="94" t="s">
        <v>454</v>
      </c>
      <c r="D35" s="61" t="s">
        <v>2580</v>
      </c>
      <c r="E35" s="11" t="str">
        <f>HYPERLINK("https://youtu.be/uR5x7lxdAPA?t=4867","channel 1")</f>
        <v>channel 1</v>
      </c>
    </row>
    <row r="36">
      <c r="A36" s="141"/>
      <c r="B36" s="61" t="s">
        <v>3734</v>
      </c>
      <c r="C36" s="94" t="s">
        <v>27</v>
      </c>
      <c r="D36" s="61" t="s">
        <v>217</v>
      </c>
      <c r="E36" s="11" t="str">
        <f>HYPERLINK("https://youtu.be/L8pxZQj2Cvg?t=4758","channel 2")</f>
        <v>channel 2</v>
      </c>
    </row>
    <row r="37">
      <c r="A37" s="141"/>
      <c r="B37" s="61" t="s">
        <v>2580</v>
      </c>
      <c r="C37" s="94" t="s">
        <v>176</v>
      </c>
      <c r="D37" s="61" t="s">
        <v>3735</v>
      </c>
      <c r="E37" s="11" t="str">
        <f>HYPERLINK("https://youtu.be/uR5x7lxdAPA?t=5832","channel 1")</f>
        <v>channel 1</v>
      </c>
    </row>
    <row r="38">
      <c r="A38" s="141"/>
      <c r="B38" s="61" t="s">
        <v>2577</v>
      </c>
      <c r="C38" s="94" t="s">
        <v>176</v>
      </c>
      <c r="D38" s="61" t="s">
        <v>217</v>
      </c>
      <c r="E38" s="11" t="str">
        <f>HYPERLINK("https://youtu.be/L8pxZQj2Cvg?t=5859","channel 2")</f>
        <v>channel 2</v>
      </c>
    </row>
    <row r="39">
      <c r="A39" s="141"/>
      <c r="B39" s="61" t="s">
        <v>3734</v>
      </c>
      <c r="C39" s="94" t="s">
        <v>20</v>
      </c>
      <c r="D39" s="61" t="s">
        <v>3735</v>
      </c>
      <c r="E39" s="11" t="str">
        <f>HYPERLINK("https://youtu.be/uR5x7lxdAPA?t=6747","channel 1")</f>
        <v>channel 1</v>
      </c>
    </row>
    <row r="40">
      <c r="A40" s="141"/>
      <c r="B40" s="61" t="s">
        <v>2580</v>
      </c>
      <c r="C40" s="94" t="s">
        <v>433</v>
      </c>
      <c r="D40" s="61" t="s">
        <v>217</v>
      </c>
      <c r="E40" s="11" t="str">
        <f>HYPERLINK("https://youtu.be/L8pxZQj2Cvg?t=6816","channel 2")</f>
        <v>channel 2</v>
      </c>
    </row>
    <row r="41">
      <c r="A41" s="141"/>
      <c r="B41" s="61" t="s">
        <v>2577</v>
      </c>
      <c r="C41" s="94" t="s">
        <v>216</v>
      </c>
      <c r="D41" s="61" t="s">
        <v>3735</v>
      </c>
      <c r="E41" s="11" t="str">
        <f>HYPERLINK("https://youtu.be/uR5x7lxdAPA?t=7669","channel 1")</f>
        <v>channel 1</v>
      </c>
    </row>
    <row r="42">
      <c r="A42" s="141"/>
      <c r="B42" s="61" t="s">
        <v>2580</v>
      </c>
      <c r="C42" s="94" t="s">
        <v>281</v>
      </c>
      <c r="D42" s="61" t="s">
        <v>3734</v>
      </c>
      <c r="E42" s="11" t="str">
        <f>HYPERLINK("https://youtu.be/L8pxZQj2Cvg?t=7801","channel 2")</f>
        <v>channel 2</v>
      </c>
    </row>
    <row r="43">
      <c r="A43" s="141"/>
      <c r="B43" s="61" t="s">
        <v>217</v>
      </c>
      <c r="C43" s="94" t="s">
        <v>164</v>
      </c>
      <c r="D43" s="61" t="s">
        <v>3735</v>
      </c>
      <c r="E43" s="11" t="str">
        <f>HYPERLINK("https://youtu.be/uR5x7lxdAPA?t=8607","channel 1")</f>
        <v>channel 1</v>
      </c>
    </row>
    <row r="44">
      <c r="A44" s="141"/>
      <c r="B44" s="61" t="s">
        <v>2577</v>
      </c>
      <c r="C44" s="94" t="s">
        <v>3736</v>
      </c>
      <c r="D44" s="61" t="s">
        <v>3734</v>
      </c>
      <c r="E44" s="11" t="str">
        <f>HYPERLINK("https://youtu.be/L8pxZQj2Cvg?t=8774","channel 2")</f>
        <v>channel 2</v>
      </c>
    </row>
    <row r="45">
      <c r="A45" s="141"/>
      <c r="B45" s="96" t="s">
        <v>3737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3281</v>
      </c>
      <c r="C47" s="81" t="s">
        <v>668</v>
      </c>
      <c r="D47" s="61" t="s">
        <v>3738</v>
      </c>
      <c r="E47" s="125" t="s">
        <v>29</v>
      </c>
    </row>
    <row r="48">
      <c r="A48" s="141"/>
      <c r="B48" s="61" t="s">
        <v>1102</v>
      </c>
      <c r="C48" s="94" t="s">
        <v>225</v>
      </c>
      <c r="D48" s="61" t="s">
        <v>3676</v>
      </c>
      <c r="E48" s="11" t="str">
        <f>HYPERLINK("https://youtu.be/gw5AJbgONyU","channel 4")</f>
        <v>channel 4</v>
      </c>
    </row>
    <row r="49">
      <c r="A49" s="141"/>
      <c r="B49" s="114" t="s">
        <v>438</v>
      </c>
      <c r="C49" s="94" t="s">
        <v>357</v>
      </c>
      <c r="D49" s="114" t="s">
        <v>3281</v>
      </c>
      <c r="E49" s="11" t="str">
        <f>HYPERLINK("https://www.youtube.com/watch?v=lzJ-XgCK0Io&amp;feature=youtu.be","channel 3")</f>
        <v>channel 3</v>
      </c>
    </row>
    <row r="50">
      <c r="A50" s="141"/>
      <c r="B50" s="61" t="s">
        <v>1102</v>
      </c>
      <c r="C50" s="94" t="s">
        <v>301</v>
      </c>
      <c r="D50" s="61" t="s">
        <v>3738</v>
      </c>
      <c r="E50" s="11" t="str">
        <f>HYPERLINK("https://youtu.be/gw5AJbgONyU?t=949","channel 4")</f>
        <v>channel 4</v>
      </c>
    </row>
    <row r="51">
      <c r="A51" s="141"/>
      <c r="B51" s="114" t="s">
        <v>438</v>
      </c>
      <c r="C51" s="94" t="s">
        <v>173</v>
      </c>
      <c r="D51" s="114" t="s">
        <v>3676</v>
      </c>
      <c r="E51" s="11" t="str">
        <f>HYPERLINK("https://youtu.be/lzJ-XgCK0Io?t=1048","channel 3")</f>
        <v>channel 3</v>
      </c>
    </row>
    <row r="52">
      <c r="A52" s="141"/>
      <c r="B52" s="61" t="s">
        <v>1102</v>
      </c>
      <c r="C52" s="94" t="s">
        <v>525</v>
      </c>
      <c r="D52" s="61" t="s">
        <v>3281</v>
      </c>
      <c r="E52" s="11" t="str">
        <f>HYPERLINK("https://youtu.be/gw5AJbgONyU?t=1975","channel 4")</f>
        <v>channel 4</v>
      </c>
    </row>
    <row r="53">
      <c r="A53" s="141"/>
      <c r="B53" s="114" t="s">
        <v>438</v>
      </c>
      <c r="C53" s="94" t="s">
        <v>3739</v>
      </c>
      <c r="D53" s="114" t="s">
        <v>3738</v>
      </c>
      <c r="E53" s="11" t="str">
        <f>HYPERLINK("https://youtu.be/lzJ-XgCK0Io?t=2072","channel 3")</f>
        <v>channel 3</v>
      </c>
    </row>
    <row r="54">
      <c r="A54" s="141"/>
      <c r="B54" s="61" t="s">
        <v>3676</v>
      </c>
      <c r="C54" s="94" t="s">
        <v>184</v>
      </c>
      <c r="D54" s="61" t="s">
        <v>3281</v>
      </c>
      <c r="E54" s="11" t="str">
        <f>HYPERLINK("https://youtu.be/gw5AJbgONyU?t=2976","channel 4")</f>
        <v>channel 4</v>
      </c>
    </row>
    <row r="55">
      <c r="A55" s="141"/>
      <c r="B55" s="114" t="s">
        <v>438</v>
      </c>
      <c r="C55" s="94" t="s">
        <v>425</v>
      </c>
      <c r="D55" s="114" t="s">
        <v>1102</v>
      </c>
      <c r="E55" s="11" t="str">
        <f>HYPERLINK("https://youtu.be/lzJ-XgCK0Io?t=2947","channel 3")</f>
        <v>channel 3</v>
      </c>
    </row>
    <row r="56">
      <c r="A56" s="141"/>
      <c r="B56" s="61" t="s">
        <v>3676</v>
      </c>
      <c r="C56" s="94" t="s">
        <v>162</v>
      </c>
      <c r="D56" s="61" t="s">
        <v>3738</v>
      </c>
      <c r="E56" s="11" t="str">
        <f>HYPERLINK("https://youtu.be/gw5AJbgONyU?t=3882","channel 4")</f>
        <v>channel 4</v>
      </c>
    </row>
    <row r="57">
      <c r="A57" s="141"/>
      <c r="B57" s="114" t="s">
        <v>3738</v>
      </c>
      <c r="C57" s="94" t="s">
        <v>291</v>
      </c>
      <c r="D57" s="114" t="s">
        <v>3281</v>
      </c>
      <c r="E57" s="11" t="str">
        <f>HYPERLINK("https://youtu.be/lzJ-XgCK0Io?t=4315","channel 3")</f>
        <v>channel 3</v>
      </c>
    </row>
    <row r="58">
      <c r="A58" s="141"/>
      <c r="B58" s="61" t="s">
        <v>3676</v>
      </c>
      <c r="C58" s="94" t="s">
        <v>27</v>
      </c>
      <c r="D58" s="61" t="s">
        <v>1102</v>
      </c>
      <c r="E58" s="11" t="str">
        <f>HYPERLINK("https://youtu.be/gw5AJbgONyU?t=4753","channel 4")</f>
        <v>channel 4</v>
      </c>
    </row>
    <row r="59">
      <c r="A59" s="141"/>
      <c r="B59" s="114" t="s">
        <v>3281</v>
      </c>
      <c r="C59" s="94" t="s">
        <v>19</v>
      </c>
      <c r="D59" s="114" t="s">
        <v>438</v>
      </c>
      <c r="E59" s="11" t="str">
        <f>HYPERLINK("https://youtu.be/lzJ-XgCK0Io?t=5250","channel 3")</f>
        <v>channel 3</v>
      </c>
    </row>
    <row r="60">
      <c r="A60" s="141"/>
      <c r="B60" s="61" t="s">
        <v>3738</v>
      </c>
      <c r="C60" s="94" t="s">
        <v>194</v>
      </c>
      <c r="D60" s="61" t="s">
        <v>1102</v>
      </c>
      <c r="E60" s="11" t="str">
        <f>HYPERLINK("https://youtu.be/gw5AJbgONyU?t=5714","channel 4")</f>
        <v>channel 4</v>
      </c>
    </row>
    <row r="61">
      <c r="A61" s="141"/>
      <c r="B61" s="114" t="s">
        <v>3676</v>
      </c>
      <c r="C61" s="94" t="s">
        <v>304</v>
      </c>
      <c r="D61" s="114" t="s">
        <v>438</v>
      </c>
      <c r="E61" s="11" t="str">
        <f>HYPERLINK("https://youtu.be/lzJ-XgCK0Io?t=6184","channel 3")</f>
        <v>channel 3</v>
      </c>
    </row>
    <row r="62">
      <c r="A62" s="141"/>
      <c r="B62" s="61" t="s">
        <v>3281</v>
      </c>
      <c r="C62" s="94" t="s">
        <v>324</v>
      </c>
      <c r="D62" s="61" t="s">
        <v>1102</v>
      </c>
      <c r="E62" s="11" t="str">
        <f>HYPERLINK("https://youtu.be/gw5AJbgONyU?t=6590","channel 4")</f>
        <v>channel 4</v>
      </c>
    </row>
    <row r="63">
      <c r="A63" s="141"/>
      <c r="B63" s="114" t="s">
        <v>3738</v>
      </c>
      <c r="C63" s="94" t="s">
        <v>20</v>
      </c>
      <c r="D63" s="114" t="s">
        <v>438</v>
      </c>
      <c r="E63" s="11" t="str">
        <f>HYPERLINK("https://youtu.be/lzJ-XgCK0Io?t=7096","channel 3")</f>
        <v>channel 3</v>
      </c>
    </row>
    <row r="64">
      <c r="A64" s="141"/>
      <c r="B64" s="61" t="s">
        <v>3281</v>
      </c>
      <c r="C64" s="94" t="s">
        <v>3740</v>
      </c>
      <c r="D64" s="61" t="s">
        <v>3676</v>
      </c>
      <c r="E64" s="11" t="str">
        <f>HYPERLINK("https://youtu.be/gw5AJbgONyU?t=7474","channel 4")</f>
        <v>channel 4</v>
      </c>
    </row>
    <row r="65">
      <c r="A65" s="141"/>
      <c r="B65" s="114" t="s">
        <v>1102</v>
      </c>
      <c r="C65" s="94" t="s">
        <v>344</v>
      </c>
      <c r="D65" s="114" t="s">
        <v>438</v>
      </c>
      <c r="E65" s="11" t="str">
        <f>HYPERLINK("https://youtu.be/lzJ-XgCK0Io?t=8006","channel 3")</f>
        <v>channel 3</v>
      </c>
    </row>
    <row r="66">
      <c r="A66" s="141"/>
      <c r="B66" s="61" t="s">
        <v>3738</v>
      </c>
      <c r="C66" s="94" t="s">
        <v>218</v>
      </c>
      <c r="D66" s="61" t="s">
        <v>3676</v>
      </c>
      <c r="E66" s="11" t="str">
        <f>HYPERLINK("https://youtu.be/gw5AJbgONyU?t=8316","channel 4")</f>
        <v>channel 4</v>
      </c>
    </row>
    <row r="67">
      <c r="A67" s="141"/>
      <c r="B67" s="96" t="s">
        <v>3047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114" t="s">
        <v>2536</v>
      </c>
      <c r="C69" s="94" t="s">
        <v>164</v>
      </c>
      <c r="D69" s="114" t="s">
        <v>2838</v>
      </c>
      <c r="E69" s="11" t="str">
        <f>HYPERLINK("https://youtu.be/Fvk7IwNhk-c","channel 3")</f>
        <v>channel 3</v>
      </c>
    </row>
    <row r="70">
      <c r="A70" s="141"/>
      <c r="B70" s="61" t="s">
        <v>3741</v>
      </c>
      <c r="C70" s="94" t="s">
        <v>158</v>
      </c>
      <c r="D70" s="61" t="s">
        <v>3742</v>
      </c>
      <c r="E70" s="11" t="str">
        <f>HYPERLINK("https://youtu.be/aJwge_8et5s","channel 4")</f>
        <v>channel 4</v>
      </c>
    </row>
    <row r="71">
      <c r="A71" s="141"/>
      <c r="B71" s="114" t="s">
        <v>2534</v>
      </c>
      <c r="C71" s="94" t="s">
        <v>250</v>
      </c>
      <c r="D71" s="114" t="s">
        <v>2536</v>
      </c>
      <c r="E71" s="11" t="str">
        <f>HYPERLINK("https://youtu.be/Fvk7IwNhk-c?t=1001","channel 3")</f>
        <v>channel 3</v>
      </c>
    </row>
    <row r="72">
      <c r="A72" s="141"/>
      <c r="B72" s="61" t="s">
        <v>3741</v>
      </c>
      <c r="C72" s="94" t="s">
        <v>173</v>
      </c>
      <c r="D72" s="61" t="s">
        <v>2838</v>
      </c>
      <c r="E72" s="11" t="str">
        <f>HYPERLINK("https://youtu.be/aJwge_8et5s?t=979","channel 4")</f>
        <v>channel 4</v>
      </c>
    </row>
    <row r="73">
      <c r="A73" s="141"/>
      <c r="B73" s="114" t="s">
        <v>2534</v>
      </c>
      <c r="C73" s="94" t="s">
        <v>158</v>
      </c>
      <c r="D73" s="114" t="s">
        <v>3742</v>
      </c>
      <c r="E73" s="11" t="str">
        <f>HYPERLINK("https://youtu.be/Fvk7IwNhk-c?t=1914","channel 3")</f>
        <v>channel 3</v>
      </c>
    </row>
    <row r="74">
      <c r="A74" s="141"/>
      <c r="B74" s="61" t="s">
        <v>3741</v>
      </c>
      <c r="C74" s="94" t="s">
        <v>271</v>
      </c>
      <c r="D74" s="61" t="s">
        <v>2536</v>
      </c>
      <c r="E74" s="11" t="str">
        <f>HYPERLINK("https://youtu.be/aJwge_8et5s?t=1879","channel 4")</f>
        <v>channel 4</v>
      </c>
    </row>
    <row r="75">
      <c r="A75" s="141"/>
      <c r="B75" s="114" t="s">
        <v>2534</v>
      </c>
      <c r="C75" s="94" t="s">
        <v>395</v>
      </c>
      <c r="D75" s="114" t="s">
        <v>2838</v>
      </c>
      <c r="E75" s="11" t="str">
        <f>HYPERLINK("https://youtu.be/Fvk7IwNhk-c?t=2811","channel 3")</f>
        <v>channel 3</v>
      </c>
    </row>
    <row r="76">
      <c r="A76" s="141"/>
      <c r="B76" s="61" t="s">
        <v>3742</v>
      </c>
      <c r="C76" s="94" t="s">
        <v>27</v>
      </c>
      <c r="D76" s="61" t="s">
        <v>2536</v>
      </c>
      <c r="E76" s="11" t="str">
        <f>HYPERLINK("https://youtu.be/aJwge_8et5s?t=2815","channel 4")</f>
        <v>channel 4</v>
      </c>
    </row>
    <row r="77">
      <c r="A77" s="141"/>
      <c r="B77" s="114" t="s">
        <v>2534</v>
      </c>
      <c r="C77" s="94" t="s">
        <v>165</v>
      </c>
      <c r="D77" s="114" t="s">
        <v>3741</v>
      </c>
      <c r="E77" s="11" t="str">
        <f>HYPERLINK("https://youtu.be/Fvk7IwNhk-c?t=3794","channel 3")</f>
        <v>channel 3</v>
      </c>
    </row>
    <row r="78">
      <c r="A78" s="141"/>
      <c r="B78" s="61" t="s">
        <v>3742</v>
      </c>
      <c r="C78" s="94" t="s">
        <v>194</v>
      </c>
      <c r="D78" s="61" t="s">
        <v>2838</v>
      </c>
      <c r="E78" s="11" t="str">
        <f>HYPERLINK("https://youtu.be/aJwge_8et5s?t=3719","channel 4")</f>
        <v>channel 4</v>
      </c>
    </row>
    <row r="79">
      <c r="A79" s="141"/>
      <c r="B79" s="114" t="s">
        <v>2838</v>
      </c>
      <c r="C79" s="94" t="s">
        <v>231</v>
      </c>
      <c r="D79" s="114" t="s">
        <v>2536</v>
      </c>
      <c r="E79" s="11" t="str">
        <f>HYPERLINK("https://youtu.be/Fvk7IwNhk-c?t=4799","channel 3")</f>
        <v>channel 3</v>
      </c>
    </row>
    <row r="80">
      <c r="A80" s="141"/>
      <c r="B80" s="61" t="s">
        <v>3742</v>
      </c>
      <c r="C80" s="94" t="s">
        <v>19</v>
      </c>
      <c r="D80" s="61" t="s">
        <v>3741</v>
      </c>
      <c r="E80" s="11" t="str">
        <f>HYPERLINK("https://youtu.be/aJwge_8et5s?t=4679","channel 4")</f>
        <v>channel 4</v>
      </c>
    </row>
    <row r="81">
      <c r="A81" s="141"/>
      <c r="B81" s="114" t="s">
        <v>2536</v>
      </c>
      <c r="C81" s="94" t="s">
        <v>193</v>
      </c>
      <c r="D81" s="114" t="s">
        <v>2534</v>
      </c>
      <c r="E81" s="11" t="str">
        <f>HYPERLINK("https://youtu.be/Fvk7IwNhk-c?t=5710","channel 3")</f>
        <v>channel 3</v>
      </c>
    </row>
    <row r="82">
      <c r="A82" s="141"/>
      <c r="B82" s="61" t="s">
        <v>2838</v>
      </c>
      <c r="C82" s="94" t="s">
        <v>3440</v>
      </c>
      <c r="D82" s="61" t="s">
        <v>3741</v>
      </c>
      <c r="E82" s="11" t="str">
        <f>HYPERLINK("https://youtu.be/aJwge_8et5s?t=5697","channel 4")</f>
        <v>channel 4</v>
      </c>
    </row>
    <row r="83">
      <c r="A83" s="141"/>
      <c r="B83" s="114" t="s">
        <v>3742</v>
      </c>
      <c r="C83" s="94" t="s">
        <v>193</v>
      </c>
      <c r="D83" s="114" t="s">
        <v>2534</v>
      </c>
      <c r="E83" s="11" t="str">
        <f>HYPERLINK("https://youtu.be/Fvk7IwNhk-c?t=6608","channel 3")</f>
        <v>channel 3</v>
      </c>
    </row>
    <row r="84">
      <c r="A84" s="141"/>
      <c r="B84" s="61" t="s">
        <v>2536</v>
      </c>
      <c r="C84" s="94" t="s">
        <v>20</v>
      </c>
      <c r="D84" s="61" t="s">
        <v>3741</v>
      </c>
      <c r="E84" s="11" t="str">
        <f>HYPERLINK("https://youtu.be/aJwge_8et5s?t=6687","channel 4")</f>
        <v>channel 4</v>
      </c>
    </row>
    <row r="85">
      <c r="A85" s="141"/>
      <c r="B85" s="114" t="s">
        <v>2838</v>
      </c>
      <c r="C85" s="94" t="s">
        <v>19</v>
      </c>
      <c r="D85" s="114" t="s">
        <v>2534</v>
      </c>
      <c r="E85" s="11" t="str">
        <f>HYPERLINK("https://youtu.be/Fvk7IwNhk-c?t=7456","channel 3")</f>
        <v>channel 3</v>
      </c>
    </row>
    <row r="86">
      <c r="A86" s="141"/>
      <c r="B86" s="61" t="s">
        <v>2536</v>
      </c>
      <c r="C86" s="94" t="s">
        <v>158</v>
      </c>
      <c r="D86" s="61" t="s">
        <v>3742</v>
      </c>
      <c r="E86" s="11" t="str">
        <f>HYPERLINK("https://youtu.be/aJwge_8et5s?t=7620","channel 4")</f>
        <v>channel 4</v>
      </c>
    </row>
    <row r="87">
      <c r="A87" s="141"/>
      <c r="B87" s="114" t="s">
        <v>3741</v>
      </c>
      <c r="C87" s="94" t="s">
        <v>421</v>
      </c>
      <c r="D87" s="114" t="s">
        <v>2534</v>
      </c>
      <c r="E87" s="11" t="str">
        <f>HYPERLINK("https://youtu.be/Fvk7IwNhk-c?t=8507","channel 3")</f>
        <v>channel 3</v>
      </c>
    </row>
    <row r="88">
      <c r="A88" s="141"/>
      <c r="B88" s="61" t="s">
        <v>2838</v>
      </c>
      <c r="C88" s="94" t="s">
        <v>196</v>
      </c>
      <c r="D88" s="61" t="s">
        <v>3742</v>
      </c>
      <c r="E88" s="11" t="str">
        <f>HYPERLINK("https://youtu.be/aJwge_8et5s?t=8496","channel 4")</f>
        <v>channel 4</v>
      </c>
    </row>
    <row r="89">
      <c r="A89" s="141"/>
      <c r="B89" s="96" t="s">
        <v>2417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61" t="s">
        <v>3715</v>
      </c>
      <c r="C91" s="94" t="s">
        <v>375</v>
      </c>
      <c r="D91" s="61" t="s">
        <v>3743</v>
      </c>
      <c r="E91" s="11" t="str">
        <f>HYPERLINK("https://youtu.be/hFeCcKEhqtA?t=2054","channel 1")</f>
        <v>channel 1</v>
      </c>
    </row>
    <row r="92">
      <c r="A92" s="141"/>
      <c r="B92" s="61" t="s">
        <v>3744</v>
      </c>
      <c r="C92" s="94" t="s">
        <v>209</v>
      </c>
      <c r="D92" s="61" t="s">
        <v>3745</v>
      </c>
      <c r="E92" s="11" t="str">
        <f>HYPERLINK("https://youtu.be/bnxF7s-lNJ0?t=1851","channel 2")</f>
        <v>channel 2</v>
      </c>
    </row>
    <row r="93">
      <c r="A93" s="141"/>
      <c r="B93" s="149" t="s">
        <v>422</v>
      </c>
      <c r="C93" s="150" t="s">
        <v>183</v>
      </c>
      <c r="D93" s="149" t="s">
        <v>3715</v>
      </c>
      <c r="E93" s="11" t="str">
        <f>HYPERLINK("https://youtu.be/hFeCcKEhqtA?t=2960","channel 1")</f>
        <v>channel 1</v>
      </c>
    </row>
    <row r="94">
      <c r="A94" s="141"/>
      <c r="B94" s="149" t="s">
        <v>3744</v>
      </c>
      <c r="C94" s="150" t="s">
        <v>298</v>
      </c>
      <c r="D94" s="149" t="s">
        <v>3743</v>
      </c>
      <c r="E94" s="11" t="str">
        <f>HYPERLINK("https://youtu.be/bnxF7s-lNJ0","channel 2")</f>
        <v>channel 2</v>
      </c>
    </row>
    <row r="95">
      <c r="A95" s="141"/>
      <c r="B95" s="149" t="s">
        <v>422</v>
      </c>
      <c r="C95" s="150" t="s">
        <v>545</v>
      </c>
      <c r="D95" s="149" t="s">
        <v>3745</v>
      </c>
      <c r="E95" s="11" t="str">
        <f>HYPERLINK("https://youtu.be/hFeCcKEhqtA?t=163","channel 1")</f>
        <v>channel 1</v>
      </c>
    </row>
    <row r="96">
      <c r="A96" s="141"/>
      <c r="B96" s="149" t="s">
        <v>3744</v>
      </c>
      <c r="C96" s="150" t="s">
        <v>210</v>
      </c>
      <c r="D96" s="149" t="s">
        <v>3715</v>
      </c>
      <c r="E96" s="11" t="str">
        <f>HYPERLINK("https://youtu.be/bnxF7s-lNJ0?t=3617","channel 2")</f>
        <v>channel 2</v>
      </c>
    </row>
    <row r="97">
      <c r="A97" s="141"/>
      <c r="B97" s="149" t="s">
        <v>422</v>
      </c>
      <c r="C97" s="150" t="s">
        <v>19</v>
      </c>
      <c r="D97" s="149" t="s">
        <v>3743</v>
      </c>
      <c r="E97" s="11" t="str">
        <f>HYPERLINK("https://youtu.be/hFeCcKEhqtA?t=3842","channel 1")</f>
        <v>channel 1</v>
      </c>
    </row>
    <row r="98">
      <c r="A98" s="141"/>
      <c r="B98" s="149" t="s">
        <v>3745</v>
      </c>
      <c r="C98" s="150" t="s">
        <v>177</v>
      </c>
      <c r="D98" s="149" t="s">
        <v>3715</v>
      </c>
      <c r="E98" s="11" t="str">
        <f>HYPERLINK("https://youtu.be/bnxF7s-lNJ0?t=4512","channel 2")</f>
        <v>channel 2</v>
      </c>
    </row>
    <row r="99">
      <c r="A99" s="141"/>
      <c r="B99" s="149" t="s">
        <v>422</v>
      </c>
      <c r="C99" s="150" t="s">
        <v>290</v>
      </c>
      <c r="D99" s="149" t="s">
        <v>3744</v>
      </c>
      <c r="E99" s="11" t="str">
        <f>HYPERLINK("https://youtu.be/hFeCcKEhqtA?t=4749","channel 1")</f>
        <v>channel 1</v>
      </c>
    </row>
    <row r="100">
      <c r="A100" s="141"/>
      <c r="B100" s="149" t="s">
        <v>3745</v>
      </c>
      <c r="C100" s="150" t="s">
        <v>43</v>
      </c>
      <c r="D100" s="149" t="s">
        <v>3743</v>
      </c>
      <c r="E100" s="11" t="str">
        <f>HYPERLINK("https://youtu.be/bnxF7s-lNJ0?t=2757","channel 2")</f>
        <v>channel 2</v>
      </c>
    </row>
    <row r="101">
      <c r="A101" s="141"/>
      <c r="B101" s="149" t="s">
        <v>3743</v>
      </c>
      <c r="C101" s="150" t="s">
        <v>998</v>
      </c>
      <c r="D101" s="149" t="s">
        <v>3715</v>
      </c>
      <c r="E101" s="11" t="str">
        <f>HYPERLINK("https://youtu.be/hFeCcKEhqtA?t=5678","channel 1")</f>
        <v>channel 1</v>
      </c>
    </row>
    <row r="102">
      <c r="A102" s="141"/>
      <c r="B102" s="149" t="s">
        <v>3745</v>
      </c>
      <c r="C102" s="150" t="s">
        <v>195</v>
      </c>
      <c r="D102" s="149" t="s">
        <v>3744</v>
      </c>
      <c r="E102" s="11" t="str">
        <f>HYPERLINK("https://youtu.be/bnxF7s-lNJ0?t=5416","channel 2")</f>
        <v>channel 2</v>
      </c>
    </row>
    <row r="103">
      <c r="A103" s="141"/>
      <c r="B103" s="149" t="s">
        <v>3715</v>
      </c>
      <c r="C103" s="150" t="s">
        <v>176</v>
      </c>
      <c r="D103" s="149" t="s">
        <v>422</v>
      </c>
      <c r="E103" s="11" t="str">
        <f>HYPERLINK("https://youtu.be/hFeCcKEhqtA?t=6589","channel 1")</f>
        <v>channel 1</v>
      </c>
    </row>
    <row r="104">
      <c r="A104" s="141"/>
      <c r="B104" s="149" t="s">
        <v>3743</v>
      </c>
      <c r="C104" s="150" t="s">
        <v>181</v>
      </c>
      <c r="D104" s="149" t="s">
        <v>3744</v>
      </c>
      <c r="E104" s="11" t="str">
        <f>HYPERLINK("https://youtu.be/bnxF7s-lNJ0?t=891","channel 2")</f>
        <v>channel 2</v>
      </c>
    </row>
    <row r="105">
      <c r="A105" s="141"/>
      <c r="B105" s="149" t="s">
        <v>3745</v>
      </c>
      <c r="C105" s="150" t="s">
        <v>177</v>
      </c>
      <c r="D105" s="149" t="s">
        <v>422</v>
      </c>
      <c r="E105" s="11" t="str">
        <f>HYPERLINK("https://youtu.be/hFeCcKEhqtA?t=1109","channel 1")</f>
        <v>channel 1</v>
      </c>
    </row>
    <row r="106">
      <c r="A106" s="141"/>
      <c r="B106" s="149" t="s">
        <v>3715</v>
      </c>
      <c r="C106" s="150" t="s">
        <v>176</v>
      </c>
      <c r="D106" s="149" t="s">
        <v>3744</v>
      </c>
      <c r="E106" s="11" t="str">
        <f>HYPERLINK("https://youtu.be/bnxF7s-lNJ0?t=7282","channel 2")</f>
        <v>channel 2</v>
      </c>
    </row>
    <row r="107">
      <c r="A107" s="141"/>
      <c r="B107" s="149" t="s">
        <v>3743</v>
      </c>
      <c r="C107" s="150" t="s">
        <v>23</v>
      </c>
      <c r="D107" s="149" t="s">
        <v>422</v>
      </c>
      <c r="E107" s="11" t="str">
        <f>HYPERLINK("https://youtu.be/hFeCcKEhqtA?t=7475","channel 1")</f>
        <v>channel 1</v>
      </c>
    </row>
    <row r="108">
      <c r="A108" s="141"/>
      <c r="B108" s="149" t="s">
        <v>3715</v>
      </c>
      <c r="C108" s="150" t="s">
        <v>42</v>
      </c>
      <c r="D108" s="149" t="s">
        <v>3745</v>
      </c>
      <c r="E108" s="11" t="str">
        <f>HYPERLINK("https://youtu.be/bnxF7s-lNJ0?t=8220","channel 2")</f>
        <v>channel 2</v>
      </c>
    </row>
    <row r="109">
      <c r="A109" s="141"/>
      <c r="B109" s="149" t="s">
        <v>3744</v>
      </c>
      <c r="C109" s="150" t="s">
        <v>336</v>
      </c>
      <c r="D109" s="149" t="s">
        <v>422</v>
      </c>
      <c r="E109" s="11" t="str">
        <f>HYPERLINK("https://youtu.be/hFeCcKEhqtA?t=8421","channel 1")</f>
        <v>channel 1</v>
      </c>
    </row>
    <row r="110">
      <c r="A110" s="141"/>
      <c r="B110" s="149" t="s">
        <v>3743</v>
      </c>
      <c r="C110" s="150" t="s">
        <v>173</v>
      </c>
      <c r="D110" s="149" t="s">
        <v>3745</v>
      </c>
      <c r="E110" s="11" t="str">
        <f>HYPERLINK("https://youtu.be/bnxF7s-lNJ0?t=6375","channel 2")</f>
        <v>channel 2</v>
      </c>
    </row>
    <row r="111">
      <c r="A111" s="141"/>
      <c r="B111" s="96" t="s">
        <v>1560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3088</v>
      </c>
      <c r="C113" s="94" t="s">
        <v>168</v>
      </c>
      <c r="D113" s="61" t="s">
        <v>3746</v>
      </c>
      <c r="E113" s="11" t="str">
        <f>HYPERLINK("https://youtu.be/ionYx27A-JQ","channel 1")</f>
        <v>channel 1</v>
      </c>
    </row>
    <row r="114">
      <c r="A114" s="141"/>
      <c r="B114" s="61" t="s">
        <v>2956</v>
      </c>
      <c r="C114" s="94" t="s">
        <v>173</v>
      </c>
      <c r="D114" s="61" t="s">
        <v>3747</v>
      </c>
      <c r="E114" s="11" t="str">
        <f>HYPERLINK("https://youtu.be/KSVDtL37QVI","channel 2")</f>
        <v>channel 2</v>
      </c>
    </row>
    <row r="115">
      <c r="A115" s="141"/>
      <c r="B115" s="61" t="s">
        <v>2484</v>
      </c>
      <c r="C115" s="94" t="s">
        <v>1255</v>
      </c>
      <c r="D115" s="61" t="s">
        <v>3088</v>
      </c>
      <c r="E115" s="11" t="str">
        <f>HYPERLINK("https://youtu.be/ionYx27A-JQ?t=1034","channel 1")</f>
        <v>channel 1</v>
      </c>
    </row>
    <row r="116">
      <c r="A116" s="141"/>
      <c r="B116" s="61" t="s">
        <v>2956</v>
      </c>
      <c r="C116" s="94" t="s">
        <v>196</v>
      </c>
      <c r="D116" s="61" t="s">
        <v>3746</v>
      </c>
      <c r="E116" s="11" t="str">
        <f>HYPERLINK("https://youtu.be/KSVDtL37QVI?t=1095","channel 2")</f>
        <v>channel 2</v>
      </c>
    </row>
    <row r="117">
      <c r="A117" s="141"/>
      <c r="B117" s="61" t="s">
        <v>2484</v>
      </c>
      <c r="C117" s="94" t="s">
        <v>419</v>
      </c>
      <c r="D117" s="61" t="s">
        <v>3747</v>
      </c>
      <c r="E117" s="11" t="str">
        <f>HYPERLINK("https://youtu.be/ionYx27A-JQ?t=1928","channel 1")</f>
        <v>channel 1</v>
      </c>
    </row>
    <row r="118">
      <c r="A118" s="141"/>
      <c r="B118" s="61" t="s">
        <v>2956</v>
      </c>
      <c r="C118" s="94" t="s">
        <v>3748</v>
      </c>
      <c r="D118" s="61" t="s">
        <v>3088</v>
      </c>
      <c r="E118" s="11" t="str">
        <f>HYPERLINK("https://youtu.be/KSVDtL37QVI?t=2001","channel 2")</f>
        <v>channel 2</v>
      </c>
    </row>
    <row r="119">
      <c r="A119" s="141"/>
      <c r="B119" s="61" t="s">
        <v>2484</v>
      </c>
      <c r="C119" s="94" t="s">
        <v>173</v>
      </c>
      <c r="D119" s="61" t="s">
        <v>3746</v>
      </c>
      <c r="E119" s="11" t="str">
        <f>HYPERLINK("https://youtu.be/ionYx27A-JQ?t=2876","channel 1")</f>
        <v>channel 1</v>
      </c>
    </row>
    <row r="120">
      <c r="A120" s="141"/>
      <c r="B120" s="61" t="s">
        <v>3747</v>
      </c>
      <c r="C120" s="94" t="s">
        <v>219</v>
      </c>
      <c r="D120" s="61" t="s">
        <v>3088</v>
      </c>
      <c r="E120" s="11" t="str">
        <f>HYPERLINK("https://youtu.be/KSVDtL37QVI?t=2932","channel 2")</f>
        <v>channel 2</v>
      </c>
    </row>
    <row r="121">
      <c r="A121" s="141"/>
      <c r="B121" s="61" t="s">
        <v>2484</v>
      </c>
      <c r="C121" s="94" t="s">
        <v>248</v>
      </c>
      <c r="D121" s="61" t="s">
        <v>2956</v>
      </c>
      <c r="E121" s="11" t="str">
        <f>HYPERLINK("https://youtu.be/ionYx27A-JQ?t=3811","channel 1")</f>
        <v>channel 1</v>
      </c>
    </row>
    <row r="122">
      <c r="A122" s="141"/>
      <c r="B122" s="61" t="s">
        <v>3747</v>
      </c>
      <c r="C122" s="94" t="s">
        <v>20</v>
      </c>
      <c r="D122" s="61" t="s">
        <v>3746</v>
      </c>
      <c r="E122" s="11" t="str">
        <f>HYPERLINK("https://youtu.be/KSVDtL37QVI?t=3820","channel 2")</f>
        <v>channel 2</v>
      </c>
    </row>
    <row r="123">
      <c r="A123" s="141"/>
      <c r="B123" s="61" t="s">
        <v>3746</v>
      </c>
      <c r="C123" s="94" t="s">
        <v>362</v>
      </c>
      <c r="D123" s="61" t="s">
        <v>3088</v>
      </c>
      <c r="E123" s="11" t="str">
        <f>HYPERLINK("https://youtu.be/ionYx27A-JQ?t=4707","channel 1")</f>
        <v>channel 1</v>
      </c>
    </row>
    <row r="124">
      <c r="A124" s="141"/>
      <c r="B124" s="61" t="s">
        <v>3747</v>
      </c>
      <c r="C124" s="94" t="s">
        <v>688</v>
      </c>
      <c r="D124" s="61" t="s">
        <v>2956</v>
      </c>
      <c r="E124" s="11" t="str">
        <f>HYPERLINK("https://youtu.be/KSVDtL37QVI?t=4747","channel 2")</f>
        <v>channel 2</v>
      </c>
    </row>
    <row r="125">
      <c r="A125" s="141"/>
      <c r="B125" s="61" t="s">
        <v>3088</v>
      </c>
      <c r="C125" s="94" t="s">
        <v>1015</v>
      </c>
      <c r="D125" s="61" t="s">
        <v>2484</v>
      </c>
      <c r="E125" s="11" t="str">
        <f>HYPERLINK("https://youtu.be/ionYx27A-JQ?t=5625","channel 1")</f>
        <v>channel 1</v>
      </c>
    </row>
    <row r="126">
      <c r="A126" s="141"/>
      <c r="B126" s="61" t="s">
        <v>3746</v>
      </c>
      <c r="C126" s="94" t="s">
        <v>220</v>
      </c>
      <c r="D126" s="61" t="s">
        <v>2956</v>
      </c>
      <c r="E126" s="11" t="str">
        <f>HYPERLINK("https://youtu.be/KSVDtL37QVI?t=5672","channel 2")</f>
        <v>channel 2</v>
      </c>
    </row>
    <row r="127">
      <c r="A127" s="141"/>
      <c r="B127" s="61" t="s">
        <v>3747</v>
      </c>
      <c r="C127" s="94" t="s">
        <v>14</v>
      </c>
      <c r="D127" s="61" t="s">
        <v>2484</v>
      </c>
      <c r="E127" s="11" t="str">
        <f>HYPERLINK("https://youtu.be/ionYx27A-JQ?t=6509","channel 1")</f>
        <v>channel 1</v>
      </c>
    </row>
    <row r="128">
      <c r="A128" s="141"/>
      <c r="B128" s="61" t="s">
        <v>3088</v>
      </c>
      <c r="C128" s="94" t="s">
        <v>18</v>
      </c>
      <c r="D128" s="61" t="s">
        <v>2956</v>
      </c>
      <c r="E128" s="11" t="str">
        <f>HYPERLINK("https://youtu.be/KSVDtL37QVI?t=6581","channel 2")</f>
        <v>channel 2</v>
      </c>
    </row>
    <row r="129">
      <c r="A129" s="141"/>
      <c r="B129" s="61" t="s">
        <v>3746</v>
      </c>
      <c r="C129" s="94" t="s">
        <v>1121</v>
      </c>
      <c r="D129" s="61" t="s">
        <v>2484</v>
      </c>
      <c r="E129" s="11" t="str">
        <f>HYPERLINK("https://youtu.be/ionYx27A-JQ?t=7670","channel 1")</f>
        <v>channel 1</v>
      </c>
    </row>
    <row r="130">
      <c r="A130" s="141"/>
      <c r="B130" s="61" t="s">
        <v>3088</v>
      </c>
      <c r="C130" s="94" t="s">
        <v>570</v>
      </c>
      <c r="D130" s="61" t="s">
        <v>3747</v>
      </c>
      <c r="E130" s="11" t="str">
        <f>HYPERLINK("https://youtu.be/KSVDtL37QVI?t=7729","channel 2")</f>
        <v>channel 2</v>
      </c>
    </row>
    <row r="131">
      <c r="A131" s="141"/>
      <c r="B131" s="61" t="s">
        <v>2956</v>
      </c>
      <c r="C131" s="94" t="s">
        <v>38</v>
      </c>
      <c r="D131" s="61" t="s">
        <v>2484</v>
      </c>
      <c r="E131" s="11" t="str">
        <f>HYPERLINK("https://youtu.be/ionYx27A-JQ?t=8688","channel 1")</f>
        <v>channel 1</v>
      </c>
    </row>
    <row r="132">
      <c r="A132" s="145"/>
      <c r="B132" s="61" t="s">
        <v>3746</v>
      </c>
      <c r="C132" s="94" t="s">
        <v>19</v>
      </c>
      <c r="D132" s="61" t="s">
        <v>3747</v>
      </c>
      <c r="E132" s="11" t="str">
        <f>HYPERLINK("https://youtu.be/KSVDtL37QVI?t=8743","channel 2")</f>
        <v>channel 2</v>
      </c>
    </row>
    <row r="133">
      <c r="B133" s="96" t="s">
        <v>3083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33" t="s">
        <v>2651</v>
      </c>
      <c r="C135" s="94" t="s">
        <v>233</v>
      </c>
      <c r="D135" s="114" t="s">
        <v>2829</v>
      </c>
      <c r="E135" s="11" t="str">
        <f>HYPERLINK("https://youtu.be/nWfL4WkLtXk","channel 3")</f>
        <v>channel 3</v>
      </c>
    </row>
    <row r="136">
      <c r="B136" s="62" t="s">
        <v>3749</v>
      </c>
      <c r="C136" s="94" t="s">
        <v>2228</v>
      </c>
      <c r="D136" s="62" t="s">
        <v>3750</v>
      </c>
      <c r="E136" s="11" t="str">
        <f>HYPERLINK("https://youtu.be/YJAg3GhS7jw","channel 4")</f>
        <v>channel 4</v>
      </c>
    </row>
    <row r="137">
      <c r="B137" s="133" t="s">
        <v>3172</v>
      </c>
      <c r="C137" s="94" t="s">
        <v>342</v>
      </c>
      <c r="D137" s="133" t="s">
        <v>2651</v>
      </c>
      <c r="E137" s="11" t="str">
        <f>HYPERLINK("https://youtu.be/nWfL4WkLtXk?t=887","channel 3")</f>
        <v>channel 3</v>
      </c>
    </row>
    <row r="138">
      <c r="B138" s="62" t="s">
        <v>3749</v>
      </c>
      <c r="C138" s="94" t="s">
        <v>23</v>
      </c>
      <c r="D138" s="61" t="s">
        <v>2829</v>
      </c>
      <c r="E138" s="11" t="str">
        <f>HYPERLINK("https://youtu.be/YJAg3GhS7jw?t=1012","channel 4")</f>
        <v>channel 4</v>
      </c>
    </row>
    <row r="139">
      <c r="B139" s="133" t="s">
        <v>3172</v>
      </c>
      <c r="C139" s="94" t="s">
        <v>940</v>
      </c>
      <c r="D139" s="133" t="s">
        <v>3750</v>
      </c>
      <c r="E139" s="11" t="str">
        <f>HYPERLINK("https://youtu.be/nWfL4WkLtXk?t=1762","channel 3")</f>
        <v>channel 3</v>
      </c>
    </row>
    <row r="140">
      <c r="B140" s="62" t="s">
        <v>3749</v>
      </c>
      <c r="C140" s="94" t="s">
        <v>155</v>
      </c>
      <c r="D140" s="62" t="s">
        <v>2651</v>
      </c>
      <c r="E140" s="11" t="str">
        <f>HYPERLINK("https://youtu.be/YJAg3GhS7jw?t=1904","channel 4")</f>
        <v>channel 4</v>
      </c>
    </row>
    <row r="141">
      <c r="B141" s="133" t="s">
        <v>3172</v>
      </c>
      <c r="C141" s="94" t="s">
        <v>286</v>
      </c>
      <c r="D141" s="114" t="s">
        <v>2829</v>
      </c>
      <c r="E141" s="11" t="str">
        <f>HYPERLINK("https://youtu.be/nWfL4WkLtXk?t=2665","channel 3")</f>
        <v>channel 3</v>
      </c>
    </row>
    <row r="142">
      <c r="B142" s="62" t="s">
        <v>3750</v>
      </c>
      <c r="C142" s="94" t="s">
        <v>302</v>
      </c>
      <c r="D142" s="62" t="s">
        <v>2651</v>
      </c>
      <c r="E142" s="11" t="str">
        <f>HYPERLINK("https://youtu.be/YJAg3GhS7jw?t=2854","channel 4")</f>
        <v>channel 4</v>
      </c>
    </row>
    <row r="143">
      <c r="B143" s="133" t="s">
        <v>3172</v>
      </c>
      <c r="C143" s="94" t="s">
        <v>674</v>
      </c>
      <c r="D143" s="133" t="s">
        <v>3749</v>
      </c>
      <c r="E143" s="11" t="str">
        <f>HYPERLINK("https://youtu.be/nWfL4WkLtXk?t=3626","channel 3")</f>
        <v>channel 3</v>
      </c>
    </row>
    <row r="144">
      <c r="B144" s="62" t="s">
        <v>3750</v>
      </c>
      <c r="C144" s="94" t="s">
        <v>344</v>
      </c>
      <c r="D144" s="61" t="s">
        <v>2829</v>
      </c>
      <c r="E144" s="11" t="str">
        <f>HYPERLINK("https://youtu.be/YJAg3GhS7jw?t=3728","channel 4")</f>
        <v>channel 4</v>
      </c>
    </row>
    <row r="145">
      <c r="B145" s="114" t="s">
        <v>2829</v>
      </c>
      <c r="C145" s="94" t="s">
        <v>222</v>
      </c>
      <c r="D145" s="133" t="s">
        <v>2651</v>
      </c>
      <c r="E145" s="11" t="str">
        <f>HYPERLINK("https://youtu.be/nWfL4WkLtXk?t=4731","channel 3")</f>
        <v>channel 3</v>
      </c>
    </row>
    <row r="146">
      <c r="B146" s="62" t="s">
        <v>3750</v>
      </c>
      <c r="C146" s="94" t="s">
        <v>208</v>
      </c>
      <c r="D146" s="62" t="s">
        <v>3749</v>
      </c>
      <c r="E146" s="11" t="str">
        <f>HYPERLINK("https://youtu.be/YJAg3GhS7jw?t=4700","channel 4")</f>
        <v>channel 4</v>
      </c>
    </row>
    <row r="147">
      <c r="B147" s="133" t="s">
        <v>2651</v>
      </c>
      <c r="C147" s="94" t="s">
        <v>290</v>
      </c>
      <c r="D147" s="133" t="s">
        <v>3172</v>
      </c>
      <c r="E147" s="11" t="str">
        <f>HYPERLINK("https://youtu.be/nWfL4WkLtXk?t=5676","channel 3")</f>
        <v>channel 3</v>
      </c>
    </row>
    <row r="148">
      <c r="B148" s="61" t="s">
        <v>2829</v>
      </c>
      <c r="C148" s="94" t="s">
        <v>21</v>
      </c>
      <c r="D148" s="62" t="s">
        <v>3749</v>
      </c>
      <c r="E148" s="11" t="str">
        <f>HYPERLINK("https://youtu.be/YJAg3GhS7jw?t=5648","channel 4")</f>
        <v>channel 4</v>
      </c>
    </row>
    <row r="149">
      <c r="B149" s="133" t="s">
        <v>3750</v>
      </c>
      <c r="C149" s="94" t="s">
        <v>158</v>
      </c>
      <c r="D149" s="133" t="s">
        <v>3172</v>
      </c>
      <c r="E149" s="11" t="str">
        <f>HYPERLINK("https://youtu.be/nWfL4WkLtXk?t=6590","channel 3")</f>
        <v>channel 3</v>
      </c>
    </row>
    <row r="150">
      <c r="B150" s="62" t="s">
        <v>2651</v>
      </c>
      <c r="C150" s="94" t="s">
        <v>198</v>
      </c>
      <c r="D150" s="62" t="s">
        <v>3749</v>
      </c>
      <c r="E150" s="11" t="str">
        <f>HYPERLINK("https://youtu.be/YJAg3GhS7jw?t=6640","channel 4")</f>
        <v>channel 4</v>
      </c>
    </row>
    <row r="151">
      <c r="B151" s="114" t="s">
        <v>2829</v>
      </c>
      <c r="C151" s="94" t="s">
        <v>303</v>
      </c>
      <c r="D151" s="133" t="s">
        <v>3172</v>
      </c>
      <c r="E151" s="11" t="str">
        <f>HYPERLINK("https://youtu.be/nWfL4WkLtXk?t=7471","channel 3")</f>
        <v>channel 3</v>
      </c>
    </row>
    <row r="152">
      <c r="B152" s="62" t="s">
        <v>2651</v>
      </c>
      <c r="C152" s="94" t="s">
        <v>165</v>
      </c>
      <c r="D152" s="62" t="s">
        <v>3750</v>
      </c>
      <c r="E152" s="11" t="str">
        <f>HYPERLINK("https://youtu.be/YJAg3GhS7jw?t=7377","channel 4")</f>
        <v>channel 4</v>
      </c>
    </row>
    <row r="153">
      <c r="B153" s="133" t="s">
        <v>3749</v>
      </c>
      <c r="C153" s="94" t="s">
        <v>18</v>
      </c>
      <c r="D153" s="133" t="s">
        <v>3172</v>
      </c>
      <c r="E153" s="11" t="str">
        <f>HYPERLINK("https://youtu.be/nWfL4WkLtXk?t=8418","channel 3")</f>
        <v>channel 3</v>
      </c>
    </row>
    <row r="154">
      <c r="B154" s="61" t="s">
        <v>2829</v>
      </c>
      <c r="C154" s="94" t="s">
        <v>3751</v>
      </c>
      <c r="D154" s="62" t="s">
        <v>3750</v>
      </c>
      <c r="E154" s="11" t="str">
        <f>HYPERLINK("https://youtu.be/YJAg3GhS7jw?t=8506","channel 4")</f>
        <v>channel 4</v>
      </c>
    </row>
    <row r="155">
      <c r="B155" s="96" t="s">
        <v>2862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3" t="s">
        <v>1404</v>
      </c>
      <c r="C157" s="94" t="s">
        <v>257</v>
      </c>
      <c r="D157" s="114" t="s">
        <v>2997</v>
      </c>
      <c r="E157" s="11" t="str">
        <f>HYPERLINK("https://youtu.be/4mc6VK8oDsk","channel 3")</f>
        <v>channel 3</v>
      </c>
    </row>
    <row r="158">
      <c r="B158" s="61" t="s">
        <v>1684</v>
      </c>
      <c r="C158" s="94" t="s">
        <v>344</v>
      </c>
      <c r="D158" s="62" t="s">
        <v>3752</v>
      </c>
      <c r="E158" s="11" t="str">
        <f>HYPERLINK("https://youtu.be/fL6my0Kw0h8","channel 4")</f>
        <v>channel 4</v>
      </c>
    </row>
    <row r="159">
      <c r="B159" s="133" t="s">
        <v>842</v>
      </c>
      <c r="C159" s="94" t="s">
        <v>278</v>
      </c>
      <c r="D159" s="133" t="s">
        <v>1404</v>
      </c>
      <c r="E159" s="11" t="str">
        <f>HYPERLINK("https://youtu.be/4mc6VK8oDsk?t=921","channel 3")</f>
        <v>channel 3</v>
      </c>
    </row>
    <row r="160">
      <c r="B160" s="61" t="s">
        <v>1684</v>
      </c>
      <c r="C160" s="94" t="s">
        <v>301</v>
      </c>
      <c r="D160" s="61" t="s">
        <v>2997</v>
      </c>
      <c r="E160" s="11" t="str">
        <f>HYPERLINK("https://youtu.be/fL6my0Kw0h8?t=930","channel 4")</f>
        <v>channel 4</v>
      </c>
    </row>
    <row r="161">
      <c r="B161" s="133" t="s">
        <v>842</v>
      </c>
      <c r="C161" s="94" t="s">
        <v>158</v>
      </c>
      <c r="D161" s="133" t="s">
        <v>3752</v>
      </c>
      <c r="E161" s="11" t="str">
        <f>HYPERLINK("https://youtu.be/4mc6VK8oDsk?t=1894","channel 3")</f>
        <v>channel 3</v>
      </c>
    </row>
    <row r="162">
      <c r="B162" s="61" t="s">
        <v>1684</v>
      </c>
      <c r="C162" s="94" t="s">
        <v>185</v>
      </c>
      <c r="D162" s="62" t="s">
        <v>1404</v>
      </c>
      <c r="E162" s="11" t="str">
        <f>HYPERLINK("https://youtu.be/fL6my0Kw0h8?t=1896","channel 4")</f>
        <v>channel 4</v>
      </c>
    </row>
    <row r="163">
      <c r="B163" s="133" t="s">
        <v>842</v>
      </c>
      <c r="C163" s="94" t="s">
        <v>258</v>
      </c>
      <c r="D163" s="114" t="s">
        <v>2997</v>
      </c>
      <c r="E163" s="11" t="str">
        <f>HYPERLINK("https://youtu.be/4mc6VK8oDsk?t=2855","channel 3")</f>
        <v>channel 3</v>
      </c>
    </row>
    <row r="164">
      <c r="B164" s="62" t="s">
        <v>3752</v>
      </c>
      <c r="C164" s="94" t="s">
        <v>19</v>
      </c>
      <c r="D164" s="62" t="s">
        <v>1404</v>
      </c>
      <c r="E164" s="11" t="str">
        <f>HYPERLINK("https://youtu.be/fL6my0Kw0h8?t=2825","channel 4")</f>
        <v>channel 4</v>
      </c>
    </row>
    <row r="165">
      <c r="B165" s="133" t="s">
        <v>842</v>
      </c>
      <c r="C165" s="94" t="s">
        <v>162</v>
      </c>
      <c r="D165" s="114" t="s">
        <v>1684</v>
      </c>
      <c r="E165" s="11" t="str">
        <f>HYPERLINK("https://youtu.be/4mc6VK8oDsk?t=3846","channel 3")</f>
        <v>channel 3</v>
      </c>
    </row>
    <row r="166">
      <c r="B166" s="62" t="s">
        <v>3752</v>
      </c>
      <c r="C166" s="94" t="s">
        <v>362</v>
      </c>
      <c r="D166" s="61" t="s">
        <v>2997</v>
      </c>
      <c r="E166" s="11" t="str">
        <f>HYPERLINK("https://youtu.be/fL6my0Kw0h8?t=3765","channel 4")</f>
        <v>channel 4</v>
      </c>
    </row>
    <row r="167">
      <c r="B167" s="114" t="s">
        <v>2997</v>
      </c>
      <c r="C167" s="94" t="s">
        <v>289</v>
      </c>
      <c r="D167" s="133" t="s">
        <v>1404</v>
      </c>
      <c r="E167" s="11" t="str">
        <f>HYPERLINK("https://youtu.be/4mc6VK8oDsk?t=4739","channel 3")</f>
        <v>channel 3</v>
      </c>
    </row>
    <row r="168">
      <c r="B168" s="62" t="s">
        <v>3752</v>
      </c>
      <c r="C168" s="94" t="s">
        <v>163</v>
      </c>
      <c r="D168" s="61" t="s">
        <v>1684</v>
      </c>
      <c r="E168" s="11" t="str">
        <f>HYPERLINK("https://youtu.be/fL6my0Kw0h8?t=4717","channel 4")</f>
        <v>channel 4</v>
      </c>
    </row>
    <row r="169">
      <c r="B169" s="133" t="s">
        <v>1404</v>
      </c>
      <c r="C169" s="94" t="s">
        <v>155</v>
      </c>
      <c r="D169" s="133" t="s">
        <v>842</v>
      </c>
      <c r="E169" s="11" t="str">
        <f>HYPERLINK("https://youtu.be/4mc6VK8oDsk?t=5657","channel 3")</f>
        <v>channel 3</v>
      </c>
    </row>
    <row r="170">
      <c r="B170" s="61" t="s">
        <v>2997</v>
      </c>
      <c r="C170" s="94" t="s">
        <v>1227</v>
      </c>
      <c r="D170" s="61" t="s">
        <v>1684</v>
      </c>
      <c r="E170" s="11" t="str">
        <f>HYPERLINK("https://youtu.be/fL6my0Kw0h8?t=5639","channel 4")</f>
        <v>channel 4</v>
      </c>
    </row>
    <row r="171">
      <c r="B171" s="133" t="s">
        <v>3752</v>
      </c>
      <c r="C171" s="94" t="s">
        <v>342</v>
      </c>
      <c r="D171" s="133" t="s">
        <v>842</v>
      </c>
      <c r="E171" s="11" t="str">
        <f>HYPERLINK("https://youtu.be/4mc6VK8oDsk?t=6601","channel 3")</f>
        <v>channel 3</v>
      </c>
    </row>
    <row r="172">
      <c r="B172" s="62" t="s">
        <v>1404</v>
      </c>
      <c r="C172" s="94" t="s">
        <v>166</v>
      </c>
      <c r="D172" s="61" t="s">
        <v>1684</v>
      </c>
      <c r="E172" s="11" t="str">
        <f>HYPERLINK("https://youtu.be/fL6my0Kw0h8?t=6562","channel 4")</f>
        <v>channel 4</v>
      </c>
    </row>
    <row r="173">
      <c r="B173" s="114" t="s">
        <v>2997</v>
      </c>
      <c r="C173" s="94" t="s">
        <v>324</v>
      </c>
      <c r="D173" s="133" t="s">
        <v>842</v>
      </c>
      <c r="E173" s="11" t="str">
        <f>HYPERLINK("https://youtu.be/4mc6VK8oDsk?t=7512","channel 3")</f>
        <v>channel 3</v>
      </c>
    </row>
    <row r="174">
      <c r="B174" s="62" t="s">
        <v>1404</v>
      </c>
      <c r="C174" s="94" t="s">
        <v>212</v>
      </c>
      <c r="D174" s="62" t="s">
        <v>3752</v>
      </c>
      <c r="E174" s="11" t="str">
        <f>HYPERLINK("https://youtu.be/fL6my0Kw0h8?t=7555","channel 4")</f>
        <v>channel 4</v>
      </c>
    </row>
    <row r="175">
      <c r="B175" s="114" t="s">
        <v>1684</v>
      </c>
      <c r="C175" s="94" t="s">
        <v>208</v>
      </c>
      <c r="D175" s="133" t="s">
        <v>842</v>
      </c>
      <c r="E175" s="11" t="str">
        <f>HYPERLINK("https://youtu.be/4mc6VK8oDsk?t=8437","channel 3")</f>
        <v>channel 3</v>
      </c>
    </row>
    <row r="176">
      <c r="B176" s="61" t="s">
        <v>2997</v>
      </c>
      <c r="C176" s="94" t="s">
        <v>41</v>
      </c>
      <c r="D176" s="62" t="s">
        <v>3752</v>
      </c>
      <c r="E176" s="11" t="str">
        <f>HYPERLINK("https://youtu.be/fL6my0Kw0h8?t=8427","channel 4")</f>
        <v>channel 4</v>
      </c>
    </row>
    <row r="177">
      <c r="B177" s="96" t="s">
        <v>3576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3753</v>
      </c>
      <c r="C179" s="94" t="s">
        <v>185</v>
      </c>
      <c r="D179" s="62" t="s">
        <v>1504</v>
      </c>
      <c r="E179" s="11" t="str">
        <f>HYPERLINK("https://youtu.be/L_o0aPIVluU","channel 1")</f>
        <v>channel 1</v>
      </c>
    </row>
    <row r="180">
      <c r="B180" s="62" t="s">
        <v>1110</v>
      </c>
      <c r="C180" s="94" t="s">
        <v>16</v>
      </c>
      <c r="D180" s="62" t="s">
        <v>3094</v>
      </c>
      <c r="E180" s="11" t="str">
        <f>HYPERLINK("https://youtu.be/aY0GtVZhNfk","channel 2")</f>
        <v>channel 2</v>
      </c>
    </row>
    <row r="181">
      <c r="B181" s="62" t="s">
        <v>3754</v>
      </c>
      <c r="C181" s="94" t="s">
        <v>162</v>
      </c>
      <c r="D181" s="62" t="s">
        <v>3753</v>
      </c>
      <c r="E181" s="11" t="str">
        <f>HYPERLINK("https://youtu.be/L_o0aPIVluU?t=976","channel 1")</f>
        <v>channel 1</v>
      </c>
    </row>
    <row r="182">
      <c r="B182" s="62" t="s">
        <v>1110</v>
      </c>
      <c r="C182" s="94" t="s">
        <v>41</v>
      </c>
      <c r="D182" s="62" t="s">
        <v>1504</v>
      </c>
      <c r="E182" s="11" t="str">
        <f>HYPERLINK("https://youtu.be/aY0GtVZhNfk?t=968","channel 2")</f>
        <v>channel 2</v>
      </c>
    </row>
    <row r="183">
      <c r="B183" s="62" t="s">
        <v>3754</v>
      </c>
      <c r="C183" s="94" t="s">
        <v>20</v>
      </c>
      <c r="D183" s="62" t="s">
        <v>3094</v>
      </c>
      <c r="E183" s="11" t="str">
        <f>HYPERLINK("https://youtu.be/L_o0aPIVluU?t=1815","channel 1")</f>
        <v>channel 1</v>
      </c>
    </row>
    <row r="184">
      <c r="B184" s="62" t="s">
        <v>1110</v>
      </c>
      <c r="C184" s="94" t="s">
        <v>158</v>
      </c>
      <c r="D184" s="62" t="s">
        <v>3753</v>
      </c>
      <c r="E184" s="11" t="str">
        <f>HYPERLINK("https://youtu.be/aY0GtVZhNfk?t=1819","channel 2")</f>
        <v>channel 2</v>
      </c>
    </row>
    <row r="185">
      <c r="B185" s="62" t="s">
        <v>3754</v>
      </c>
      <c r="C185" s="94" t="s">
        <v>16</v>
      </c>
      <c r="D185" s="62" t="s">
        <v>1504</v>
      </c>
      <c r="E185" s="11" t="str">
        <f>HYPERLINK("https://youtu.be/L_o0aPIVluU?t=2686","channel 1")</f>
        <v>channel 1</v>
      </c>
    </row>
    <row r="186">
      <c r="B186" s="62" t="s">
        <v>3094</v>
      </c>
      <c r="C186" s="94" t="s">
        <v>16</v>
      </c>
      <c r="D186" s="62" t="s">
        <v>3753</v>
      </c>
      <c r="E186" s="11" t="str">
        <f>HYPERLINK("https://youtu.be/aY0GtVZhNfk?t=2690","channel 2")</f>
        <v>channel 2</v>
      </c>
    </row>
    <row r="187">
      <c r="B187" s="62" t="s">
        <v>3754</v>
      </c>
      <c r="C187" s="94" t="s">
        <v>357</v>
      </c>
      <c r="D187" s="62" t="s">
        <v>1110</v>
      </c>
      <c r="E187" s="11" t="str">
        <f>HYPERLINK("https://youtu.be/L_o0aPIVluU?t=3583","channel 1")</f>
        <v>channel 1</v>
      </c>
    </row>
    <row r="188">
      <c r="B188" s="62" t="s">
        <v>3094</v>
      </c>
      <c r="C188" s="94" t="s">
        <v>932</v>
      </c>
      <c r="D188" s="62" t="s">
        <v>1504</v>
      </c>
      <c r="E188" s="11" t="str">
        <f>HYPERLINK("https://youtu.be/aY0GtVZhNfk?t=3582","channel 2")</f>
        <v>channel 2</v>
      </c>
    </row>
    <row r="189">
      <c r="B189" s="62" t="s">
        <v>1504</v>
      </c>
      <c r="C189" s="94" t="s">
        <v>19</v>
      </c>
      <c r="D189" s="62" t="s">
        <v>3753</v>
      </c>
      <c r="E189" s="11" t="str">
        <f>HYPERLINK("https://youtu.be/L_o0aPIVluU?t=4513","channel 1")</f>
        <v>channel 1</v>
      </c>
    </row>
    <row r="190">
      <c r="B190" s="62" t="s">
        <v>3094</v>
      </c>
      <c r="C190" s="94" t="s">
        <v>194</v>
      </c>
      <c r="D190" s="62" t="s">
        <v>1110</v>
      </c>
      <c r="E190" s="11" t="str">
        <f>HYPERLINK("https://youtu.be/aY0GtVZhNfk?t=4539","channel 2")</f>
        <v>channel 2</v>
      </c>
    </row>
    <row r="191">
      <c r="B191" s="62" t="s">
        <v>3753</v>
      </c>
      <c r="C191" s="94" t="s">
        <v>220</v>
      </c>
      <c r="D191" s="62" t="s">
        <v>3754</v>
      </c>
      <c r="E191" s="11" t="str">
        <f>HYPERLINK("https://youtu.be/L_o0aPIVluU?t=5451","channel 1")</f>
        <v>channel 1</v>
      </c>
    </row>
    <row r="192">
      <c r="B192" s="62" t="s">
        <v>1504</v>
      </c>
      <c r="C192" s="94" t="s">
        <v>362</v>
      </c>
      <c r="D192" s="62" t="s">
        <v>1110</v>
      </c>
      <c r="E192" s="11" t="str">
        <f>HYPERLINK("https://youtu.be/aY0GtVZhNfk?t=5452","channel 2")</f>
        <v>channel 2</v>
      </c>
    </row>
    <row r="193">
      <c r="B193" s="62" t="s">
        <v>3094</v>
      </c>
      <c r="C193" s="94" t="s">
        <v>196</v>
      </c>
      <c r="D193" s="62" t="s">
        <v>3754</v>
      </c>
      <c r="E193" s="11" t="str">
        <f>HYPERLINK("https://youtu.be/L_o0aPIVluU?t=6395","channel 1")</f>
        <v>channel 1</v>
      </c>
    </row>
    <row r="194">
      <c r="B194" s="62" t="s">
        <v>3753</v>
      </c>
      <c r="C194" s="94" t="s">
        <v>155</v>
      </c>
      <c r="D194" s="62" t="s">
        <v>1110</v>
      </c>
      <c r="E194" s="11" t="str">
        <f>HYPERLINK("https://youtu.be/aY0GtVZhNfk?t=6385","channel 2")</f>
        <v>channel 2</v>
      </c>
    </row>
    <row r="195">
      <c r="B195" s="62" t="s">
        <v>1504</v>
      </c>
      <c r="C195" s="94" t="s">
        <v>490</v>
      </c>
      <c r="D195" s="62" t="s">
        <v>3754</v>
      </c>
      <c r="E195" s="11" t="str">
        <f>HYPERLINK("https://youtu.be/L_o0aPIVluU?t=7341","channel 1")</f>
        <v>channel 1</v>
      </c>
    </row>
    <row r="196">
      <c r="B196" s="62" t="s">
        <v>3753</v>
      </c>
      <c r="C196" s="94" t="s">
        <v>257</v>
      </c>
      <c r="D196" s="62" t="s">
        <v>3094</v>
      </c>
      <c r="E196" s="11" t="str">
        <f>HYPERLINK("https://youtu.be/aY0GtVZhNfk?t=7278","channel 2")</f>
        <v>channel 2</v>
      </c>
    </row>
    <row r="197">
      <c r="B197" s="62" t="s">
        <v>1110</v>
      </c>
      <c r="C197" s="94" t="s">
        <v>208</v>
      </c>
      <c r="D197" s="62" t="s">
        <v>3754</v>
      </c>
      <c r="E197" s="11" t="str">
        <f>HYPERLINK("https://youtu.be/L_o0aPIVluU?t=8219","channel 1")</f>
        <v>channel 1</v>
      </c>
    </row>
    <row r="198">
      <c r="B198" s="62" t="s">
        <v>1504</v>
      </c>
      <c r="C198" s="94" t="s">
        <v>290</v>
      </c>
      <c r="D198" s="62" t="s">
        <v>3094</v>
      </c>
      <c r="E198" s="11" t="str">
        <f>HYPERLINK("https://youtu.be/aY0GtVZhNfk?t=8219","channel 2")</f>
        <v>channel 2</v>
      </c>
    </row>
    <row r="199">
      <c r="B199" s="96" t="s">
        <v>2304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3755</v>
      </c>
      <c r="C201" s="94" t="s">
        <v>162</v>
      </c>
      <c r="D201" s="62" t="s">
        <v>2027</v>
      </c>
      <c r="E201" s="11" t="str">
        <f>HYPERLINK("https://youtu.be/aQJwQtvcgOA","channel 1")</f>
        <v>channel 1</v>
      </c>
    </row>
    <row r="202">
      <c r="B202" s="62" t="s">
        <v>962</v>
      </c>
      <c r="C202" s="94" t="s">
        <v>576</v>
      </c>
      <c r="D202" s="62" t="s">
        <v>2256</v>
      </c>
      <c r="E202" s="11" t="str">
        <f>HYPERLINK("https://youtu.be/yjUizL6ZvsA","channel 2")</f>
        <v>channel 2</v>
      </c>
    </row>
    <row r="203">
      <c r="B203" s="62" t="s">
        <v>3756</v>
      </c>
      <c r="C203" s="94" t="s">
        <v>181</v>
      </c>
      <c r="D203" s="62" t="s">
        <v>3755</v>
      </c>
      <c r="E203" s="11" t="str">
        <f>HYPERLINK("https://youtu.be/aQJwQtvcgOA?t=1110","channel 1")</f>
        <v>channel 1</v>
      </c>
    </row>
    <row r="204">
      <c r="B204" s="62" t="s">
        <v>962</v>
      </c>
      <c r="C204" s="94" t="s">
        <v>250</v>
      </c>
      <c r="D204" s="62" t="s">
        <v>2027</v>
      </c>
      <c r="E204" s="11" t="str">
        <f>HYPERLINK("https://youtu.be/yjUizL6ZvsA?t=1132","channel 2")</f>
        <v>channel 2</v>
      </c>
    </row>
    <row r="205">
      <c r="B205" s="62" t="s">
        <v>3756</v>
      </c>
      <c r="C205" s="94" t="s">
        <v>525</v>
      </c>
      <c r="D205" s="62" t="s">
        <v>2256</v>
      </c>
      <c r="E205" s="11" t="str">
        <f>HYPERLINK("https://youtu.be/aQJwQtvcgOA?t=2035","channel 1")</f>
        <v>channel 1</v>
      </c>
    </row>
    <row r="206">
      <c r="B206" s="62" t="s">
        <v>962</v>
      </c>
      <c r="C206" s="94" t="s">
        <v>17</v>
      </c>
      <c r="D206" s="62" t="s">
        <v>3755</v>
      </c>
      <c r="E206" s="11" t="str">
        <f>HYPERLINK("https://youtu.be/yjUizL6ZvsA?t=2054","channel 2")</f>
        <v>channel 2</v>
      </c>
    </row>
    <row r="207">
      <c r="B207" s="62" t="s">
        <v>3756</v>
      </c>
      <c r="C207" s="94" t="s">
        <v>327</v>
      </c>
      <c r="D207" s="62" t="s">
        <v>2027</v>
      </c>
      <c r="E207" s="11" t="str">
        <f>HYPERLINK("https://youtu.be/aQJwQtvcgOA?t=2969","channel 1")</f>
        <v>channel 1</v>
      </c>
    </row>
    <row r="208">
      <c r="B208" s="62" t="s">
        <v>2256</v>
      </c>
      <c r="C208" s="94" t="s">
        <v>195</v>
      </c>
      <c r="D208" s="62" t="s">
        <v>3755</v>
      </c>
      <c r="E208" s="11" t="str">
        <f>HYPERLINK("https://youtu.be/yjUizL6ZvsA?t=2985","channel 2")</f>
        <v>channel 2</v>
      </c>
    </row>
    <row r="209">
      <c r="B209" s="62" t="s">
        <v>3756</v>
      </c>
      <c r="C209" s="94" t="s">
        <v>426</v>
      </c>
      <c r="D209" s="62" t="s">
        <v>962</v>
      </c>
      <c r="E209" s="11" t="str">
        <f>HYPERLINK("https://youtu.be/aQJwQtvcgOA?t=3952","channel 1")</f>
        <v>channel 1</v>
      </c>
    </row>
    <row r="210">
      <c r="B210" s="62" t="s">
        <v>2256</v>
      </c>
      <c r="C210" s="94" t="s">
        <v>176</v>
      </c>
      <c r="D210" s="62" t="s">
        <v>2027</v>
      </c>
      <c r="E210" s="11" t="str">
        <f>HYPERLINK("https://youtu.be/yjUizL6ZvsA?t=3946","channel 2")</f>
        <v>channel 2</v>
      </c>
    </row>
    <row r="211">
      <c r="B211" s="62" t="s">
        <v>2027</v>
      </c>
      <c r="C211" s="94" t="s">
        <v>181</v>
      </c>
      <c r="D211" s="62" t="s">
        <v>3755</v>
      </c>
      <c r="E211" s="11" t="str">
        <f>HYPERLINK("https://youtu.be/aQJwQtvcgOA?t=4913","channel 1")</f>
        <v>channel 1</v>
      </c>
    </row>
    <row r="212">
      <c r="B212" s="62" t="s">
        <v>2256</v>
      </c>
      <c r="C212" s="94" t="s">
        <v>177</v>
      </c>
      <c r="D212" s="62" t="s">
        <v>962</v>
      </c>
      <c r="E212" s="11" t="str">
        <f>HYPERLINK("https://youtu.be/yjUizL6ZvsA?t=4924","channel 2")</f>
        <v>channel 2</v>
      </c>
    </row>
    <row r="213">
      <c r="B213" s="62" t="s">
        <v>3755</v>
      </c>
      <c r="C213" s="94" t="s">
        <v>14</v>
      </c>
      <c r="D213" s="62" t="s">
        <v>3756</v>
      </c>
      <c r="E213" s="11" t="str">
        <f>HYPERLINK("https://youtu.be/aQJwQtvcgOA?t=5810","channel 1")</f>
        <v>channel 1</v>
      </c>
    </row>
    <row r="214">
      <c r="B214" s="62" t="s">
        <v>2027</v>
      </c>
      <c r="C214" s="94" t="s">
        <v>251</v>
      </c>
      <c r="D214" s="62" t="s">
        <v>962</v>
      </c>
      <c r="E214" s="11" t="str">
        <f>HYPERLINK("https://youtu.be/yjUizL6ZvsA?t=5834","channel 2")</f>
        <v>channel 2</v>
      </c>
    </row>
    <row r="215">
      <c r="B215" s="62" t="s">
        <v>2256</v>
      </c>
      <c r="C215" s="94" t="s">
        <v>256</v>
      </c>
      <c r="D215" s="62" t="s">
        <v>3756</v>
      </c>
      <c r="E215" s="11" t="str">
        <f>HYPERLINK("https://youtu.be/aQJwQtvcgOA?t=6682","channel 1")</f>
        <v>channel 1</v>
      </c>
    </row>
    <row r="216">
      <c r="B216" s="62" t="s">
        <v>3755</v>
      </c>
      <c r="C216" s="94" t="s">
        <v>327</v>
      </c>
      <c r="D216" s="62" t="s">
        <v>962</v>
      </c>
      <c r="E216" s="11" t="str">
        <f>HYPERLINK("https://youtu.be/yjUizL6ZvsA?t=6694","channel 2")</f>
        <v>channel 2</v>
      </c>
    </row>
    <row r="217">
      <c r="B217" s="62" t="s">
        <v>2027</v>
      </c>
      <c r="C217" s="94" t="s">
        <v>237</v>
      </c>
      <c r="D217" s="62" t="s">
        <v>3756</v>
      </c>
      <c r="E217" s="11" t="str">
        <f>HYPERLINK("https://youtu.be/aQJwQtvcgOA?t=7584","channel 1")</f>
        <v>channel 1</v>
      </c>
    </row>
    <row r="218">
      <c r="B218" s="62" t="s">
        <v>3755</v>
      </c>
      <c r="C218" s="94" t="s">
        <v>292</v>
      </c>
      <c r="D218" s="62" t="s">
        <v>2256</v>
      </c>
      <c r="E218" s="11" t="str">
        <f>HYPERLINK("https://youtu.be/yjUizL6ZvsA?t=7546","channel 2")</f>
        <v>channel 2</v>
      </c>
    </row>
    <row r="219">
      <c r="B219" s="62" t="s">
        <v>962</v>
      </c>
      <c r="C219" s="94" t="s">
        <v>688</v>
      </c>
      <c r="D219" s="62" t="s">
        <v>3756</v>
      </c>
      <c r="E219" s="11" t="str">
        <f>HYPERLINK("https://youtu.be/aQJwQtvcgOA?t=8422","channel 1")</f>
        <v>channel 1</v>
      </c>
    </row>
    <row r="220">
      <c r="B220" s="62" t="s">
        <v>2027</v>
      </c>
      <c r="C220" s="94" t="s">
        <v>3757</v>
      </c>
      <c r="D220" s="62" t="s">
        <v>2256</v>
      </c>
      <c r="E220" s="11" t="str">
        <f>HYPERLINK("https://youtu.be/yjUizL6ZvsA?t=8402","channel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2260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61" t="s">
        <v>3758</v>
      </c>
      <c r="C3" s="57" t="s">
        <v>208</v>
      </c>
      <c r="D3" s="61" t="s">
        <v>3759</v>
      </c>
      <c r="E3" s="11" t="str">
        <f>HYPERLINK("https://youtu.be/DVJoAf1dNtg","channel 1")</f>
        <v>channel 1</v>
      </c>
    </row>
    <row r="4">
      <c r="A4" s="141"/>
      <c r="B4" s="61" t="s">
        <v>3641</v>
      </c>
      <c r="C4" s="57" t="s">
        <v>426</v>
      </c>
      <c r="D4" s="61" t="s">
        <v>3760</v>
      </c>
      <c r="E4" s="11" t="str">
        <f>HYPERLINK("https://youtu.be/pqlt8rNlD_k","channel 2")</f>
        <v>channel 2</v>
      </c>
    </row>
    <row r="5">
      <c r="A5" s="141"/>
      <c r="B5" s="61" t="s">
        <v>3761</v>
      </c>
      <c r="C5" s="54" t="s">
        <v>843</v>
      </c>
      <c r="D5" s="61" t="s">
        <v>3758</v>
      </c>
      <c r="E5" s="11" t="str">
        <f>HYPERLINK("https://youtu.be/DVJoAf1dNtg?t=1137","channel 1")</f>
        <v>channel 1</v>
      </c>
    </row>
    <row r="6">
      <c r="A6" s="141"/>
      <c r="B6" s="61" t="s">
        <v>3641</v>
      </c>
      <c r="C6" s="57" t="s">
        <v>229</v>
      </c>
      <c r="D6" s="61" t="s">
        <v>3759</v>
      </c>
      <c r="E6" s="11" t="str">
        <f>HYPERLINK("https://youtu.be/pqlt8rNlD_k?t=936","channel 2")</f>
        <v>channel 2</v>
      </c>
    </row>
    <row r="7">
      <c r="A7" s="141"/>
      <c r="B7" s="61" t="s">
        <v>3761</v>
      </c>
      <c r="C7" s="57" t="s">
        <v>36</v>
      </c>
      <c r="D7" s="61" t="s">
        <v>3760</v>
      </c>
      <c r="E7" s="11" t="str">
        <f>HYPERLINK("https://youtu.be/DVJoAf1dNtg?t=2048","channel 1")</f>
        <v>channel 1</v>
      </c>
    </row>
    <row r="8">
      <c r="A8" s="141"/>
      <c r="B8" s="61" t="s">
        <v>3641</v>
      </c>
      <c r="C8" s="57" t="s">
        <v>222</v>
      </c>
      <c r="D8" s="61" t="s">
        <v>3758</v>
      </c>
      <c r="E8" s="11" t="str">
        <f>HYPERLINK("https://youtu.be/pqlt8rNlD_k?t=2041","channel 2")</f>
        <v>channel 2</v>
      </c>
    </row>
    <row r="9">
      <c r="A9" s="141"/>
      <c r="B9" s="61" t="s">
        <v>3761</v>
      </c>
      <c r="C9" s="57" t="s">
        <v>41</v>
      </c>
      <c r="D9" s="61" t="s">
        <v>3759</v>
      </c>
      <c r="E9" s="11" t="str">
        <f>HYPERLINK("https://youtu.be/DVJoAf1dNtg?t=3113","channel 1")</f>
        <v>channel 1</v>
      </c>
    </row>
    <row r="10">
      <c r="A10" s="141"/>
      <c r="B10" s="61" t="s">
        <v>3760</v>
      </c>
      <c r="C10" s="57" t="s">
        <v>16</v>
      </c>
      <c r="D10" s="61" t="s">
        <v>3758</v>
      </c>
      <c r="E10" s="11" t="str">
        <f>HYPERLINK("https://youtu.be/pqlt8rNlD_k?t=2952","channel 2")</f>
        <v>channel 2</v>
      </c>
    </row>
    <row r="11">
      <c r="A11" s="141"/>
      <c r="B11" s="61" t="s">
        <v>3761</v>
      </c>
      <c r="C11" s="57" t="s">
        <v>17</v>
      </c>
      <c r="D11" s="61" t="s">
        <v>3641</v>
      </c>
      <c r="E11" s="11" t="str">
        <f>HYPERLINK("https://youtu.be/DVJoAf1dNtg?t=4055","channel 1")</f>
        <v>channel 1</v>
      </c>
    </row>
    <row r="12">
      <c r="A12" s="141"/>
      <c r="B12" s="61" t="s">
        <v>3760</v>
      </c>
      <c r="C12" s="57" t="s">
        <v>203</v>
      </c>
      <c r="D12" s="61" t="s">
        <v>3759</v>
      </c>
      <c r="E12" s="11" t="str">
        <f>HYPERLINK("https://youtu.be/pqlt8rNlD_k?t=3934","channel 2")</f>
        <v>channel 2</v>
      </c>
    </row>
    <row r="13">
      <c r="A13" s="141"/>
      <c r="B13" s="61" t="s">
        <v>3759</v>
      </c>
      <c r="C13" s="54" t="s">
        <v>1590</v>
      </c>
      <c r="D13" s="61" t="s">
        <v>3758</v>
      </c>
      <c r="E13" s="11" t="str">
        <f>HYPERLINK("https://youtu.be/DVJoAf1dNtg?t=4966","channel 1")</f>
        <v>channel 1</v>
      </c>
    </row>
    <row r="14">
      <c r="A14" s="141"/>
      <c r="B14" s="61" t="s">
        <v>3760</v>
      </c>
      <c r="C14" s="45" t="s">
        <v>675</v>
      </c>
      <c r="D14" s="61" t="s">
        <v>3641</v>
      </c>
      <c r="E14" s="11" t="str">
        <f>HYPERLINK("https://youtu.be/pqlt8rNlD_k?t=4851","channel 2")</f>
        <v>channel 2</v>
      </c>
    </row>
    <row r="15">
      <c r="A15" s="141"/>
      <c r="B15" s="61" t="s">
        <v>3758</v>
      </c>
      <c r="C15" s="45" t="s">
        <v>324</v>
      </c>
      <c r="D15" s="61" t="s">
        <v>3761</v>
      </c>
      <c r="E15" s="11" t="str">
        <f>HYPERLINK("https://youtu.be/DVJoAf1dNtg?t=5993","channel 1")</f>
        <v>channel 1</v>
      </c>
    </row>
    <row r="16">
      <c r="A16" s="141"/>
      <c r="B16" s="61" t="s">
        <v>3759</v>
      </c>
      <c r="C16" s="57" t="s">
        <v>334</v>
      </c>
      <c r="D16" s="61" t="s">
        <v>3641</v>
      </c>
      <c r="E16" s="11" t="str">
        <f>HYPERLINK("https://youtu.be/pqlt8rNlD_k?t=5775","channel 2")</f>
        <v>channel 2</v>
      </c>
    </row>
    <row r="17">
      <c r="A17" s="141"/>
      <c r="B17" s="61" t="s">
        <v>3760</v>
      </c>
      <c r="C17" s="57" t="s">
        <v>279</v>
      </c>
      <c r="D17" s="61" t="s">
        <v>3761</v>
      </c>
      <c r="E17" s="11" t="str">
        <f>HYPERLINK("https://youtu.be/DVJoAf1dNtg?t=6965","channel 1")</f>
        <v>channel 1</v>
      </c>
    </row>
    <row r="18">
      <c r="A18" s="141"/>
      <c r="B18" s="61" t="s">
        <v>3758</v>
      </c>
      <c r="C18" s="57" t="s">
        <v>18</v>
      </c>
      <c r="D18" s="61" t="s">
        <v>3641</v>
      </c>
      <c r="E18" s="11" t="str">
        <f>HYPERLINK("https://youtu.be/pqlt8rNlD_k?t=6769","channel 2")</f>
        <v>channel 2</v>
      </c>
    </row>
    <row r="19">
      <c r="A19" s="141"/>
      <c r="B19" s="61" t="s">
        <v>3759</v>
      </c>
      <c r="C19" s="151" t="s">
        <v>554</v>
      </c>
      <c r="D19" s="61" t="s">
        <v>3761</v>
      </c>
      <c r="E19" s="11" t="str">
        <f>HYPERLINK("https://youtu.be/DVJoAf1dNtg?t=7938","channel 1")</f>
        <v>channel 1</v>
      </c>
    </row>
    <row r="20">
      <c r="A20" s="141"/>
      <c r="B20" s="61" t="s">
        <v>3758</v>
      </c>
      <c r="C20" s="76" t="s">
        <v>196</v>
      </c>
      <c r="D20" s="61" t="s">
        <v>3760</v>
      </c>
      <c r="E20" s="11" t="str">
        <f>HYPERLINK("https://youtu.be/pqlt8rNlD_k?t=7622","channel 2")</f>
        <v>channel 2</v>
      </c>
    </row>
    <row r="21">
      <c r="A21" s="141"/>
      <c r="B21" s="61" t="s">
        <v>3641</v>
      </c>
      <c r="C21" s="76" t="s">
        <v>7</v>
      </c>
      <c r="D21" s="61" t="s">
        <v>3761</v>
      </c>
      <c r="E21" s="11" t="str">
        <f>HYPERLINK("https://youtu.be/DVJoAf1dNtg?t=8819","channel 1")</f>
        <v>channel 1</v>
      </c>
    </row>
    <row r="22">
      <c r="A22" s="141"/>
      <c r="B22" s="61" t="s">
        <v>3759</v>
      </c>
      <c r="C22" s="76" t="s">
        <v>525</v>
      </c>
      <c r="D22" s="61" t="s">
        <v>3760</v>
      </c>
      <c r="E22" s="11" t="str">
        <f>HYPERLINK("https://youtu.be/pqlt8rNlD_k?t=8513","channel 2")</f>
        <v>channel 2</v>
      </c>
    </row>
    <row r="23">
      <c r="A23" s="141"/>
      <c r="B23" s="96" t="s">
        <v>3526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3762</v>
      </c>
      <c r="C25" s="57" t="s">
        <v>209</v>
      </c>
      <c r="D25" s="61" t="s">
        <v>3763</v>
      </c>
      <c r="E25" s="11" t="str">
        <f>HYPERLINK("https://youtu.be/U-u2hNm2lig","channel 1")</f>
        <v>channel 1</v>
      </c>
    </row>
    <row r="26">
      <c r="A26" s="141"/>
      <c r="B26" s="61" t="s">
        <v>1609</v>
      </c>
      <c r="C26" s="57" t="s">
        <v>220</v>
      </c>
      <c r="D26" s="61" t="s">
        <v>3764</v>
      </c>
      <c r="E26" s="11" t="str">
        <f>HYPERLINK("https://youtu.be/XFPgwgpo8ps","channel 2")</f>
        <v>channel 2</v>
      </c>
    </row>
    <row r="27">
      <c r="A27" s="141"/>
      <c r="B27" s="61" t="s">
        <v>3765</v>
      </c>
      <c r="C27" s="57" t="s">
        <v>18</v>
      </c>
      <c r="D27" s="61" t="s">
        <v>3762</v>
      </c>
      <c r="E27" s="11" t="str">
        <f>HYPERLINK("https://youtu.be/U-u2hNm2lig?t=899","channel 1")</f>
        <v>channel 1</v>
      </c>
    </row>
    <row r="28">
      <c r="A28" s="141"/>
      <c r="B28" s="61" t="s">
        <v>1609</v>
      </c>
      <c r="C28" s="57" t="s">
        <v>168</v>
      </c>
      <c r="D28" s="61" t="s">
        <v>3763</v>
      </c>
      <c r="E28" s="11" t="str">
        <f>HYPERLINK("https://youtu.be/XFPgwgpo8ps?t=897","channel 2")</f>
        <v>channel 2</v>
      </c>
    </row>
    <row r="29">
      <c r="A29" s="141"/>
      <c r="B29" s="61" t="s">
        <v>3765</v>
      </c>
      <c r="C29" s="57" t="s">
        <v>449</v>
      </c>
      <c r="D29" s="61" t="s">
        <v>3764</v>
      </c>
      <c r="E29" s="11" t="str">
        <f>HYPERLINK("https://youtu.be/U-u2hNm2lig?t=1892","channel 1")</f>
        <v>channel 1</v>
      </c>
    </row>
    <row r="30">
      <c r="A30" s="141"/>
      <c r="B30" s="61" t="s">
        <v>1609</v>
      </c>
      <c r="C30" s="57" t="s">
        <v>19</v>
      </c>
      <c r="D30" s="61" t="s">
        <v>3762</v>
      </c>
      <c r="E30" s="11" t="str">
        <f>HYPERLINK("https://youtu.be/XFPgwgpo8ps?t=1856","channel 2")</f>
        <v>channel 2</v>
      </c>
    </row>
    <row r="31">
      <c r="A31" s="141"/>
      <c r="B31" s="61" t="s">
        <v>3765</v>
      </c>
      <c r="C31" s="57" t="s">
        <v>231</v>
      </c>
      <c r="D31" s="61" t="s">
        <v>3763</v>
      </c>
      <c r="E31" s="11" t="str">
        <f>HYPERLINK("https://youtu.be/U-u2hNm2lig?t=2840","channel 1")</f>
        <v>channel 1</v>
      </c>
    </row>
    <row r="32">
      <c r="A32" s="141"/>
      <c r="B32" s="61" t="s">
        <v>3764</v>
      </c>
      <c r="C32" s="57" t="s">
        <v>41</v>
      </c>
      <c r="D32" s="61" t="s">
        <v>3762</v>
      </c>
      <c r="E32" s="11" t="str">
        <f>HYPERLINK("https://youtu.be/XFPgwgpo8ps?t=2894","channel 2")</f>
        <v>channel 2</v>
      </c>
    </row>
    <row r="33">
      <c r="A33" s="141"/>
      <c r="B33" s="61" t="s">
        <v>3765</v>
      </c>
      <c r="C33" s="57" t="s">
        <v>534</v>
      </c>
      <c r="D33" s="61" t="s">
        <v>1609</v>
      </c>
      <c r="E33" s="11" t="str">
        <f>HYPERLINK("https://youtu.be/U-u2hNm2lig?t=3773","channel 1")</f>
        <v>channel 1</v>
      </c>
    </row>
    <row r="34">
      <c r="A34" s="141"/>
      <c r="B34" s="61" t="s">
        <v>3764</v>
      </c>
      <c r="C34" s="57" t="s">
        <v>250</v>
      </c>
      <c r="D34" s="61" t="s">
        <v>3763</v>
      </c>
      <c r="E34" s="11" t="str">
        <f>HYPERLINK("https://youtu.be/XFPgwgpo8ps?t=3800","channel 2")</f>
        <v>channel 2</v>
      </c>
    </row>
    <row r="35">
      <c r="A35" s="141"/>
      <c r="B35" s="61" t="s">
        <v>3763</v>
      </c>
      <c r="C35" s="57" t="s">
        <v>24</v>
      </c>
      <c r="D35" s="61" t="s">
        <v>3762</v>
      </c>
      <c r="E35" s="11" t="str">
        <f>HYPERLINK("https://youtu.be/U-u2hNm2lig?t=4788","channel 1")</f>
        <v>channel 1</v>
      </c>
    </row>
    <row r="36">
      <c r="A36" s="141"/>
      <c r="B36" s="61" t="s">
        <v>3764</v>
      </c>
      <c r="C36" s="57" t="s">
        <v>352</v>
      </c>
      <c r="D36" s="61" t="s">
        <v>1609</v>
      </c>
      <c r="E36" s="11" t="str">
        <f>HYPERLINK("https://youtu.be/XFPgwgpo8ps?t=4706","channel 2")</f>
        <v>channel 2</v>
      </c>
    </row>
    <row r="37">
      <c r="A37" s="141"/>
      <c r="B37" s="61" t="s">
        <v>3762</v>
      </c>
      <c r="C37" s="57" t="s">
        <v>302</v>
      </c>
      <c r="D37" s="61" t="s">
        <v>3765</v>
      </c>
      <c r="E37" s="11" t="str">
        <f>HYPERLINK("https://youtu.be/U-u2hNm2lig?t=5729","channel 1")</f>
        <v>channel 1</v>
      </c>
    </row>
    <row r="38">
      <c r="A38" s="141"/>
      <c r="B38" s="61" t="s">
        <v>3763</v>
      </c>
      <c r="C38" s="57" t="s">
        <v>280</v>
      </c>
      <c r="D38" s="61" t="s">
        <v>1609</v>
      </c>
      <c r="E38" s="11" t="str">
        <f>HYPERLINK("https://youtu.be/XFPgwgpo8ps?t=5770","channel 2")</f>
        <v>channel 2</v>
      </c>
    </row>
    <row r="39">
      <c r="A39" s="141"/>
      <c r="B39" s="61" t="s">
        <v>3764</v>
      </c>
      <c r="C39" s="45" t="s">
        <v>549</v>
      </c>
      <c r="D39" s="61" t="s">
        <v>3765</v>
      </c>
      <c r="E39" s="11" t="str">
        <f>HYPERLINK("https://youtu.be/U-u2hNm2lig?t=6699","channel 1")</f>
        <v>channel 1</v>
      </c>
    </row>
    <row r="40">
      <c r="A40" s="141"/>
      <c r="B40" s="61" t="s">
        <v>3762</v>
      </c>
      <c r="C40" s="45" t="s">
        <v>222</v>
      </c>
      <c r="D40" s="61" t="s">
        <v>1609</v>
      </c>
      <c r="E40" s="11" t="str">
        <f>HYPERLINK("https://youtu.be/XFPgwgpo8ps?t=6769","channel 2")</f>
        <v>channel 2</v>
      </c>
    </row>
    <row r="41">
      <c r="A41" s="141"/>
      <c r="B41" s="61" t="s">
        <v>3763</v>
      </c>
      <c r="C41" s="57" t="s">
        <v>196</v>
      </c>
      <c r="D41" s="61" t="s">
        <v>3765</v>
      </c>
      <c r="E41" s="11" t="str">
        <f>HYPERLINK("https://youtu.be/U-u2hNm2lig?t=7722","channel 1")</f>
        <v>channel 1</v>
      </c>
    </row>
    <row r="42">
      <c r="A42" s="141"/>
      <c r="B42" s="61" t="s">
        <v>3762</v>
      </c>
      <c r="C42" s="57" t="s">
        <v>248</v>
      </c>
      <c r="D42" s="61" t="s">
        <v>3764</v>
      </c>
      <c r="E42" s="11" t="str">
        <f>HYPERLINK("https://youtu.be/XFPgwgpo8ps?t=7702","channel 2")</f>
        <v>channel 2</v>
      </c>
    </row>
    <row r="43">
      <c r="A43" s="141"/>
      <c r="B43" s="61" t="s">
        <v>1609</v>
      </c>
      <c r="C43" s="57" t="s">
        <v>279</v>
      </c>
      <c r="D43" s="61" t="s">
        <v>3765</v>
      </c>
      <c r="E43" s="11" t="str">
        <f>HYPERLINK("https://youtu.be/U-u2hNm2lig?t=8603","channel 1")</f>
        <v>channel 1</v>
      </c>
    </row>
    <row r="44">
      <c r="A44" s="141"/>
      <c r="B44" s="61" t="s">
        <v>3763</v>
      </c>
      <c r="C44" s="57" t="s">
        <v>184</v>
      </c>
      <c r="D44" s="61" t="s">
        <v>3764</v>
      </c>
      <c r="E44" s="11" t="str">
        <f>HYPERLINK("https://youtu.be/XFPgwgpo8ps?t=8572","channel 2")</f>
        <v>channel 2</v>
      </c>
    </row>
    <row r="45">
      <c r="A45" s="141"/>
      <c r="B45" s="96" t="s">
        <v>2919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3766</v>
      </c>
      <c r="C47" s="57" t="s">
        <v>419</v>
      </c>
      <c r="D47" s="56" t="s">
        <v>1623</v>
      </c>
      <c r="E47" s="11" t="str">
        <f>HYPERLINK("https://youtu.be/qx2ELSW8244","channel 3")</f>
        <v>channel 3</v>
      </c>
    </row>
    <row r="48">
      <c r="A48" s="141"/>
      <c r="B48" s="61" t="s">
        <v>857</v>
      </c>
      <c r="C48" s="57" t="s">
        <v>1123</v>
      </c>
      <c r="D48" s="61" t="s">
        <v>2012</v>
      </c>
      <c r="E48" s="11" t="str">
        <f>HYPERLINK("https://youtu.be/8_3MGr38EdU","channel 4")</f>
        <v>channel 4</v>
      </c>
    </row>
    <row r="49">
      <c r="A49" s="141"/>
      <c r="B49" s="61" t="s">
        <v>3767</v>
      </c>
      <c r="C49" s="57" t="s">
        <v>218</v>
      </c>
      <c r="D49" s="61" t="s">
        <v>3766</v>
      </c>
      <c r="E49" s="11" t="str">
        <f>HYPERLINK("https://youtu.be/qx2ELSW8244?t=1096","channel 3")</f>
        <v>channel 3</v>
      </c>
    </row>
    <row r="50">
      <c r="A50" s="141"/>
      <c r="B50" s="61" t="s">
        <v>857</v>
      </c>
      <c r="C50" s="57" t="s">
        <v>155</v>
      </c>
      <c r="D50" s="56" t="s">
        <v>1623</v>
      </c>
      <c r="E50" s="11" t="str">
        <f>HYPERLINK("https://youtu.be/8_3MGr38EdU?t=927","channel 4")</f>
        <v>channel 4</v>
      </c>
    </row>
    <row r="51">
      <c r="A51" s="141"/>
      <c r="B51" s="114" t="s">
        <v>3767</v>
      </c>
      <c r="C51" s="94" t="s">
        <v>477</v>
      </c>
      <c r="D51" s="114" t="s">
        <v>2012</v>
      </c>
      <c r="E51" s="11" t="str">
        <f>HYPERLINK("https://youtu.be/qx2ELSW8244?t=2089","channel 3")</f>
        <v>channel 3</v>
      </c>
    </row>
    <row r="52">
      <c r="A52" s="141"/>
      <c r="B52" s="61" t="s">
        <v>857</v>
      </c>
      <c r="C52" s="57" t="s">
        <v>352</v>
      </c>
      <c r="D52" s="61" t="s">
        <v>3766</v>
      </c>
      <c r="E52" s="11" t="str">
        <f>HYPERLINK("https://youtu.be/8_3MGr38EdU?t=1955","channel 4")</f>
        <v>channel 4</v>
      </c>
    </row>
    <row r="53">
      <c r="A53" s="141"/>
      <c r="B53" s="114" t="s">
        <v>3767</v>
      </c>
      <c r="C53" s="94" t="s">
        <v>3768</v>
      </c>
      <c r="D53" s="136" t="s">
        <v>1623</v>
      </c>
      <c r="E53" s="11" t="str">
        <f>HYPERLINK("https://youtu.be/qx2ELSW8244?t=2989","channel 3")</f>
        <v>channel 3</v>
      </c>
    </row>
    <row r="54">
      <c r="A54" s="141"/>
      <c r="B54" s="61" t="s">
        <v>2012</v>
      </c>
      <c r="C54" s="57" t="s">
        <v>185</v>
      </c>
      <c r="D54" s="61" t="s">
        <v>3766</v>
      </c>
      <c r="E54" s="11" t="str">
        <f>HYPERLINK("https://youtu.be/8_3MGr38EdU?t=2923","channel 4")</f>
        <v>channel 4</v>
      </c>
    </row>
    <row r="55">
      <c r="A55" s="141"/>
      <c r="B55" s="114" t="s">
        <v>3767</v>
      </c>
      <c r="C55" s="94" t="s">
        <v>573</v>
      </c>
      <c r="D55" s="114" t="s">
        <v>857</v>
      </c>
      <c r="E55" s="11" t="str">
        <f>HYPERLINK("https://youtu.be/qx2ELSW8244?t=3884","channel 3")</f>
        <v>channel 3</v>
      </c>
    </row>
    <row r="56">
      <c r="A56" s="141"/>
      <c r="B56" s="61" t="s">
        <v>2012</v>
      </c>
      <c r="C56" s="57" t="s">
        <v>16</v>
      </c>
      <c r="D56" s="56" t="s">
        <v>1623</v>
      </c>
      <c r="E56" s="11" t="str">
        <f>HYPERLINK("https://youtu.be/8_3MGr38EdU?t=3839","channel 4")</f>
        <v>channel 4</v>
      </c>
    </row>
    <row r="57">
      <c r="A57" s="141"/>
      <c r="B57" s="136" t="s">
        <v>1623</v>
      </c>
      <c r="C57" s="94" t="s">
        <v>464</v>
      </c>
      <c r="D57" s="114" t="s">
        <v>3766</v>
      </c>
      <c r="E57" s="11" t="str">
        <f>HYPERLINK("https://youtu.be/qx2ELSW8244?t=4846","channel 3")</f>
        <v>channel 3</v>
      </c>
    </row>
    <row r="58">
      <c r="A58" s="141"/>
      <c r="B58" s="61" t="s">
        <v>2012</v>
      </c>
      <c r="C58" s="57" t="s">
        <v>166</v>
      </c>
      <c r="D58" s="61" t="s">
        <v>857</v>
      </c>
      <c r="E58" s="11" t="str">
        <f>HYPERLINK("https://youtu.be/8_3MGr38EdU?t=4693","channel 4")</f>
        <v>channel 4</v>
      </c>
    </row>
    <row r="59">
      <c r="A59" s="141"/>
      <c r="B59" s="114" t="s">
        <v>3766</v>
      </c>
      <c r="C59" s="94" t="s">
        <v>162</v>
      </c>
      <c r="D59" s="114" t="s">
        <v>3767</v>
      </c>
      <c r="E59" s="11" t="str">
        <f>HYPERLINK("https://youtu.be/qx2ELSW8244?t=5746","channel 3")</f>
        <v>channel 3</v>
      </c>
    </row>
    <row r="60">
      <c r="A60" s="141"/>
      <c r="B60" s="56" t="s">
        <v>1623</v>
      </c>
      <c r="C60" s="57" t="s">
        <v>220</v>
      </c>
      <c r="D60" s="61" t="s">
        <v>857</v>
      </c>
      <c r="E60" s="11" t="str">
        <f>HYPERLINK("https://youtu.be/8_3MGr38EdU?t=5598","channel 4")</f>
        <v>channel 4</v>
      </c>
    </row>
    <row r="61">
      <c r="A61" s="141"/>
      <c r="B61" s="114" t="s">
        <v>2012</v>
      </c>
      <c r="C61" s="94" t="s">
        <v>2125</v>
      </c>
      <c r="D61" s="114" t="s">
        <v>3767</v>
      </c>
      <c r="E61" s="11" t="str">
        <f>HYPERLINK("https://youtu.be/qx2ELSW8244?t=6663","channel 3")</f>
        <v>channel 3</v>
      </c>
    </row>
    <row r="62">
      <c r="A62" s="141"/>
      <c r="B62" s="61" t="s">
        <v>3766</v>
      </c>
      <c r="C62" s="57" t="s">
        <v>351</v>
      </c>
      <c r="D62" s="61" t="s">
        <v>857</v>
      </c>
      <c r="E62" s="11" t="str">
        <f>HYPERLINK("https://youtu.be/8_3MGr38EdU?t=6508","channel 4")</f>
        <v>channel 4</v>
      </c>
    </row>
    <row r="63">
      <c r="A63" s="141"/>
      <c r="B63" s="136" t="s">
        <v>1623</v>
      </c>
      <c r="C63" s="94" t="s">
        <v>220</v>
      </c>
      <c r="D63" s="114" t="s">
        <v>3767</v>
      </c>
      <c r="E63" s="11" t="str">
        <f>HYPERLINK("https://youtu.be/qx2ELSW8244?t=7579","channel 3")</f>
        <v>channel 3</v>
      </c>
    </row>
    <row r="64">
      <c r="A64" s="141"/>
      <c r="B64" s="61" t="s">
        <v>3766</v>
      </c>
      <c r="C64" s="57" t="s">
        <v>534</v>
      </c>
      <c r="D64" s="61" t="s">
        <v>2012</v>
      </c>
      <c r="E64" s="11" t="str">
        <f>HYPERLINK("https://youtu.be/8_3MGr38EdU?t=7463","channel 4")</f>
        <v>channel 4</v>
      </c>
    </row>
    <row r="65">
      <c r="A65" s="141"/>
      <c r="B65" s="114" t="s">
        <v>857</v>
      </c>
      <c r="C65" s="94" t="s">
        <v>19</v>
      </c>
      <c r="D65" s="114" t="s">
        <v>3767</v>
      </c>
      <c r="E65" s="11" t="str">
        <f>HYPERLINK("https://youtu.be/qx2ELSW8244?t=8487","channel 3")</f>
        <v>channel 3</v>
      </c>
    </row>
    <row r="66">
      <c r="A66" s="141"/>
      <c r="B66" s="56" t="s">
        <v>1623</v>
      </c>
      <c r="C66" s="57" t="s">
        <v>301</v>
      </c>
      <c r="D66" s="61" t="s">
        <v>2012</v>
      </c>
      <c r="E66" s="11" t="str">
        <f>HYPERLINK("https://youtu.be/8_3MGr38EdU?t=8443","channel 4")</f>
        <v>channel 4</v>
      </c>
    </row>
    <row r="67">
      <c r="A67" s="141"/>
      <c r="B67" s="96" t="s">
        <v>3141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152" t="s">
        <v>341</v>
      </c>
      <c r="C69" s="57" t="s">
        <v>225</v>
      </c>
      <c r="D69" s="152" t="s">
        <v>3320</v>
      </c>
      <c r="E69" s="11" t="str">
        <f>HYPERLINK("https://youtu.be/lg3Itk5TCow","channel 3")</f>
        <v>channel 3</v>
      </c>
    </row>
    <row r="70">
      <c r="A70" s="141"/>
      <c r="B70" s="152" t="s">
        <v>3142</v>
      </c>
      <c r="C70" s="57" t="s">
        <v>219</v>
      </c>
      <c r="D70" s="152" t="s">
        <v>3769</v>
      </c>
      <c r="E70" s="11" t="str">
        <f>HYPERLINK("https://youtu.be/TXnUgdzK0oY","channel 4")</f>
        <v>channel 4</v>
      </c>
    </row>
    <row r="71">
      <c r="A71" s="141"/>
      <c r="B71" s="153" t="s">
        <v>3770</v>
      </c>
      <c r="C71" s="94" t="s">
        <v>208</v>
      </c>
      <c r="D71" s="153" t="s">
        <v>341</v>
      </c>
      <c r="E71" s="11" t="str">
        <f>HYPERLINK("https://youtu.be/lg3Itk5TCow?t=1189","channel 3")</f>
        <v>channel 3</v>
      </c>
    </row>
    <row r="72">
      <c r="A72" s="141"/>
      <c r="B72" s="152" t="s">
        <v>3142</v>
      </c>
      <c r="C72" s="57" t="s">
        <v>171</v>
      </c>
      <c r="D72" s="152" t="s">
        <v>3320</v>
      </c>
      <c r="E72" s="11" t="str">
        <f>HYPERLINK("https://youtu.be/TXnUgdzK0oY?t=871","channel 4")</f>
        <v>channel 4</v>
      </c>
    </row>
    <row r="73">
      <c r="A73" s="141"/>
      <c r="B73" s="153" t="s">
        <v>3770</v>
      </c>
      <c r="C73" s="94" t="s">
        <v>352</v>
      </c>
      <c r="D73" s="153" t="s">
        <v>3769</v>
      </c>
      <c r="E73" s="11" t="str">
        <f>HYPERLINK("https://youtu.be/lg3Itk5TCow?t=2161","channel 3")</f>
        <v>channel 3</v>
      </c>
    </row>
    <row r="74">
      <c r="A74" s="141"/>
      <c r="B74" s="152" t="s">
        <v>3142</v>
      </c>
      <c r="C74" s="57" t="s">
        <v>3533</v>
      </c>
      <c r="D74" s="152" t="s">
        <v>341</v>
      </c>
      <c r="E74" s="11" t="str">
        <f>HYPERLINK("https://youtu.be/TXnUgdzK0oY?t=1707","channel 4")</f>
        <v>channel 4</v>
      </c>
    </row>
    <row r="75">
      <c r="A75" s="141"/>
      <c r="B75" s="153" t="s">
        <v>3770</v>
      </c>
      <c r="C75" s="94" t="s">
        <v>23</v>
      </c>
      <c r="D75" s="153" t="s">
        <v>3320</v>
      </c>
      <c r="E75" s="11" t="str">
        <f>HYPERLINK("https://youtu.be/lg3Itk5TCow?t=3075","channel 3")</f>
        <v>channel 3</v>
      </c>
    </row>
    <row r="76">
      <c r="A76" s="141"/>
      <c r="B76" s="152" t="s">
        <v>3769</v>
      </c>
      <c r="C76" s="57" t="s">
        <v>14</v>
      </c>
      <c r="D76" s="152" t="s">
        <v>341</v>
      </c>
      <c r="E76" s="11" t="str">
        <f>HYPERLINK("https://youtu.be/TXnUgdzK0oY?t=2536","channel 4")</f>
        <v>channel 4</v>
      </c>
    </row>
    <row r="77">
      <c r="A77" s="141"/>
      <c r="B77" s="153" t="s">
        <v>3770</v>
      </c>
      <c r="C77" s="94" t="s">
        <v>163</v>
      </c>
      <c r="D77" s="153" t="s">
        <v>3142</v>
      </c>
      <c r="E77" s="11" t="str">
        <f>HYPERLINK("https://youtu.be/lg3Itk5TCow?t=3956","channel 3")</f>
        <v>channel 3</v>
      </c>
    </row>
    <row r="78">
      <c r="A78" s="141"/>
      <c r="B78" s="152" t="s">
        <v>3769</v>
      </c>
      <c r="C78" s="57" t="s">
        <v>16</v>
      </c>
      <c r="D78" s="152" t="s">
        <v>3320</v>
      </c>
      <c r="E78" s="11" t="str">
        <f>HYPERLINK("https://youtu.be/TXnUgdzK0oY?t=3453","channel 4")</f>
        <v>channel 4</v>
      </c>
    </row>
    <row r="79">
      <c r="A79" s="141"/>
      <c r="B79" s="153" t="s">
        <v>3320</v>
      </c>
      <c r="C79" s="94" t="s">
        <v>195</v>
      </c>
      <c r="D79" s="153" t="s">
        <v>341</v>
      </c>
      <c r="E79" s="11" t="str">
        <f>HYPERLINK("https://youtu.be/lg3Itk5TCow?t=4856","channel 3")</f>
        <v>channel 3</v>
      </c>
    </row>
    <row r="80">
      <c r="A80" s="141"/>
      <c r="B80" s="152" t="s">
        <v>3769</v>
      </c>
      <c r="C80" s="57" t="s">
        <v>38</v>
      </c>
      <c r="D80" s="152" t="s">
        <v>3142</v>
      </c>
      <c r="E80" s="11" t="str">
        <f>HYPERLINK("https://youtu.be/TXnUgdzK0oY?t=4265","channel 4")</f>
        <v>channel 4</v>
      </c>
    </row>
    <row r="81">
      <c r="A81" s="141"/>
      <c r="B81" s="153" t="s">
        <v>341</v>
      </c>
      <c r="C81" s="94" t="s">
        <v>3771</v>
      </c>
      <c r="D81" s="153" t="s">
        <v>3770</v>
      </c>
      <c r="E81" s="11" t="str">
        <f>HYPERLINK("https://youtu.be/lg3Itk5TCow?t=5806","channel 3")</f>
        <v>channel 3</v>
      </c>
    </row>
    <row r="82">
      <c r="A82" s="141"/>
      <c r="B82" s="152" t="s">
        <v>3320</v>
      </c>
      <c r="C82" s="57" t="s">
        <v>536</v>
      </c>
      <c r="D82" s="152" t="s">
        <v>3142</v>
      </c>
      <c r="E82" s="11" t="str">
        <f>HYPERLINK("https://youtu.be/TXnUgdzK0oY?t=5117","channel 4")</f>
        <v>channel 4</v>
      </c>
    </row>
    <row r="83">
      <c r="A83" s="141"/>
      <c r="B83" s="153" t="s">
        <v>3769</v>
      </c>
      <c r="C83" s="94" t="s">
        <v>176</v>
      </c>
      <c r="D83" s="153" t="s">
        <v>3770</v>
      </c>
      <c r="E83" s="11" t="str">
        <f>HYPERLINK("https://youtu.be/lg3Itk5TCow?t=6824","channel 3")</f>
        <v>channel 3</v>
      </c>
    </row>
    <row r="84">
      <c r="A84" s="141"/>
      <c r="B84" s="152" t="s">
        <v>341</v>
      </c>
      <c r="C84" s="57" t="s">
        <v>218</v>
      </c>
      <c r="D84" s="152" t="s">
        <v>3142</v>
      </c>
      <c r="E84" s="11" t="str">
        <f>HYPERLINK("https://youtu.be/TXnUgdzK0oY?t=6059","channel 4")</f>
        <v>channel 4</v>
      </c>
    </row>
    <row r="85">
      <c r="A85" s="141"/>
      <c r="B85" s="153" t="s">
        <v>3320</v>
      </c>
      <c r="C85" s="94" t="s">
        <v>219</v>
      </c>
      <c r="D85" s="153" t="s">
        <v>3770</v>
      </c>
      <c r="E85" s="11" t="str">
        <f>HYPERLINK("https://youtu.be/lg3Itk5TCow?t=7748","channel 3")</f>
        <v>channel 3</v>
      </c>
    </row>
    <row r="86">
      <c r="A86" s="141"/>
      <c r="B86" s="152" t="s">
        <v>341</v>
      </c>
      <c r="C86" s="57" t="s">
        <v>248</v>
      </c>
      <c r="D86" s="152" t="s">
        <v>3769</v>
      </c>
      <c r="E86" s="11" t="str">
        <f>HYPERLINK("https://youtu.be/TXnUgdzK0oY?t=7096","channel 4")</f>
        <v>channel 4</v>
      </c>
    </row>
    <row r="87">
      <c r="A87" s="141"/>
      <c r="B87" s="153" t="s">
        <v>3142</v>
      </c>
      <c r="C87" s="94" t="s">
        <v>334</v>
      </c>
      <c r="D87" s="153" t="s">
        <v>3770</v>
      </c>
      <c r="E87" s="11" t="str">
        <f>HYPERLINK("https://youtu.be/lg3Itk5TCow?t=8623","channel 3")</f>
        <v>channel 3</v>
      </c>
    </row>
    <row r="88">
      <c r="A88" s="141"/>
      <c r="B88" s="152" t="s">
        <v>3320</v>
      </c>
      <c r="C88" s="57" t="s">
        <v>449</v>
      </c>
      <c r="D88" s="152" t="s">
        <v>3769</v>
      </c>
      <c r="E88" s="11" t="str">
        <f>HYPERLINK("https://youtu.be/TXnUgdzK0oY?t=8027","channel 4")</f>
        <v>channel 4</v>
      </c>
    </row>
    <row r="89">
      <c r="A89" s="141"/>
      <c r="B89" s="96" t="s">
        <v>2417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61" t="s">
        <v>3772</v>
      </c>
      <c r="C91" s="57" t="s">
        <v>302</v>
      </c>
      <c r="D91" s="61" t="s">
        <v>3773</v>
      </c>
      <c r="E91" s="11" t="str">
        <f>HYPERLINK("https://youtu.be/49pmzjqHwI8","channel 1")</f>
        <v>channel 1</v>
      </c>
    </row>
    <row r="92">
      <c r="A92" s="141"/>
      <c r="B92" s="61" t="s">
        <v>2956</v>
      </c>
      <c r="C92" s="57" t="s">
        <v>2236</v>
      </c>
      <c r="D92" s="61" t="s">
        <v>3774</v>
      </c>
      <c r="E92" s="11" t="str">
        <f>HYPERLINK("https://youtu.be/styeTEdO-XM?t=244","channel 2")</f>
        <v>channel 2</v>
      </c>
    </row>
    <row r="93">
      <c r="A93" s="141"/>
      <c r="B93" s="61" t="s">
        <v>3680</v>
      </c>
      <c r="C93" s="57" t="s">
        <v>743</v>
      </c>
      <c r="D93" s="61" t="s">
        <v>3772</v>
      </c>
      <c r="E93" s="11" t="str">
        <f>HYPERLINK("https://youtu.be/FtcrYaeefKE?t=4737","channel 1")</f>
        <v>channel 1</v>
      </c>
    </row>
    <row r="94">
      <c r="A94" s="141"/>
      <c r="B94" s="61" t="s">
        <v>2956</v>
      </c>
      <c r="C94" s="57" t="s">
        <v>180</v>
      </c>
      <c r="D94" s="61" t="s">
        <v>3773</v>
      </c>
      <c r="E94" s="11" t="str">
        <f>HYPERLINK("https://youtu.be/styeTEdO-XM?t=738","channel 2")</f>
        <v>channel 2</v>
      </c>
    </row>
    <row r="95">
      <c r="A95" s="141"/>
      <c r="B95" s="61" t="s">
        <v>3680</v>
      </c>
      <c r="C95" s="57" t="s">
        <v>517</v>
      </c>
      <c r="D95" s="61" t="s">
        <v>3774</v>
      </c>
      <c r="E95" s="11" t="str">
        <f>HYPERLINK("https://youtu.be/FtcrYaeefKE?t=5649","channel 1")</f>
        <v>channel 1</v>
      </c>
    </row>
    <row r="96">
      <c r="A96" s="141"/>
      <c r="B96" s="61" t="s">
        <v>2956</v>
      </c>
      <c r="C96" s="57" t="s">
        <v>184</v>
      </c>
      <c r="D96" s="61" t="s">
        <v>3772</v>
      </c>
      <c r="E96" s="11" t="str">
        <f>HYPERLINK("https://youtu.be/styeTEdO-XM?t=1630","channel 2")</f>
        <v>channel 2</v>
      </c>
    </row>
    <row r="97">
      <c r="A97" s="141"/>
      <c r="B97" s="61" t="s">
        <v>3680</v>
      </c>
      <c r="C97" s="57" t="s">
        <v>23</v>
      </c>
      <c r="D97" s="61" t="s">
        <v>3773</v>
      </c>
      <c r="E97" s="11" t="str">
        <f>HYPERLINK("https://youtu.be/FtcrYaeefKE?t=6465","channel 1")</f>
        <v>channel 1</v>
      </c>
    </row>
    <row r="98">
      <c r="A98" s="141"/>
      <c r="B98" s="61" t="s">
        <v>3774</v>
      </c>
      <c r="C98" s="57" t="s">
        <v>465</v>
      </c>
      <c r="D98" s="61" t="s">
        <v>3772</v>
      </c>
      <c r="E98" s="11" t="str">
        <f>HYPERLINK("https://youtu.be/styeTEdO-XM?t=2434","channel 2")</f>
        <v>channel 2</v>
      </c>
    </row>
    <row r="99">
      <c r="A99" s="141"/>
      <c r="B99" s="61" t="s">
        <v>3680</v>
      </c>
      <c r="C99" s="57" t="s">
        <v>20</v>
      </c>
      <c r="D99" s="61" t="s">
        <v>2956</v>
      </c>
      <c r="E99" s="11" t="str">
        <f>HYPERLINK("https://youtu.be/FtcrYaeefKE?t=7289","channel 1")</f>
        <v>channel 1</v>
      </c>
    </row>
    <row r="100">
      <c r="A100" s="141"/>
      <c r="B100" s="61" t="s">
        <v>3774</v>
      </c>
      <c r="C100" s="57" t="s">
        <v>531</v>
      </c>
      <c r="D100" s="61" t="s">
        <v>3773</v>
      </c>
      <c r="E100" s="11" t="str">
        <f>HYPERLINK("https://youtu.be/styeTEdO-XM?t=3264","channel 2")</f>
        <v>channel 2</v>
      </c>
    </row>
    <row r="101">
      <c r="A101" s="141"/>
      <c r="B101" s="61" t="s">
        <v>3773</v>
      </c>
      <c r="C101" s="57" t="s">
        <v>164</v>
      </c>
      <c r="D101" s="61" t="s">
        <v>3772</v>
      </c>
      <c r="E101" s="11" t="str">
        <f>HYPERLINK("https://youtu.be/FtcrYaeefKE?t=8337","channel 1")</f>
        <v>channel 1</v>
      </c>
    </row>
    <row r="102">
      <c r="A102" s="141"/>
      <c r="B102" s="61" t="s">
        <v>3774</v>
      </c>
      <c r="C102" s="57" t="s">
        <v>21</v>
      </c>
      <c r="D102" s="61" t="s">
        <v>2956</v>
      </c>
      <c r="E102" s="11" t="str">
        <f>HYPERLINK("https://youtu.be/rClUPOf6tbY?t=42","channel 2")</f>
        <v>channel 2</v>
      </c>
    </row>
    <row r="103">
      <c r="A103" s="141"/>
      <c r="B103" s="61" t="s">
        <v>3772</v>
      </c>
      <c r="C103" s="57" t="s">
        <v>525</v>
      </c>
      <c r="D103" s="61" t="s">
        <v>3680</v>
      </c>
      <c r="E103" s="11" t="str">
        <f>HYPERLINK("https://youtu.be/FtcrYaeefKE?t=9129","channel 1")</f>
        <v>channel 1</v>
      </c>
    </row>
    <row r="104">
      <c r="A104" s="141"/>
      <c r="B104" s="61" t="s">
        <v>3773</v>
      </c>
      <c r="C104" s="57" t="s">
        <v>198</v>
      </c>
      <c r="D104" s="61" t="s">
        <v>2956</v>
      </c>
      <c r="E104" s="11" t="str">
        <f>HYPERLINK("https://youtu.be/rClUPOf6tbY?t=850","channel 2")</f>
        <v>channel 2</v>
      </c>
    </row>
    <row r="105">
      <c r="A105" s="141"/>
      <c r="B105" s="61" t="s">
        <v>3774</v>
      </c>
      <c r="C105" s="57" t="s">
        <v>19</v>
      </c>
      <c r="D105" s="61" t="s">
        <v>3680</v>
      </c>
      <c r="E105" s="11" t="str">
        <f>HYPERLINK("https://youtu.be/FtcrYaeefKE?t=10020","channel 1")</f>
        <v>channel 1</v>
      </c>
    </row>
    <row r="106">
      <c r="A106" s="141"/>
      <c r="B106" s="61" t="s">
        <v>3772</v>
      </c>
      <c r="C106" s="57" t="s">
        <v>1973</v>
      </c>
      <c r="D106" s="61" t="s">
        <v>2956</v>
      </c>
      <c r="E106" s="11" t="str">
        <f>HYPERLINK("https://youtu.be/rClUPOf6tbY?t=1737","channel 2")</f>
        <v>channel 2</v>
      </c>
    </row>
    <row r="107">
      <c r="A107" s="141"/>
      <c r="B107" s="61" t="s">
        <v>3773</v>
      </c>
      <c r="C107" s="57" t="s">
        <v>245</v>
      </c>
      <c r="D107" s="61" t="s">
        <v>3680</v>
      </c>
      <c r="E107" s="11" t="str">
        <f>HYPERLINK("https://youtu.be/FtcrYaeefKE?t=10905","channel 1")</f>
        <v>channel 1</v>
      </c>
    </row>
    <row r="108">
      <c r="A108" s="141"/>
      <c r="B108" s="61" t="s">
        <v>3772</v>
      </c>
      <c r="C108" s="57" t="s">
        <v>279</v>
      </c>
      <c r="D108" s="61" t="s">
        <v>3774</v>
      </c>
      <c r="E108" s="11" t="str">
        <f>HYPERLINK("https://youtu.be/rClUPOf6tbY?t=2621","channel 2")</f>
        <v>channel 2</v>
      </c>
    </row>
    <row r="109">
      <c r="A109" s="141"/>
      <c r="B109" s="61" t="s">
        <v>2956</v>
      </c>
      <c r="C109" s="57" t="s">
        <v>193</v>
      </c>
      <c r="D109" s="61" t="s">
        <v>3680</v>
      </c>
      <c r="E109" s="11" t="str">
        <f>HYPERLINK("https://youtu.be/FtcrYaeefKE?t=11801","channel 1")</f>
        <v>channel 1</v>
      </c>
    </row>
    <row r="110">
      <c r="A110" s="141"/>
      <c r="B110" s="61" t="s">
        <v>3773</v>
      </c>
      <c r="C110" s="57" t="s">
        <v>326</v>
      </c>
      <c r="D110" s="61" t="s">
        <v>3774</v>
      </c>
      <c r="E110" s="11" t="str">
        <f>HYPERLINK("https://youtu.be/rClUPOf6tbY?t=3514","channel 2")</f>
        <v>channel 2</v>
      </c>
    </row>
    <row r="111">
      <c r="A111" s="141"/>
      <c r="B111" s="96" t="s">
        <v>1803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3570</v>
      </c>
      <c r="C113" s="57" t="s">
        <v>163</v>
      </c>
      <c r="D113" s="61" t="s">
        <v>3775</v>
      </c>
      <c r="E113" s="11" t="str">
        <f>HYPERLINK("https://youtu.be/4woq6m7aetU","channel 1")</f>
        <v>channel 1</v>
      </c>
    </row>
    <row r="114">
      <c r="A114" s="141"/>
      <c r="B114" s="61" t="s">
        <v>1086</v>
      </c>
      <c r="C114" s="57" t="s">
        <v>24</v>
      </c>
      <c r="D114" s="61" t="s">
        <v>3776</v>
      </c>
      <c r="E114" s="11" t="str">
        <f>HYPERLINK("https://youtu.be/_34yc6gMAWw","channel 2")</f>
        <v>channel 2</v>
      </c>
    </row>
    <row r="115">
      <c r="A115" s="141"/>
      <c r="B115" s="61" t="s">
        <v>3777</v>
      </c>
      <c r="C115" s="57" t="s">
        <v>36</v>
      </c>
      <c r="D115" s="61" t="s">
        <v>3570</v>
      </c>
      <c r="E115" s="11" t="str">
        <f>HYPERLINK("https://youtu.be/4woq6m7aetU?t=1752","channel 1")</f>
        <v>channel 1</v>
      </c>
    </row>
    <row r="116">
      <c r="A116" s="141"/>
      <c r="B116" s="61" t="s">
        <v>1086</v>
      </c>
      <c r="C116" s="57" t="s">
        <v>538</v>
      </c>
      <c r="D116" s="61" t="s">
        <v>3775</v>
      </c>
      <c r="E116" s="11" t="str">
        <f>HYPERLINK("https://youtu.be/_34yc6gMAWw?t=1654","channel 2")</f>
        <v>channel 2</v>
      </c>
    </row>
    <row r="117">
      <c r="A117" s="141"/>
      <c r="B117" s="61" t="s">
        <v>3777</v>
      </c>
      <c r="C117" s="57" t="s">
        <v>251</v>
      </c>
      <c r="D117" s="61" t="s">
        <v>3776</v>
      </c>
      <c r="E117" s="11" t="str">
        <f>HYPERLINK("https://youtu.be/4woq6m7aetU?t=2613","channel 1")</f>
        <v>channel 1</v>
      </c>
    </row>
    <row r="118">
      <c r="A118" s="141"/>
      <c r="B118" s="61" t="s">
        <v>1086</v>
      </c>
      <c r="C118" s="57" t="s">
        <v>41</v>
      </c>
      <c r="D118" s="61" t="s">
        <v>3570</v>
      </c>
      <c r="E118" s="11" t="str">
        <f>HYPERLINK("https://youtu.be/_34yc6gMAWw?t=2508","channel 2")</f>
        <v>channel 2</v>
      </c>
    </row>
    <row r="119">
      <c r="A119" s="141"/>
      <c r="B119" s="61" t="s">
        <v>3777</v>
      </c>
      <c r="C119" s="57" t="s">
        <v>376</v>
      </c>
      <c r="D119" s="61" t="s">
        <v>3775</v>
      </c>
      <c r="E119" s="11" t="str">
        <f>HYPERLINK("https://youtu.be/4woq6m7aetU?t=3394","channel 1")</f>
        <v>channel 1</v>
      </c>
    </row>
    <row r="120">
      <c r="A120" s="141"/>
      <c r="B120" s="61" t="s">
        <v>3776</v>
      </c>
      <c r="C120" s="57" t="s">
        <v>177</v>
      </c>
      <c r="D120" s="61" t="s">
        <v>3570</v>
      </c>
      <c r="E120" s="11" t="str">
        <f>HYPERLINK("https://youtu.be/_34yc6gMAWw?t=3340","channel 2")</f>
        <v>channel 2</v>
      </c>
    </row>
    <row r="121">
      <c r="A121" s="141"/>
      <c r="B121" s="61" t="s">
        <v>3777</v>
      </c>
      <c r="C121" s="57" t="s">
        <v>292</v>
      </c>
      <c r="D121" s="61" t="s">
        <v>1086</v>
      </c>
      <c r="E121" s="11" t="str">
        <f>HYPERLINK("https://youtu.be/4woq6m7aetU?t=4210","channel 1")</f>
        <v>channel 1</v>
      </c>
    </row>
    <row r="122">
      <c r="A122" s="141"/>
      <c r="B122" s="61" t="s">
        <v>3776</v>
      </c>
      <c r="C122" s="57" t="s">
        <v>183</v>
      </c>
      <c r="D122" s="61" t="s">
        <v>3775</v>
      </c>
      <c r="E122" s="11" t="str">
        <f>HYPERLINK("https://youtu.be/_34yc6gMAWw?t=4141","channel 2")</f>
        <v>channel 2</v>
      </c>
    </row>
    <row r="123">
      <c r="A123" s="141"/>
      <c r="B123" s="61" t="s">
        <v>3775</v>
      </c>
      <c r="C123" s="57" t="s">
        <v>665</v>
      </c>
      <c r="D123" s="61" t="s">
        <v>3570</v>
      </c>
      <c r="E123" s="11" t="str">
        <f>HYPERLINK("https://youtu.be/4woq6m7aetU?t=5109","channel 1")</f>
        <v>channel 1</v>
      </c>
    </row>
    <row r="124">
      <c r="A124" s="141"/>
      <c r="B124" s="61" t="s">
        <v>3776</v>
      </c>
      <c r="C124" s="57" t="s">
        <v>1226</v>
      </c>
      <c r="D124" s="61" t="s">
        <v>1086</v>
      </c>
      <c r="E124" s="11" t="str">
        <f>HYPERLINK("https://youtu.be/_34yc6gMAWw?t=5044","channel 2")</f>
        <v>channel 2</v>
      </c>
    </row>
    <row r="125">
      <c r="A125" s="141"/>
      <c r="B125" s="61" t="s">
        <v>3570</v>
      </c>
      <c r="C125" s="57" t="s">
        <v>193</v>
      </c>
      <c r="D125" s="61" t="s">
        <v>3777</v>
      </c>
      <c r="E125" s="11" t="str">
        <f>HYPERLINK("https://youtu.be/4woq6m7aetU?t=6053","channel 1")</f>
        <v>channel 1</v>
      </c>
    </row>
    <row r="126">
      <c r="A126" s="141"/>
      <c r="B126" s="61" t="s">
        <v>3775</v>
      </c>
      <c r="C126" s="57" t="s">
        <v>198</v>
      </c>
      <c r="D126" s="61" t="s">
        <v>1086</v>
      </c>
      <c r="E126" s="11" t="str">
        <f>HYPERLINK("https://youtu.be/_34yc6gMAWw?t=5930","channel 2")</f>
        <v>channel 2</v>
      </c>
    </row>
    <row r="127">
      <c r="A127" s="141"/>
      <c r="B127" s="61" t="s">
        <v>3776</v>
      </c>
      <c r="C127" s="57" t="s">
        <v>1009</v>
      </c>
      <c r="D127" s="61" t="s">
        <v>3777</v>
      </c>
      <c r="E127" s="11" t="str">
        <f>HYPERLINK("https://youtu.be/4woq6m7aetU?t=6859","channel 1")</f>
        <v>channel 1</v>
      </c>
    </row>
    <row r="128">
      <c r="A128" s="141"/>
      <c r="B128" s="61" t="s">
        <v>3570</v>
      </c>
      <c r="C128" s="57" t="s">
        <v>14</v>
      </c>
      <c r="D128" s="61" t="s">
        <v>1086</v>
      </c>
      <c r="E128" s="11" t="str">
        <f>HYPERLINK("https://youtu.be/_34yc6gMAWw?t=6772","channel 2")</f>
        <v>channel 2</v>
      </c>
    </row>
    <row r="129">
      <c r="A129" s="141"/>
      <c r="B129" s="61" t="s">
        <v>3775</v>
      </c>
      <c r="C129" s="57" t="s">
        <v>196</v>
      </c>
      <c r="D129" s="61" t="s">
        <v>3777</v>
      </c>
      <c r="E129" s="11" t="str">
        <f>HYPERLINK("https://youtu.be/4woq6m7aetU?t=7683","channel 1")</f>
        <v>channel 1</v>
      </c>
    </row>
    <row r="130">
      <c r="A130" s="141"/>
      <c r="B130" s="61" t="s">
        <v>3570</v>
      </c>
      <c r="C130" s="57" t="s">
        <v>3149</v>
      </c>
      <c r="D130" s="61" t="s">
        <v>3776</v>
      </c>
      <c r="E130" s="11" t="str">
        <f>HYPERLINK("https://youtu.be/_34yc6gMAWw?t=7636","channel 2")</f>
        <v>channel 2</v>
      </c>
    </row>
    <row r="131">
      <c r="A131" s="141"/>
      <c r="B131" s="61" t="s">
        <v>1086</v>
      </c>
      <c r="C131" s="57" t="s">
        <v>182</v>
      </c>
      <c r="D131" s="61" t="s">
        <v>3777</v>
      </c>
      <c r="E131" s="11" t="str">
        <f>HYPERLINK("https://youtu.be/4woq6m7aetU?t=8492","channel 1")</f>
        <v>channel 1</v>
      </c>
    </row>
    <row r="132">
      <c r="A132" s="145"/>
      <c r="B132" s="61" t="s">
        <v>3775</v>
      </c>
      <c r="C132" s="57" t="s">
        <v>383</v>
      </c>
      <c r="D132" s="61" t="s">
        <v>3776</v>
      </c>
      <c r="E132" s="11" t="str">
        <f>HYPERLINK("https://youtu.be/_34yc6gMAWw?t=8492","channel 2")</f>
        <v>channel 2</v>
      </c>
    </row>
    <row r="133">
      <c r="B133" s="96" t="s">
        <v>2820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33" t="s">
        <v>1435</v>
      </c>
      <c r="C135" s="94" t="s">
        <v>292</v>
      </c>
      <c r="D135" s="136" t="s">
        <v>2893</v>
      </c>
      <c r="E135" s="11" t="str">
        <f>HYPERLINK("https://youtu.be/rcQeYunjaWk","channel 3")</f>
        <v>channel 3</v>
      </c>
    </row>
    <row r="136">
      <c r="B136" s="62" t="s">
        <v>2592</v>
      </c>
      <c r="C136" s="57" t="s">
        <v>302</v>
      </c>
      <c r="D136" s="62" t="s">
        <v>2679</v>
      </c>
      <c r="E136" s="11" t="str">
        <f>HYPERLINK("https://youtu.be/iEtZuplmxO8","channel 4")</f>
        <v>channel 4</v>
      </c>
    </row>
    <row r="137">
      <c r="B137" s="133" t="s">
        <v>3778</v>
      </c>
      <c r="C137" s="94" t="s">
        <v>184</v>
      </c>
      <c r="D137" s="133" t="s">
        <v>1435</v>
      </c>
      <c r="E137" s="11" t="str">
        <f>HYPERLINK("https://youtu.be/rcQeYunjaWk?t=1261","channel 3")</f>
        <v>channel 3</v>
      </c>
    </row>
    <row r="138">
      <c r="B138" s="62" t="s">
        <v>2592</v>
      </c>
      <c r="C138" s="57" t="s">
        <v>233</v>
      </c>
      <c r="D138" s="56" t="s">
        <v>2893</v>
      </c>
      <c r="E138" s="11" t="str">
        <f>HYPERLINK("https://youtu.be/iEtZuplmxO8?t=893","channel 4")</f>
        <v>channel 4</v>
      </c>
    </row>
    <row r="139">
      <c r="B139" s="133" t="s">
        <v>3778</v>
      </c>
      <c r="C139" s="94" t="s">
        <v>183</v>
      </c>
      <c r="D139" s="133" t="s">
        <v>2679</v>
      </c>
      <c r="E139" s="11" t="str">
        <f>HYPERLINK("https://youtu.be/rcQeYunjaWk?t=2213","channel 3")</f>
        <v>channel 3</v>
      </c>
    </row>
    <row r="140">
      <c r="B140" s="62" t="s">
        <v>2592</v>
      </c>
      <c r="C140" s="57" t="s">
        <v>160</v>
      </c>
      <c r="D140" s="62" t="s">
        <v>1435</v>
      </c>
      <c r="E140" s="11" t="str">
        <f>HYPERLINK("https://youtu.be/iEtZuplmxO8?t=1962","channel 4")</f>
        <v>channel 4</v>
      </c>
    </row>
    <row r="141">
      <c r="B141" s="133" t="s">
        <v>3778</v>
      </c>
      <c r="C141" s="94" t="s">
        <v>303</v>
      </c>
      <c r="D141" s="136" t="s">
        <v>2893</v>
      </c>
      <c r="E141" s="11" t="str">
        <f>HYPERLINK("https://youtu.be/rcQeYunjaWk?t=3372","channel 3")</f>
        <v>channel 3</v>
      </c>
    </row>
    <row r="142">
      <c r="B142" s="62" t="s">
        <v>2679</v>
      </c>
      <c r="C142" s="57" t="s">
        <v>193</v>
      </c>
      <c r="D142" s="62" t="s">
        <v>1435</v>
      </c>
      <c r="E142" s="11" t="str">
        <f>HYPERLINK("https://youtu.be/iEtZuplmxO8?t=3009","channel 4")</f>
        <v>channel 4</v>
      </c>
    </row>
    <row r="143">
      <c r="B143" s="133" t="s">
        <v>3778</v>
      </c>
      <c r="C143" s="94" t="s">
        <v>312</v>
      </c>
      <c r="D143" s="133" t="s">
        <v>2592</v>
      </c>
      <c r="E143" s="11" t="str">
        <f>HYPERLINK("https://youtu.be/rcQeYunjaWk?t=4317","channel 3")</f>
        <v>channel 3</v>
      </c>
    </row>
    <row r="144">
      <c r="B144" s="62" t="s">
        <v>2679</v>
      </c>
      <c r="C144" s="57" t="s">
        <v>2293</v>
      </c>
      <c r="D144" s="56" t="s">
        <v>2893</v>
      </c>
      <c r="E144" s="11" t="str">
        <f>HYPERLINK("https://youtu.be/iEtZuplmxO8?t=3928","channel 4")</f>
        <v>channel 4</v>
      </c>
    </row>
    <row r="145">
      <c r="B145" s="136" t="s">
        <v>2893</v>
      </c>
      <c r="C145" s="94" t="s">
        <v>165</v>
      </c>
      <c r="D145" s="133" t="s">
        <v>1435</v>
      </c>
      <c r="E145" s="11" t="str">
        <f>HYPERLINK("https://youtu.be/rcQeYunjaWk?t=5291","channel 3")</f>
        <v>channel 3</v>
      </c>
    </row>
    <row r="146">
      <c r="B146" s="62" t="s">
        <v>2679</v>
      </c>
      <c r="C146" s="57" t="s">
        <v>344</v>
      </c>
      <c r="D146" s="62" t="s">
        <v>2592</v>
      </c>
      <c r="E146" s="11" t="str">
        <f>HYPERLINK("https://youtu.be/iEtZuplmxO8?t=4855","channel 4")</f>
        <v>channel 4</v>
      </c>
    </row>
    <row r="147">
      <c r="B147" s="133" t="s">
        <v>1435</v>
      </c>
      <c r="C147" s="94" t="s">
        <v>2103</v>
      </c>
      <c r="D147" s="133" t="s">
        <v>3778</v>
      </c>
      <c r="E147" s="11" t="str">
        <f>HYPERLINK("https://youtu.be/rcQeYunjaWk?t=6249","channel 3")</f>
        <v>channel 3</v>
      </c>
    </row>
    <row r="148">
      <c r="B148" s="56" t="s">
        <v>2893</v>
      </c>
      <c r="C148" s="57" t="s">
        <v>342</v>
      </c>
      <c r="D148" s="62" t="s">
        <v>2592</v>
      </c>
      <c r="E148" s="11" t="str">
        <f>HYPERLINK("https://youtu.be/iEtZuplmxO8?t=5847","channel 4")</f>
        <v>channel 4</v>
      </c>
    </row>
    <row r="149">
      <c r="B149" s="133" t="s">
        <v>2679</v>
      </c>
      <c r="C149" s="94" t="s">
        <v>3779</v>
      </c>
      <c r="D149" s="133" t="s">
        <v>3778</v>
      </c>
      <c r="E149" s="11" t="str">
        <f>HYPERLINK("https://youtu.be/rcQeYunjaWk?t=7234","channel 3")</f>
        <v>channel 3</v>
      </c>
    </row>
    <row r="150">
      <c r="B150" s="62" t="s">
        <v>1435</v>
      </c>
      <c r="C150" s="57" t="s">
        <v>554</v>
      </c>
      <c r="D150" s="62" t="s">
        <v>2592</v>
      </c>
      <c r="E150" s="11" t="str">
        <f>HYPERLINK("https://youtu.be/iEtZuplmxO8?t=6814","channel 4")</f>
        <v>channel 4</v>
      </c>
    </row>
    <row r="151">
      <c r="B151" s="136" t="s">
        <v>2893</v>
      </c>
      <c r="C151" s="94" t="s">
        <v>251</v>
      </c>
      <c r="D151" s="133" t="s">
        <v>3778</v>
      </c>
      <c r="E151" s="11" t="str">
        <f>HYPERLINK("https://youtu.be/rcQeYunjaWk?t=8115","channel 3")</f>
        <v>channel 3</v>
      </c>
    </row>
    <row r="152">
      <c r="B152" s="62" t="s">
        <v>1435</v>
      </c>
      <c r="C152" s="57" t="s">
        <v>42</v>
      </c>
      <c r="D152" s="62" t="s">
        <v>2679</v>
      </c>
      <c r="E152" s="11" t="str">
        <f>HYPERLINK("https://youtu.be/iEtZuplmxO8?t=7725","channel 4")</f>
        <v>channel 4</v>
      </c>
    </row>
    <row r="153">
      <c r="B153" s="133" t="s">
        <v>2592</v>
      </c>
      <c r="C153" s="94" t="s">
        <v>315</v>
      </c>
      <c r="D153" s="133" t="s">
        <v>3778</v>
      </c>
      <c r="E153" s="11" t="str">
        <f>HYPERLINK("https://youtu.be/rcQeYunjaWk?t=8946","channel 3")</f>
        <v>channel 3</v>
      </c>
    </row>
    <row r="154">
      <c r="B154" s="56" t="s">
        <v>2893</v>
      </c>
      <c r="C154" s="57" t="s">
        <v>19</v>
      </c>
      <c r="D154" s="62" t="s">
        <v>2679</v>
      </c>
      <c r="E154" s="11" t="str">
        <f>HYPERLINK("https://youtu.be/iEtZuplmxO8?t=8675","channel 4")</f>
        <v>channel 4</v>
      </c>
    </row>
    <row r="155">
      <c r="B155" s="96" t="s">
        <v>2990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33" t="s">
        <v>2923</v>
      </c>
      <c r="C157" s="57" t="s">
        <v>248</v>
      </c>
      <c r="D157" s="136" t="s">
        <v>3518</v>
      </c>
      <c r="E157" s="11" t="str">
        <f>HYPERLINK("https://youtu.be/gakGNjeZ2cs","channel 3")</f>
        <v>channel 3</v>
      </c>
    </row>
    <row r="158">
      <c r="B158" s="61" t="s">
        <v>3508</v>
      </c>
      <c r="C158" s="94" t="s">
        <v>251</v>
      </c>
      <c r="D158" s="62" t="s">
        <v>2578</v>
      </c>
      <c r="E158" s="11" t="str">
        <f>HYPERLINK("https://youtu.be/t6Y710GImv0","channel 4")</f>
        <v>channel 4</v>
      </c>
    </row>
    <row r="159">
      <c r="B159" s="133" t="s">
        <v>3615</v>
      </c>
      <c r="C159" s="57" t="s">
        <v>176</v>
      </c>
      <c r="D159" s="133" t="s">
        <v>2923</v>
      </c>
      <c r="E159" s="11" t="str">
        <f>HYPERLINK("https://youtu.be/gakGNjeZ2cs?t=1181","channel 3")</f>
        <v>channel 3</v>
      </c>
    </row>
    <row r="160">
      <c r="B160" s="61" t="s">
        <v>3508</v>
      </c>
      <c r="C160" s="94" t="s">
        <v>425</v>
      </c>
      <c r="D160" s="56" t="s">
        <v>3518</v>
      </c>
      <c r="E160" s="11" t="str">
        <f>HYPERLINK("https://youtu.be/t6Y710GImv0?t=933","channel 4")</f>
        <v>channel 4</v>
      </c>
    </row>
    <row r="161">
      <c r="B161" s="133" t="s">
        <v>3615</v>
      </c>
      <c r="C161" s="94" t="s">
        <v>517</v>
      </c>
      <c r="D161" s="133" t="s">
        <v>2578</v>
      </c>
      <c r="E161" s="11" t="str">
        <f>HYPERLINK("https://youtu.be/gakGNjeZ2cs?t=2060","channel 3")</f>
        <v>channel 3</v>
      </c>
    </row>
    <row r="162">
      <c r="B162" s="61" t="s">
        <v>3508</v>
      </c>
      <c r="C162" s="94" t="s">
        <v>313</v>
      </c>
      <c r="D162" s="62" t="s">
        <v>2923</v>
      </c>
      <c r="E162" s="11" t="str">
        <f>HYPERLINK("https://youtu.be/t6Y710GImv0?t=1909","channel 4")</f>
        <v>channel 4</v>
      </c>
    </row>
    <row r="163">
      <c r="B163" s="133" t="s">
        <v>3615</v>
      </c>
      <c r="C163" s="94" t="s">
        <v>674</v>
      </c>
      <c r="D163" s="136" t="s">
        <v>3518</v>
      </c>
      <c r="E163" s="11" t="str">
        <f>HYPERLINK("https://youtu.be/gakGNjeZ2cs?t=2934","channel 3")</f>
        <v>channel 3</v>
      </c>
    </row>
    <row r="164">
      <c r="B164" s="62" t="s">
        <v>2578</v>
      </c>
      <c r="C164" s="94" t="s">
        <v>38</v>
      </c>
      <c r="D164" s="62" t="s">
        <v>2923</v>
      </c>
      <c r="E164" s="11" t="str">
        <f>HYPERLINK("https://youtu.be/t6Y710GImv0?t=2884","channel 4")</f>
        <v>channel 4</v>
      </c>
    </row>
    <row r="165">
      <c r="B165" s="133" t="s">
        <v>3615</v>
      </c>
      <c r="C165" s="94" t="s">
        <v>41</v>
      </c>
      <c r="D165" s="114" t="s">
        <v>3508</v>
      </c>
      <c r="E165" s="11" t="str">
        <f>HYPERLINK("https://youtu.be/gakGNjeZ2cs?t=3885","channel 3")</f>
        <v>channel 3</v>
      </c>
    </row>
    <row r="166">
      <c r="B166" s="62" t="s">
        <v>2578</v>
      </c>
      <c r="C166" s="94" t="s">
        <v>3780</v>
      </c>
      <c r="D166" s="56" t="s">
        <v>3518</v>
      </c>
      <c r="E166" s="11" t="str">
        <f>HYPERLINK("https://youtu.be/t6Y710GImv0?t=3789","channel 4")</f>
        <v>channel 4</v>
      </c>
    </row>
    <row r="167">
      <c r="B167" s="136" t="s">
        <v>3518</v>
      </c>
      <c r="C167" s="94" t="s">
        <v>14</v>
      </c>
      <c r="D167" s="133" t="s">
        <v>2923</v>
      </c>
      <c r="E167" s="11" t="str">
        <f>HYPERLINK("https://youtu.be/gakGNjeZ2cs?t=4990","channel 3")</f>
        <v>channel 3</v>
      </c>
    </row>
    <row r="168">
      <c r="B168" s="62" t="s">
        <v>2578</v>
      </c>
      <c r="C168" s="94" t="s">
        <v>219</v>
      </c>
      <c r="D168" s="61" t="s">
        <v>3508</v>
      </c>
      <c r="E168" s="11" t="str">
        <f>HYPERLINK("https://youtu.be/t6Y710GImv0?t=4722","channel 4")</f>
        <v>channel 4</v>
      </c>
    </row>
    <row r="169">
      <c r="B169" s="133" t="s">
        <v>2923</v>
      </c>
      <c r="C169" s="94" t="s">
        <v>750</v>
      </c>
      <c r="D169" s="133" t="s">
        <v>3615</v>
      </c>
      <c r="E169" s="11" t="str">
        <f>HYPERLINK("https://youtu.be/gakGNjeZ2cs?t=5900","channel 3")</f>
        <v>channel 3</v>
      </c>
    </row>
    <row r="170">
      <c r="B170" s="56" t="s">
        <v>3518</v>
      </c>
      <c r="C170" s="94" t="s">
        <v>534</v>
      </c>
      <c r="D170" s="61" t="s">
        <v>3508</v>
      </c>
      <c r="E170" s="11" t="str">
        <f>HYPERLINK("https://youtu.be/t6Y710GImv0?t=5649","channel 4")</f>
        <v>channel 4</v>
      </c>
    </row>
    <row r="171">
      <c r="B171" s="133" t="s">
        <v>2578</v>
      </c>
      <c r="C171" s="94" t="s">
        <v>194</v>
      </c>
      <c r="D171" s="133" t="s">
        <v>3615</v>
      </c>
      <c r="E171" s="11" t="str">
        <f>HYPERLINK("https://youtu.be/gakGNjeZ2cs?t=6996","channel 3")</f>
        <v>channel 3</v>
      </c>
    </row>
    <row r="172">
      <c r="B172" s="62" t="s">
        <v>2923</v>
      </c>
      <c r="C172" s="94" t="s">
        <v>517</v>
      </c>
      <c r="D172" s="61" t="s">
        <v>3508</v>
      </c>
      <c r="E172" s="11" t="str">
        <f>HYPERLINK("https://youtu.be/t6Y710GImv0?t=6571","channel 4")</f>
        <v>channel 4</v>
      </c>
    </row>
    <row r="173">
      <c r="B173" s="136" t="s">
        <v>3518</v>
      </c>
      <c r="C173" s="94" t="s">
        <v>36</v>
      </c>
      <c r="D173" s="133" t="s">
        <v>3615</v>
      </c>
      <c r="E173" s="11" t="str">
        <f>HYPERLINK("https://youtu.be/gakGNjeZ2cs?t=7848","channel 3")</f>
        <v>channel 3</v>
      </c>
    </row>
    <row r="174">
      <c r="B174" s="62" t="s">
        <v>2923</v>
      </c>
      <c r="C174" s="94" t="s">
        <v>292</v>
      </c>
      <c r="D174" s="62" t="s">
        <v>2578</v>
      </c>
      <c r="E174" s="11" t="str">
        <f>HYPERLINK("https://youtu.be/t6Y710GImv0?t=7583","channel 4")</f>
        <v>channel 4</v>
      </c>
    </row>
    <row r="175">
      <c r="B175" s="114" t="s">
        <v>3508</v>
      </c>
      <c r="C175" s="94" t="s">
        <v>24</v>
      </c>
      <c r="D175" s="133" t="s">
        <v>3615</v>
      </c>
      <c r="E175" s="11" t="str">
        <f>HYPERLINK("https://youtu.be/gakGNjeZ2cs?t=8725","channel 3")</f>
        <v>channel 3</v>
      </c>
    </row>
    <row r="176">
      <c r="B176" s="56" t="s">
        <v>3518</v>
      </c>
      <c r="C176" s="94" t="s">
        <v>185</v>
      </c>
      <c r="D176" s="62" t="s">
        <v>2578</v>
      </c>
      <c r="E176" s="11" t="str">
        <f>HYPERLINK("https://youtu.be/t6Y710GImv0?t=8552","channel 4")</f>
        <v>channel 4</v>
      </c>
    </row>
    <row r="177">
      <c r="B177" s="96" t="s">
        <v>2756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3188</v>
      </c>
      <c r="C179" s="57" t="s">
        <v>184</v>
      </c>
      <c r="D179" s="62" t="s">
        <v>3781</v>
      </c>
      <c r="E179" s="11" t="str">
        <f>HYPERLINK("https://youtu.be/-cN3SatDeUY","channel 1")</f>
        <v>channel 1</v>
      </c>
    </row>
    <row r="180">
      <c r="B180" s="62" t="s">
        <v>2177</v>
      </c>
      <c r="C180" s="57" t="s">
        <v>18</v>
      </c>
      <c r="D180" s="62" t="s">
        <v>1127</v>
      </c>
      <c r="E180" s="11" t="str">
        <f>HYPERLINK("https://youtu.be/k44Xgyz99ig","channel 2")</f>
        <v>channel 2</v>
      </c>
    </row>
    <row r="181">
      <c r="B181" s="62" t="s">
        <v>3429</v>
      </c>
      <c r="C181" s="57" t="s">
        <v>289</v>
      </c>
      <c r="D181" s="62" t="s">
        <v>3188</v>
      </c>
      <c r="E181" s="11" t="str">
        <f>HYPERLINK("https://youtu.be/-cN3SatDeUY?t=1185","channel 1")</f>
        <v>channel 1</v>
      </c>
    </row>
    <row r="182">
      <c r="B182" s="62" t="s">
        <v>2177</v>
      </c>
      <c r="C182" s="57" t="s">
        <v>443</v>
      </c>
      <c r="D182" s="62" t="s">
        <v>3781</v>
      </c>
      <c r="E182" s="11" t="str">
        <f>HYPERLINK("https://youtu.be/k44Xgyz99ig?t=1182","channel 2")</f>
        <v>channel 2</v>
      </c>
    </row>
    <row r="183">
      <c r="B183" s="62" t="s">
        <v>3429</v>
      </c>
      <c r="C183" s="57" t="s">
        <v>193</v>
      </c>
      <c r="D183" s="62" t="s">
        <v>1127</v>
      </c>
      <c r="E183" s="11" t="str">
        <f>HYPERLINK("https://youtu.be/-cN3SatDeUY?t=1976","channel 1")</f>
        <v>channel 1</v>
      </c>
    </row>
    <row r="184">
      <c r="B184" s="62" t="s">
        <v>2177</v>
      </c>
      <c r="C184" s="57" t="s">
        <v>7</v>
      </c>
      <c r="D184" s="62" t="s">
        <v>3188</v>
      </c>
      <c r="E184" s="11" t="str">
        <f>HYPERLINK("https://youtu.be/k44Xgyz99ig?t=2007","channel 2")</f>
        <v>channel 2</v>
      </c>
    </row>
    <row r="185">
      <c r="B185" s="62" t="s">
        <v>3429</v>
      </c>
      <c r="C185" s="57" t="s">
        <v>220</v>
      </c>
      <c r="D185" s="62" t="s">
        <v>3781</v>
      </c>
      <c r="E185" s="11" t="str">
        <f>HYPERLINK("https://youtu.be/-cN3SatDeUY?t=2857","channel 1")</f>
        <v>channel 1</v>
      </c>
    </row>
    <row r="186">
      <c r="B186" s="62" t="s">
        <v>1127</v>
      </c>
      <c r="C186" s="57" t="s">
        <v>319</v>
      </c>
      <c r="D186" s="62" t="s">
        <v>3188</v>
      </c>
      <c r="E186" s="11" t="str">
        <f>HYPERLINK("https://youtu.be/k44Xgyz99ig?t=2854","channel 2")</f>
        <v>channel 2</v>
      </c>
    </row>
    <row r="187">
      <c r="B187" s="62" t="s">
        <v>3429</v>
      </c>
      <c r="C187" s="57" t="s">
        <v>426</v>
      </c>
      <c r="D187" s="62" t="s">
        <v>2177</v>
      </c>
      <c r="E187" s="11" t="str">
        <f>HYPERLINK("https://youtu.be/-cN3SatDeUY?t=3658","channel 1")</f>
        <v>channel 1</v>
      </c>
    </row>
    <row r="188">
      <c r="B188" s="62" t="s">
        <v>1127</v>
      </c>
      <c r="C188" s="57" t="s">
        <v>357</v>
      </c>
      <c r="D188" s="62" t="s">
        <v>3781</v>
      </c>
      <c r="E188" s="11" t="str">
        <f>HYPERLINK("https://youtu.be/k44Xgyz99ig?t=3666","channel 2")</f>
        <v>channel 2</v>
      </c>
    </row>
    <row r="189">
      <c r="B189" s="62" t="s">
        <v>3781</v>
      </c>
      <c r="C189" s="57" t="s">
        <v>278</v>
      </c>
      <c r="D189" s="62" t="s">
        <v>3188</v>
      </c>
      <c r="E189" s="11" t="str">
        <f>HYPERLINK("https://youtu.be/-cN3SatDeUY?t=4516","channel 1")</f>
        <v>channel 1</v>
      </c>
    </row>
    <row r="190">
      <c r="B190" s="62" t="s">
        <v>1127</v>
      </c>
      <c r="C190" s="57" t="s">
        <v>576</v>
      </c>
      <c r="D190" s="62" t="s">
        <v>2177</v>
      </c>
      <c r="E190" s="11" t="str">
        <f>HYPERLINK("https://youtu.be/k44Xgyz99ig?t=4506","channel 2")</f>
        <v>channel 2</v>
      </c>
    </row>
    <row r="191">
      <c r="B191" s="62" t="s">
        <v>3188</v>
      </c>
      <c r="C191" s="57" t="s">
        <v>210</v>
      </c>
      <c r="D191" s="62" t="s">
        <v>3429</v>
      </c>
      <c r="E191" s="11" t="str">
        <f>HYPERLINK("https://youtu.be/-cN3SatDeUY?t=5381","channel 1")</f>
        <v>channel 1</v>
      </c>
    </row>
    <row r="192">
      <c r="B192" s="62" t="s">
        <v>3781</v>
      </c>
      <c r="C192" s="57" t="s">
        <v>39</v>
      </c>
      <c r="D192" s="62" t="s">
        <v>2177</v>
      </c>
      <c r="E192" s="11" t="str">
        <f>HYPERLINK("https://youtu.be/k44Xgyz99ig?t=5388","channel 2")</f>
        <v>channel 2</v>
      </c>
    </row>
    <row r="193">
      <c r="B193" s="62" t="s">
        <v>1127</v>
      </c>
      <c r="C193" s="57" t="s">
        <v>173</v>
      </c>
      <c r="D193" s="62" t="s">
        <v>3429</v>
      </c>
      <c r="E193" s="11" t="str">
        <f>HYPERLINK("https://youtu.be/-cN3SatDeUY?t=6210","channel 1")</f>
        <v>channel 1</v>
      </c>
    </row>
    <row r="194">
      <c r="B194" s="62" t="s">
        <v>3188</v>
      </c>
      <c r="C194" s="57" t="s">
        <v>290</v>
      </c>
      <c r="D194" s="62" t="s">
        <v>2177</v>
      </c>
      <c r="E194" s="11" t="str">
        <f>HYPERLINK("https://youtu.be/k44Xgyz99ig?t=6199","channel 2")</f>
        <v>channel 2</v>
      </c>
    </row>
    <row r="195">
      <c r="B195" s="62" t="s">
        <v>3781</v>
      </c>
      <c r="C195" s="57" t="s">
        <v>185</v>
      </c>
      <c r="D195" s="62" t="s">
        <v>3429</v>
      </c>
      <c r="E195" s="11" t="str">
        <f>HYPERLINK("https://youtu.be/-cN3SatDeUY?t=7123","channel 1")</f>
        <v>channel 1</v>
      </c>
    </row>
    <row r="196">
      <c r="B196" s="62" t="s">
        <v>3188</v>
      </c>
      <c r="C196" s="57" t="s">
        <v>216</v>
      </c>
      <c r="D196" s="62" t="s">
        <v>1127</v>
      </c>
      <c r="E196" s="11" t="str">
        <f>HYPERLINK("https://youtu.be/k44Xgyz99ig?t=7130","channel 2")</f>
        <v>channel 2</v>
      </c>
    </row>
    <row r="197">
      <c r="B197" s="62" t="s">
        <v>2177</v>
      </c>
      <c r="C197" s="57" t="s">
        <v>162</v>
      </c>
      <c r="D197" s="62" t="s">
        <v>3429</v>
      </c>
      <c r="E197" s="11" t="str">
        <f>HYPERLINK("https://youtu.be/-cN3SatDeUY?t=8035","channel 1")</f>
        <v>channel 1</v>
      </c>
    </row>
    <row r="198">
      <c r="B198" s="62" t="s">
        <v>3781</v>
      </c>
      <c r="C198" s="57" t="s">
        <v>556</v>
      </c>
      <c r="D198" s="62" t="s">
        <v>1127</v>
      </c>
      <c r="E198" s="11" t="str">
        <f>HYPERLINK("https://youtu.be/k44Xgyz99ig?t=8033","channel 2")</f>
        <v>channel 2</v>
      </c>
    </row>
    <row r="199">
      <c r="B199" s="96" t="s">
        <v>3637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3782</v>
      </c>
      <c r="C201" s="57" t="s">
        <v>239</v>
      </c>
      <c r="D201" s="62" t="s">
        <v>3783</v>
      </c>
      <c r="E201" s="11" t="str">
        <f>HYPERLINK("https://youtu.be/h_c8JTwB0D0","channel 1")</f>
        <v>channel 1</v>
      </c>
    </row>
    <row r="202">
      <c r="B202" s="62" t="s">
        <v>3222</v>
      </c>
      <c r="C202" s="57" t="s">
        <v>256</v>
      </c>
      <c r="D202" s="62" t="s">
        <v>3638</v>
      </c>
      <c r="E202" s="11" t="str">
        <f>HYPERLINK("https://youtu.be/aynTAkZOkUM","channel 2")</f>
        <v>channel 2</v>
      </c>
    </row>
    <row r="203">
      <c r="B203" s="62" t="s">
        <v>3392</v>
      </c>
      <c r="C203" s="57" t="s">
        <v>20</v>
      </c>
      <c r="D203" s="62" t="s">
        <v>3782</v>
      </c>
      <c r="E203" s="11" t="str">
        <f>HYPERLINK("https://youtu.be/h_c8JTwB0D0?t=1075","channel 1")</f>
        <v>channel 1</v>
      </c>
    </row>
    <row r="204">
      <c r="B204" s="62" t="s">
        <v>3222</v>
      </c>
      <c r="C204" s="57" t="s">
        <v>517</v>
      </c>
      <c r="D204" s="62" t="s">
        <v>3783</v>
      </c>
      <c r="E204" s="11" t="str">
        <f>HYPERLINK("https://youtu.be/aynTAkZOkUM?t=1136","channel 2")</f>
        <v>channel 2</v>
      </c>
    </row>
    <row r="205">
      <c r="B205" s="62" t="s">
        <v>3392</v>
      </c>
      <c r="C205" s="57" t="s">
        <v>20</v>
      </c>
      <c r="D205" s="62" t="s">
        <v>3638</v>
      </c>
      <c r="E205" s="11" t="str">
        <f>HYPERLINK("https://youtu.be/h_c8JTwB0D0?t=1988","channel 1")</f>
        <v>channel 1</v>
      </c>
    </row>
    <row r="206">
      <c r="B206" s="62" t="s">
        <v>3222</v>
      </c>
      <c r="C206" s="57" t="s">
        <v>292</v>
      </c>
      <c r="D206" s="62" t="s">
        <v>3782</v>
      </c>
      <c r="E206" s="11" t="str">
        <f>HYPERLINK("https://youtu.be/aynTAkZOkUM?t=2115","channel 2")</f>
        <v>channel 2</v>
      </c>
    </row>
    <row r="207">
      <c r="B207" s="62" t="s">
        <v>3392</v>
      </c>
      <c r="C207" s="57" t="s">
        <v>303</v>
      </c>
      <c r="D207" s="62" t="s">
        <v>3783</v>
      </c>
      <c r="E207" s="11" t="str">
        <f>HYPERLINK("https://youtu.be/h_c8JTwB0D0?t=3040","channel 1")</f>
        <v>channel 1</v>
      </c>
    </row>
    <row r="208">
      <c r="B208" s="62" t="s">
        <v>3638</v>
      </c>
      <c r="C208" s="57" t="s">
        <v>173</v>
      </c>
      <c r="D208" s="62" t="s">
        <v>3782</v>
      </c>
      <c r="E208" s="11" t="str">
        <f>HYPERLINK("https://youtu.be/aynTAkZOkUM?t=3072","channel 2")</f>
        <v>channel 2</v>
      </c>
    </row>
    <row r="209">
      <c r="B209" s="62" t="s">
        <v>3392</v>
      </c>
      <c r="C209" s="57" t="s">
        <v>14</v>
      </c>
      <c r="D209" s="62" t="s">
        <v>3222</v>
      </c>
      <c r="E209" s="11" t="str">
        <f>HYPERLINK("https://youtu.be/h_c8JTwB0D0?t=3922","channel 1")</f>
        <v>channel 1</v>
      </c>
    </row>
    <row r="210">
      <c r="B210" s="62" t="s">
        <v>3638</v>
      </c>
      <c r="C210" s="57" t="s">
        <v>477</v>
      </c>
      <c r="D210" s="62" t="s">
        <v>3783</v>
      </c>
      <c r="E210" s="11" t="str">
        <f>HYPERLINK("https://youtu.be/aynTAkZOkUM?t=3927","channel 2")</f>
        <v>channel 2</v>
      </c>
    </row>
    <row r="211">
      <c r="B211" s="62" t="s">
        <v>3783</v>
      </c>
      <c r="C211" s="57" t="s">
        <v>229</v>
      </c>
      <c r="D211" s="62" t="s">
        <v>3782</v>
      </c>
      <c r="E211" s="11" t="str">
        <f>HYPERLINK("https://youtu.be/h_c8JTwB0D0?t=4786","channel 1")</f>
        <v>channel 1</v>
      </c>
    </row>
    <row r="212">
      <c r="B212" s="62" t="s">
        <v>3638</v>
      </c>
      <c r="C212" s="57" t="s">
        <v>181</v>
      </c>
      <c r="D212" s="62" t="s">
        <v>3222</v>
      </c>
      <c r="E212" s="11" t="str">
        <f>HYPERLINK("https://youtu.be/aynTAkZOkUM?t=4803","channel 2")</f>
        <v>channel 2</v>
      </c>
    </row>
    <row r="213">
      <c r="B213" s="62" t="s">
        <v>3782</v>
      </c>
      <c r="C213" s="57" t="s">
        <v>16</v>
      </c>
      <c r="D213" s="62" t="s">
        <v>3392</v>
      </c>
      <c r="E213" s="11" t="str">
        <f>HYPERLINK("https://youtu.be/h_c8JTwB0D0?t=5650","channel 1")</f>
        <v>channel 1</v>
      </c>
    </row>
    <row r="214">
      <c r="B214" s="62" t="s">
        <v>3783</v>
      </c>
      <c r="C214" s="57" t="s">
        <v>1419</v>
      </c>
      <c r="D214" s="62" t="s">
        <v>3222</v>
      </c>
      <c r="E214" s="11" t="str">
        <f>HYPERLINK("https://youtu.be/aynTAkZOkUM?t=5675","channel 2")</f>
        <v>channel 2</v>
      </c>
    </row>
    <row r="215">
      <c r="B215" s="62" t="s">
        <v>3638</v>
      </c>
      <c r="C215" s="57" t="s">
        <v>354</v>
      </c>
      <c r="D215" s="62" t="s">
        <v>3392</v>
      </c>
      <c r="E215" s="11" t="str">
        <f>HYPERLINK("https://youtu.be/h_c8JTwB0D0?t=6682","channel 1")</f>
        <v>channel 1</v>
      </c>
    </row>
    <row r="216">
      <c r="B216" s="62" t="s">
        <v>3782</v>
      </c>
      <c r="C216" s="57" t="s">
        <v>291</v>
      </c>
      <c r="D216" s="62" t="s">
        <v>3222</v>
      </c>
      <c r="E216" s="11" t="str">
        <f>HYPERLINK("https://youtu.be/aynTAkZOkUM?t=6710","channel 2")</f>
        <v>channel 2</v>
      </c>
    </row>
    <row r="217">
      <c r="B217" s="62" t="s">
        <v>3783</v>
      </c>
      <c r="C217" s="57" t="s">
        <v>158</v>
      </c>
      <c r="D217" s="62" t="s">
        <v>3392</v>
      </c>
      <c r="E217" s="11" t="str">
        <f>HYPERLINK("https://youtu.be/h_c8JTwB0D0?t=7667","channel 1")</f>
        <v>channel 1</v>
      </c>
    </row>
    <row r="218">
      <c r="B218" s="62" t="s">
        <v>3782</v>
      </c>
      <c r="C218" s="57" t="s">
        <v>335</v>
      </c>
      <c r="D218" s="62" t="s">
        <v>3638</v>
      </c>
      <c r="E218" s="11" t="str">
        <f>HYPERLINK("https://youtu.be/aynTAkZOkUM?t=7685","channel 2")</f>
        <v>channel 2</v>
      </c>
    </row>
    <row r="219">
      <c r="B219" s="62" t="s">
        <v>3222</v>
      </c>
      <c r="C219" s="57" t="s">
        <v>161</v>
      </c>
      <c r="D219" s="62" t="s">
        <v>3392</v>
      </c>
      <c r="E219" s="11" t="str">
        <f>HYPERLINK("https://youtu.be/h_c8JTwB0D0?t=8466","channel 1")</f>
        <v>channel 1</v>
      </c>
    </row>
    <row r="220">
      <c r="B220" s="62" t="s">
        <v>3783</v>
      </c>
      <c r="C220" s="57" t="s">
        <v>166</v>
      </c>
      <c r="D220" s="62" t="s">
        <v>3638</v>
      </c>
      <c r="E220" s="11" t="str">
        <f>HYPERLINK("https://youtu.be/aynTAkZOkUM?t=8496","channel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1526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61" t="s">
        <v>1339</v>
      </c>
      <c r="C3" s="57" t="s">
        <v>209</v>
      </c>
      <c r="D3" s="61" t="s">
        <v>1212</v>
      </c>
      <c r="E3" s="11" t="str">
        <f>HYPERLINK("https://youtu.be/eYg9D9RX-iI","channel 1")</f>
        <v>channel 1</v>
      </c>
    </row>
    <row r="4">
      <c r="A4" s="141"/>
      <c r="B4" s="61" t="s">
        <v>1341</v>
      </c>
      <c r="C4" s="57" t="s">
        <v>239</v>
      </c>
      <c r="D4" s="61" t="s">
        <v>3784</v>
      </c>
      <c r="E4" s="11" t="str">
        <f>HYPERLINK("https://youtu.be/CjhZvFWqQFA","channel 2")</f>
        <v>channel 2</v>
      </c>
    </row>
    <row r="5">
      <c r="A5" s="141"/>
      <c r="B5" s="61" t="s">
        <v>3785</v>
      </c>
      <c r="C5" s="54" t="s">
        <v>394</v>
      </c>
      <c r="D5" s="61" t="s">
        <v>1339</v>
      </c>
      <c r="E5" s="11" t="str">
        <f>HYPERLINK("https://youtu.be/eYg9D9RX-iI?t=1002","channel 1")</f>
        <v>channel 1</v>
      </c>
    </row>
    <row r="6">
      <c r="A6" s="141"/>
      <c r="B6" s="61" t="s">
        <v>1341</v>
      </c>
      <c r="C6" s="57" t="s">
        <v>23</v>
      </c>
      <c r="D6" s="61" t="s">
        <v>1212</v>
      </c>
      <c r="E6" s="11" t="str">
        <f>HYPERLINK("https://youtu.be/CjhZvFWqQFA?t=939","channel 2")</f>
        <v>channel 2</v>
      </c>
    </row>
    <row r="7">
      <c r="A7" s="141"/>
      <c r="B7" s="61" t="s">
        <v>3785</v>
      </c>
      <c r="C7" s="57" t="s">
        <v>366</v>
      </c>
      <c r="D7" s="61" t="s">
        <v>3784</v>
      </c>
      <c r="E7" s="11" t="str">
        <f>HYPERLINK("https://youtu.be/eYg9D9RX-iI?t=1989","channel 1")</f>
        <v>channel 1</v>
      </c>
    </row>
    <row r="8">
      <c r="A8" s="141"/>
      <c r="B8" s="61" t="s">
        <v>1341</v>
      </c>
      <c r="C8" s="57" t="s">
        <v>18</v>
      </c>
      <c r="D8" s="61" t="s">
        <v>1339</v>
      </c>
      <c r="E8" s="11" t="str">
        <f>HYPERLINK("https://youtu.be/CjhZvFWqQFA?t=1987","channel 2")</f>
        <v>channel 2</v>
      </c>
    </row>
    <row r="9">
      <c r="A9" s="141"/>
      <c r="B9" s="61" t="s">
        <v>3785</v>
      </c>
      <c r="C9" s="57" t="s">
        <v>218</v>
      </c>
      <c r="D9" s="61" t="s">
        <v>1212</v>
      </c>
      <c r="E9" s="11" t="str">
        <f>HYPERLINK("https://youtu.be/eYg9D9RX-iI?t=2931","channel 1")</f>
        <v>channel 1</v>
      </c>
    </row>
    <row r="10">
      <c r="A10" s="141"/>
      <c r="B10" s="61" t="s">
        <v>3784</v>
      </c>
      <c r="C10" s="57" t="s">
        <v>43</v>
      </c>
      <c r="D10" s="61" t="s">
        <v>1339</v>
      </c>
      <c r="E10" s="11" t="str">
        <f>HYPERLINK("https://youtu.be/CjhZvFWqQFA?t=2931","channel 2")</f>
        <v>channel 2</v>
      </c>
    </row>
    <row r="11">
      <c r="A11" s="141"/>
      <c r="B11" s="61" t="s">
        <v>3785</v>
      </c>
      <c r="C11" s="57" t="s">
        <v>279</v>
      </c>
      <c r="D11" s="61" t="s">
        <v>1341</v>
      </c>
      <c r="E11" s="11" t="str">
        <f>HYPERLINK("https://youtu.be/eYg9D9RX-iI?t=3837","channel 1")</f>
        <v>channel 1</v>
      </c>
    </row>
    <row r="12">
      <c r="A12" s="141"/>
      <c r="B12" s="61" t="s">
        <v>3784</v>
      </c>
      <c r="C12" s="57" t="s">
        <v>210</v>
      </c>
      <c r="D12" s="61" t="s">
        <v>1212</v>
      </c>
      <c r="E12" s="11" t="str">
        <f>HYPERLINK("https://youtu.be/CjhZvFWqQFA?t=3844","channel 2")</f>
        <v>channel 2</v>
      </c>
    </row>
    <row r="13">
      <c r="A13" s="141"/>
      <c r="B13" s="61" t="s">
        <v>1212</v>
      </c>
      <c r="C13" s="54" t="s">
        <v>279</v>
      </c>
      <c r="D13" s="61" t="s">
        <v>1339</v>
      </c>
      <c r="E13" s="11" t="str">
        <f>HYPERLINK("https://youtu.be/eYg9D9RX-iI?t=4761","channel 1")</f>
        <v>channel 1</v>
      </c>
    </row>
    <row r="14">
      <c r="A14" s="141"/>
      <c r="B14" s="61" t="s">
        <v>3784</v>
      </c>
      <c r="C14" s="45" t="s">
        <v>507</v>
      </c>
      <c r="D14" s="61" t="s">
        <v>1341</v>
      </c>
      <c r="E14" s="11" t="str">
        <f>HYPERLINK("https://youtu.be/CjhZvFWqQFA?t=4766","channel 2")</f>
        <v>channel 2</v>
      </c>
    </row>
    <row r="15">
      <c r="A15" s="141"/>
      <c r="B15" s="61" t="s">
        <v>1339</v>
      </c>
      <c r="C15" s="45" t="s">
        <v>41</v>
      </c>
      <c r="D15" s="61" t="s">
        <v>3785</v>
      </c>
      <c r="E15" s="11" t="str">
        <f>HYPERLINK("https://youtu.be/eYg9D9RX-iI?t=5834","channel 1")</f>
        <v>channel 1</v>
      </c>
    </row>
    <row r="16">
      <c r="A16" s="141"/>
      <c r="B16" s="61" t="s">
        <v>1212</v>
      </c>
      <c r="C16" s="57" t="s">
        <v>158</v>
      </c>
      <c r="D16" s="61" t="s">
        <v>1341</v>
      </c>
      <c r="E16" s="11" t="str">
        <f>HYPERLINK("https://youtu.be/CjhZvFWqQFA?t=5823","channel 2")</f>
        <v>channel 2</v>
      </c>
    </row>
    <row r="17">
      <c r="A17" s="141"/>
      <c r="B17" s="61" t="s">
        <v>3784</v>
      </c>
      <c r="C17" s="57" t="s">
        <v>14</v>
      </c>
      <c r="D17" s="61" t="s">
        <v>3785</v>
      </c>
      <c r="E17" s="11" t="str">
        <f>HYPERLINK("https://youtu.be/eYg9D9RX-iI?t=6732","channel 1")</f>
        <v>channel 1</v>
      </c>
    </row>
    <row r="18">
      <c r="A18" s="141"/>
      <c r="B18" s="61" t="s">
        <v>1339</v>
      </c>
      <c r="C18" s="57" t="s">
        <v>271</v>
      </c>
      <c r="D18" s="61" t="s">
        <v>1341</v>
      </c>
      <c r="E18" s="11" t="str">
        <f>HYPERLINK("https://youtu.be/CjhZvFWqQFA?t=6751","channel 2")</f>
        <v>channel 2</v>
      </c>
    </row>
    <row r="19">
      <c r="A19" s="141"/>
      <c r="B19" s="61" t="s">
        <v>1212</v>
      </c>
      <c r="C19" s="151" t="s">
        <v>181</v>
      </c>
      <c r="D19" s="61" t="s">
        <v>3785</v>
      </c>
      <c r="E19" s="11" t="str">
        <f>HYPERLINK("https://youtu.be/eYg9D9RX-iI?t=7723","channel 1")</f>
        <v>channel 1</v>
      </c>
    </row>
    <row r="20">
      <c r="A20" s="141"/>
      <c r="B20" s="61" t="s">
        <v>1339</v>
      </c>
      <c r="C20" s="76" t="s">
        <v>538</v>
      </c>
      <c r="D20" s="61" t="s">
        <v>3784</v>
      </c>
      <c r="E20" s="11" t="str">
        <f>HYPERLINK("https://youtu.be/CjhZvFWqQFA?t=7672","channel 2")</f>
        <v>channel 2</v>
      </c>
    </row>
    <row r="21">
      <c r="A21" s="141"/>
      <c r="B21" s="61" t="s">
        <v>1341</v>
      </c>
      <c r="C21" s="76" t="s">
        <v>173</v>
      </c>
      <c r="D21" s="61" t="s">
        <v>3785</v>
      </c>
      <c r="E21" s="11" t="str">
        <f>HYPERLINK("https://youtu.be/eYg9D9RX-iI?t=8624","channel 1")</f>
        <v>channel 1</v>
      </c>
    </row>
    <row r="22">
      <c r="A22" s="141"/>
      <c r="B22" s="61" t="s">
        <v>1212</v>
      </c>
      <c r="C22" s="76" t="s">
        <v>14</v>
      </c>
      <c r="D22" s="61" t="s">
        <v>3784</v>
      </c>
      <c r="E22" s="11" t="str">
        <f>HYPERLINK("https://youtu.be/CjhZvFWqQFA?t=8582","channel 2")</f>
        <v>channel 2</v>
      </c>
    </row>
    <row r="23">
      <c r="A23" s="141"/>
      <c r="B23" s="96" t="s">
        <v>1782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641</v>
      </c>
      <c r="C25" s="57" t="s">
        <v>41</v>
      </c>
      <c r="D25" s="61" t="s">
        <v>1968</v>
      </c>
      <c r="E25" s="11" t="str">
        <f>HYPERLINK("https://youtu.be/eL1TIR-xmDQ","channel 1")</f>
        <v>channel 1</v>
      </c>
    </row>
    <row r="26">
      <c r="A26" s="141"/>
      <c r="B26" s="61" t="s">
        <v>1966</v>
      </c>
      <c r="C26" s="57" t="s">
        <v>454</v>
      </c>
      <c r="D26" s="61" t="s">
        <v>2975</v>
      </c>
      <c r="E26" s="11" t="str">
        <f>HYPERLINK("https://youtu.be/5Hb6yHmXlBA","channel 2")</f>
        <v>channel 2</v>
      </c>
    </row>
    <row r="27">
      <c r="A27" s="141"/>
      <c r="B27" s="61" t="s">
        <v>3786</v>
      </c>
      <c r="C27" s="57" t="s">
        <v>508</v>
      </c>
      <c r="D27" s="61" t="s">
        <v>641</v>
      </c>
      <c r="E27" s="11" t="str">
        <f>HYPERLINK("https://youtu.be/eL1TIR-xmDQ?t=954","channel 1")</f>
        <v>channel 1</v>
      </c>
    </row>
    <row r="28">
      <c r="A28" s="141"/>
      <c r="B28" s="61" t="s">
        <v>1966</v>
      </c>
      <c r="C28" s="57" t="s">
        <v>16</v>
      </c>
      <c r="D28" s="61" t="s">
        <v>1968</v>
      </c>
      <c r="E28" s="11" t="str">
        <f>HYPERLINK("https://youtu.be/5Hb6yHmXlBA?t=910","channel 2")</f>
        <v>channel 2</v>
      </c>
    </row>
    <row r="29">
      <c r="A29" s="141"/>
      <c r="B29" s="61" t="s">
        <v>3786</v>
      </c>
      <c r="C29" s="57" t="s">
        <v>376</v>
      </c>
      <c r="D29" s="61" t="s">
        <v>2975</v>
      </c>
      <c r="E29" s="11" t="str">
        <f>HYPERLINK("https://youtu.be/eL1TIR-xmDQ?t=1933","channel 1")</f>
        <v>channel 1</v>
      </c>
    </row>
    <row r="30">
      <c r="A30" s="141"/>
      <c r="B30" s="61" t="s">
        <v>1966</v>
      </c>
      <c r="C30" s="57" t="s">
        <v>17</v>
      </c>
      <c r="D30" s="61" t="s">
        <v>641</v>
      </c>
      <c r="E30" s="11" t="str">
        <f>HYPERLINK("https://youtu.be/5Hb6yHmXlBA?t=1830","channel 2")</f>
        <v>channel 2</v>
      </c>
    </row>
    <row r="31">
      <c r="A31" s="141"/>
      <c r="B31" s="61" t="s">
        <v>3786</v>
      </c>
      <c r="C31" s="57" t="s">
        <v>16</v>
      </c>
      <c r="D31" s="61" t="s">
        <v>1968</v>
      </c>
      <c r="E31" s="11" t="str">
        <f>HYPERLINK("https://youtu.be/eL1TIR-xmDQ?t=2947","channel 1")</f>
        <v>channel 1</v>
      </c>
    </row>
    <row r="32">
      <c r="A32" s="141"/>
      <c r="B32" s="61" t="s">
        <v>2975</v>
      </c>
      <c r="C32" s="57" t="s">
        <v>43</v>
      </c>
      <c r="D32" s="61" t="s">
        <v>641</v>
      </c>
      <c r="E32" s="11" t="str">
        <f>HYPERLINK("https://youtu.be/5Hb6yHmXlBA?t=2830","channel 2")</f>
        <v>channel 2</v>
      </c>
    </row>
    <row r="33">
      <c r="A33" s="141"/>
      <c r="B33" s="61" t="s">
        <v>3786</v>
      </c>
      <c r="C33" s="57" t="s">
        <v>7</v>
      </c>
      <c r="D33" s="61" t="s">
        <v>1966</v>
      </c>
      <c r="E33" s="11" t="str">
        <f>HYPERLINK("https://youtu.be/eL1TIR-xmDQ?t=3917","channel 1")</f>
        <v>channel 1</v>
      </c>
    </row>
    <row r="34">
      <c r="A34" s="141"/>
      <c r="B34" s="61" t="s">
        <v>2975</v>
      </c>
      <c r="C34" s="57" t="s">
        <v>290</v>
      </c>
      <c r="D34" s="61" t="s">
        <v>1968</v>
      </c>
      <c r="E34" s="11" t="str">
        <f>HYPERLINK("https://youtu.be/5Hb6yHmXlBA?t=3789","channel 2")</f>
        <v>channel 2</v>
      </c>
    </row>
    <row r="35">
      <c r="A35" s="141"/>
      <c r="B35" s="61" t="s">
        <v>1968</v>
      </c>
      <c r="C35" s="57" t="s">
        <v>344</v>
      </c>
      <c r="D35" s="61" t="s">
        <v>641</v>
      </c>
      <c r="E35" s="11" t="str">
        <f>HYPERLINK("https://youtu.be/eL1TIR-xmDQ?t=4871","channel 1")</f>
        <v>channel 1</v>
      </c>
    </row>
    <row r="36">
      <c r="A36" s="141"/>
      <c r="B36" s="61" t="s">
        <v>2975</v>
      </c>
      <c r="C36" s="57" t="s">
        <v>291</v>
      </c>
      <c r="D36" s="61" t="s">
        <v>1966</v>
      </c>
      <c r="E36" s="11" t="str">
        <f>HYPERLINK("https://youtu.be/5Hb6yHmXlBA?t=4750","channel 2")</f>
        <v>channel 2</v>
      </c>
    </row>
    <row r="37">
      <c r="A37" s="141"/>
      <c r="B37" s="61" t="s">
        <v>641</v>
      </c>
      <c r="C37" s="57" t="s">
        <v>177</v>
      </c>
      <c r="D37" s="61" t="s">
        <v>3786</v>
      </c>
      <c r="E37" s="11" t="str">
        <f>HYPERLINK("https://youtu.be/eL1TIR-xmDQ?t=5799","channel 1")</f>
        <v>channel 1</v>
      </c>
    </row>
    <row r="38">
      <c r="A38" s="141"/>
      <c r="B38" s="61" t="s">
        <v>1968</v>
      </c>
      <c r="C38" s="57" t="s">
        <v>216</v>
      </c>
      <c r="D38" s="61" t="s">
        <v>1966</v>
      </c>
      <c r="E38" s="11" t="str">
        <f>HYPERLINK("https://youtu.be/5Hb6yHmXlBA?t=5649","channel 2")</f>
        <v>channel 2</v>
      </c>
    </row>
    <row r="39">
      <c r="A39" s="141"/>
      <c r="B39" s="61" t="s">
        <v>2975</v>
      </c>
      <c r="C39" s="45" t="s">
        <v>324</v>
      </c>
      <c r="D39" s="61" t="s">
        <v>3786</v>
      </c>
      <c r="E39" s="11" t="str">
        <f>HYPERLINK("https://youtu.be/eL1TIR-xmDQ?t=6794","channel 1")</f>
        <v>channel 1</v>
      </c>
    </row>
    <row r="40">
      <c r="A40" s="141"/>
      <c r="B40" s="61" t="s">
        <v>641</v>
      </c>
      <c r="C40" s="57" t="s">
        <v>292</v>
      </c>
      <c r="D40" s="61" t="s">
        <v>1966</v>
      </c>
      <c r="E40" s="11" t="str">
        <f>HYPERLINK("https://youtu.be/5Hb6yHmXlBA?t=6588","channel 2")</f>
        <v>channel 2</v>
      </c>
    </row>
    <row r="41">
      <c r="A41" s="141"/>
      <c r="B41" s="61" t="s">
        <v>1968</v>
      </c>
      <c r="C41" s="57" t="s">
        <v>176</v>
      </c>
      <c r="D41" s="61" t="s">
        <v>3786</v>
      </c>
      <c r="E41" s="11" t="str">
        <f>HYPERLINK("https://youtu.be/eL1TIR-xmDQ?t=7743","channel 1")</f>
        <v>channel 1</v>
      </c>
    </row>
    <row r="42">
      <c r="A42" s="141"/>
      <c r="B42" s="61" t="s">
        <v>641</v>
      </c>
      <c r="C42" s="57" t="s">
        <v>848</v>
      </c>
      <c r="D42" s="61" t="s">
        <v>2975</v>
      </c>
      <c r="E42" s="11" t="str">
        <f>HYPERLINK("https://youtu.be/5Hb6yHmXlBA?t=7490","channel 2")</f>
        <v>channel 2</v>
      </c>
    </row>
    <row r="43">
      <c r="A43" s="141"/>
      <c r="B43" s="61" t="s">
        <v>1966</v>
      </c>
      <c r="C43" s="57" t="s">
        <v>196</v>
      </c>
      <c r="D43" s="61" t="s">
        <v>3786</v>
      </c>
      <c r="E43" s="11" t="str">
        <f>HYPERLINK("https://youtu.be/eL1TIR-xmDQ?t=8560","channel 1")</f>
        <v>channel 1</v>
      </c>
    </row>
    <row r="44">
      <c r="A44" s="141"/>
      <c r="B44" s="61" t="s">
        <v>1968</v>
      </c>
      <c r="C44" s="57" t="s">
        <v>216</v>
      </c>
      <c r="D44" s="61" t="s">
        <v>2975</v>
      </c>
      <c r="E44" s="11" t="str">
        <f>HYPERLINK("https://youtu.be/5Hb6yHmXlBA?t=8379","channel 2")</f>
        <v>channel 2</v>
      </c>
    </row>
    <row r="45">
      <c r="A45" s="141"/>
      <c r="B45" s="96" t="s">
        <v>2806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3384</v>
      </c>
      <c r="C47" s="57" t="s">
        <v>7</v>
      </c>
      <c r="D47" s="61" t="s">
        <v>2871</v>
      </c>
      <c r="E47" s="11" t="str">
        <f>HYPERLINK("https://youtu.be/xH_ZxmCK2DY","channel 3")</f>
        <v>channel 3</v>
      </c>
    </row>
    <row r="48">
      <c r="A48" s="141"/>
      <c r="B48" s="61" t="s">
        <v>3787</v>
      </c>
      <c r="C48" s="57" t="s">
        <v>198</v>
      </c>
      <c r="D48" s="61" t="s">
        <v>2941</v>
      </c>
      <c r="E48" s="11" t="str">
        <f>HYPERLINK("https://youtu.be/ebRWNfK-DDA","channel 4")</f>
        <v>channel 4</v>
      </c>
    </row>
    <row r="49">
      <c r="A49" s="141"/>
      <c r="B49" s="61" t="s">
        <v>3788</v>
      </c>
      <c r="C49" s="57" t="s">
        <v>16</v>
      </c>
      <c r="D49" s="61" t="s">
        <v>3384</v>
      </c>
      <c r="E49" s="11" t="str">
        <f>HYPERLINK("https://youtu.be/xH_ZxmCK2DY?t=1010","channel 3")</f>
        <v>channel 3</v>
      </c>
    </row>
    <row r="50">
      <c r="A50" s="141"/>
      <c r="B50" s="61" t="s">
        <v>3787</v>
      </c>
      <c r="C50" s="57" t="s">
        <v>158</v>
      </c>
      <c r="D50" s="61" t="s">
        <v>2871</v>
      </c>
      <c r="E50" s="11" t="str">
        <f>HYPERLINK("https://youtu.be/ebRWNfK-DDA?t=973","channel 4")</f>
        <v>channel 4</v>
      </c>
    </row>
    <row r="51">
      <c r="A51" s="141"/>
      <c r="B51" s="61" t="s">
        <v>3788</v>
      </c>
      <c r="C51" s="57" t="s">
        <v>454</v>
      </c>
      <c r="D51" s="61" t="s">
        <v>2941</v>
      </c>
      <c r="E51" s="11" t="str">
        <f>HYPERLINK("https://youtu.be/xH_ZxmCK2DY?t=2074","channel 3")</f>
        <v>channel 3</v>
      </c>
    </row>
    <row r="52">
      <c r="A52" s="141"/>
      <c r="B52" s="61" t="s">
        <v>3787</v>
      </c>
      <c r="C52" s="57" t="s">
        <v>163</v>
      </c>
      <c r="D52" s="61" t="s">
        <v>3384</v>
      </c>
      <c r="E52" s="11" t="str">
        <f>HYPERLINK("https://youtu.be/ebRWNfK-DDA?t=1834","channel 4")</f>
        <v>channel 4</v>
      </c>
    </row>
    <row r="53">
      <c r="A53" s="141"/>
      <c r="B53" s="61" t="s">
        <v>3788</v>
      </c>
      <c r="C53" s="57" t="s">
        <v>380</v>
      </c>
      <c r="D53" s="61" t="s">
        <v>2871</v>
      </c>
      <c r="E53" s="11" t="str">
        <f>HYPERLINK("https://youtu.be/xH_ZxmCK2DY?t=3064","channel 3")</f>
        <v>channel 3</v>
      </c>
    </row>
    <row r="54">
      <c r="A54" s="141"/>
      <c r="B54" s="61" t="s">
        <v>2941</v>
      </c>
      <c r="C54" s="57" t="s">
        <v>23</v>
      </c>
      <c r="D54" s="61" t="s">
        <v>3384</v>
      </c>
      <c r="E54" s="11" t="str">
        <f>HYPERLINK("https://youtu.be/ebRWNfK-DDA?t=2757","channel 4")</f>
        <v>channel 4</v>
      </c>
    </row>
    <row r="55">
      <c r="A55" s="141"/>
      <c r="B55" s="61" t="s">
        <v>3788</v>
      </c>
      <c r="C55" s="57" t="s">
        <v>220</v>
      </c>
      <c r="D55" s="61" t="s">
        <v>3787</v>
      </c>
      <c r="E55" s="11" t="str">
        <f>HYPERLINK("https://youtu.be/xH_ZxmCK2DY?t=4030","channel 3")</f>
        <v>channel 3</v>
      </c>
    </row>
    <row r="56">
      <c r="A56" s="141"/>
      <c r="B56" s="61" t="s">
        <v>2941</v>
      </c>
      <c r="C56" s="57" t="s">
        <v>248</v>
      </c>
      <c r="D56" s="61" t="s">
        <v>2871</v>
      </c>
      <c r="E56" s="11" t="str">
        <f>HYPERLINK("https://youtu.be/ebRWNfK-DDA?t=3668","channel 4")</f>
        <v>channel 4</v>
      </c>
    </row>
    <row r="57">
      <c r="A57" s="141"/>
      <c r="B57" s="61" t="s">
        <v>2871</v>
      </c>
      <c r="C57" s="57" t="s">
        <v>161</v>
      </c>
      <c r="D57" s="61" t="s">
        <v>3384</v>
      </c>
      <c r="E57" s="11" t="str">
        <f>HYPERLINK("https://youtu.be/xH_ZxmCK2DY?t=5058","channel 3")</f>
        <v>channel 3</v>
      </c>
    </row>
    <row r="58">
      <c r="A58" s="141"/>
      <c r="B58" s="61" t="s">
        <v>2941</v>
      </c>
      <c r="C58" s="57" t="s">
        <v>181</v>
      </c>
      <c r="D58" s="61" t="s">
        <v>3787</v>
      </c>
      <c r="E58" s="11" t="str">
        <f>HYPERLINK("https://youtu.be/ebRWNfK-DDA?t=4690","channel 4")</f>
        <v>channel 4</v>
      </c>
    </row>
    <row r="59">
      <c r="A59" s="141"/>
      <c r="B59" s="61" t="s">
        <v>3384</v>
      </c>
      <c r="C59" s="57" t="s">
        <v>44</v>
      </c>
      <c r="D59" s="61" t="s">
        <v>3788</v>
      </c>
      <c r="E59" s="11" t="str">
        <f>HYPERLINK("https://youtu.be/xH_ZxmCK2DY?t=5954","channel 3")</f>
        <v>channel 3</v>
      </c>
    </row>
    <row r="60">
      <c r="A60" s="141"/>
      <c r="B60" s="61" t="s">
        <v>2871</v>
      </c>
      <c r="C60" s="57" t="s">
        <v>425</v>
      </c>
      <c r="D60" s="61" t="s">
        <v>3787</v>
      </c>
      <c r="E60" s="11" t="str">
        <f>HYPERLINK("https://youtu.be/ebRWNfK-DDA?t=5627","channel 4")</f>
        <v>channel 4</v>
      </c>
    </row>
    <row r="61">
      <c r="A61" s="141"/>
      <c r="B61" s="61" t="s">
        <v>2941</v>
      </c>
      <c r="C61" s="57" t="s">
        <v>640</v>
      </c>
      <c r="D61" s="61" t="s">
        <v>3788</v>
      </c>
      <c r="E61" s="11" t="str">
        <f>HYPERLINK("https://youtu.be/xH_ZxmCK2DY?t=6864","channel 3")</f>
        <v>channel 3</v>
      </c>
    </row>
    <row r="62">
      <c r="A62" s="141"/>
      <c r="B62" s="61" t="s">
        <v>3384</v>
      </c>
      <c r="C62" s="57" t="s">
        <v>193</v>
      </c>
      <c r="D62" s="61" t="s">
        <v>3787</v>
      </c>
      <c r="E62" s="11" t="str">
        <f>HYPERLINK("https://youtu.be/ebRWNfK-DDA?t=6554","channel 4")</f>
        <v>channel 4</v>
      </c>
    </row>
    <row r="63">
      <c r="A63" s="141"/>
      <c r="B63" s="61" t="s">
        <v>2871</v>
      </c>
      <c r="C63" s="57" t="s">
        <v>7</v>
      </c>
      <c r="D63" s="61" t="s">
        <v>3788</v>
      </c>
      <c r="E63" s="11" t="str">
        <f>HYPERLINK("https://youtu.be/xH_ZxmCK2DY?t=7831","channel 3")</f>
        <v>channel 3</v>
      </c>
    </row>
    <row r="64">
      <c r="A64" s="141"/>
      <c r="B64" s="61" t="s">
        <v>3384</v>
      </c>
      <c r="C64" s="57" t="s">
        <v>20</v>
      </c>
      <c r="D64" s="61" t="s">
        <v>2941</v>
      </c>
      <c r="E64" s="11" t="str">
        <f>HYPERLINK("https://youtu.be/ebRWNfK-DDA?t=7534","channel 4")</f>
        <v>channel 4</v>
      </c>
    </row>
    <row r="65">
      <c r="A65" s="141"/>
      <c r="B65" s="61" t="s">
        <v>3787</v>
      </c>
      <c r="C65" s="57" t="s">
        <v>43</v>
      </c>
      <c r="D65" s="61" t="s">
        <v>3788</v>
      </c>
      <c r="E65" s="11" t="str">
        <f>HYPERLINK("https://youtu.be/xH_ZxmCK2DY?t=8796","channel 3")</f>
        <v>channel 3</v>
      </c>
    </row>
    <row r="66">
      <c r="A66" s="141"/>
      <c r="B66" s="61" t="s">
        <v>2871</v>
      </c>
      <c r="C66" s="57" t="s">
        <v>1472</v>
      </c>
      <c r="D66" s="61" t="s">
        <v>2941</v>
      </c>
      <c r="E66" s="11" t="str">
        <f>HYPERLINK("https://youtu.be/ebRWNfK-DDA?t=8439","channel 4")</f>
        <v>channel 4</v>
      </c>
    </row>
    <row r="67">
      <c r="A67" s="141"/>
      <c r="B67" s="96" t="s">
        <v>2698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3497</v>
      </c>
      <c r="C69" s="57" t="s">
        <v>7</v>
      </c>
      <c r="D69" s="61" t="s">
        <v>3188</v>
      </c>
      <c r="E69" s="11" t="str">
        <f>HYPERLINK("https://youtu.be/-uo33Dp20sU","channel 3")</f>
        <v>channel 3</v>
      </c>
    </row>
    <row r="70">
      <c r="A70" s="141"/>
      <c r="B70" s="61" t="s">
        <v>3789</v>
      </c>
      <c r="C70" s="57" t="s">
        <v>524</v>
      </c>
      <c r="D70" s="61" t="s">
        <v>858</v>
      </c>
      <c r="E70" s="11" t="str">
        <f>HYPERLINK("https://youtu.be/4xDyQjFX_I8","channel 4")</f>
        <v>channel 4</v>
      </c>
    </row>
    <row r="71">
      <c r="A71" s="141"/>
      <c r="B71" s="61" t="s">
        <v>3790</v>
      </c>
      <c r="C71" s="57" t="s">
        <v>209</v>
      </c>
      <c r="D71" s="61" t="s">
        <v>3497</v>
      </c>
      <c r="E71" s="11" t="str">
        <f>HYPERLINK("https://youtu.be/-uo33Dp20sU?t=920","channel 3")</f>
        <v>channel 3</v>
      </c>
    </row>
    <row r="72">
      <c r="A72" s="141"/>
      <c r="B72" s="61" t="s">
        <v>3789</v>
      </c>
      <c r="C72" s="57" t="s">
        <v>16</v>
      </c>
      <c r="D72" s="61" t="s">
        <v>3188</v>
      </c>
      <c r="E72" s="11" t="str">
        <f>HYPERLINK("https://youtu.be/4xDyQjFX_I8?t=1011","channel 4")</f>
        <v>channel 4</v>
      </c>
    </row>
    <row r="73">
      <c r="A73" s="141"/>
      <c r="B73" s="61" t="s">
        <v>3790</v>
      </c>
      <c r="C73" s="57" t="s">
        <v>43</v>
      </c>
      <c r="D73" s="61" t="s">
        <v>858</v>
      </c>
      <c r="E73" s="11" t="str">
        <f>HYPERLINK("https://youtu.be/-uo33Dp20sU?t=1867","channel 3")</f>
        <v>channel 3</v>
      </c>
    </row>
    <row r="74">
      <c r="A74" s="141"/>
      <c r="B74" s="61" t="s">
        <v>3789</v>
      </c>
      <c r="C74" s="57" t="s">
        <v>7</v>
      </c>
      <c r="D74" s="61" t="s">
        <v>3497</v>
      </c>
      <c r="E74" s="11" t="str">
        <f>HYPERLINK("https://youtu.be/4xDyQjFX_I8?t=1990","channel 4")</f>
        <v>channel 4</v>
      </c>
    </row>
    <row r="75">
      <c r="A75" s="141"/>
      <c r="B75" s="61" t="s">
        <v>3790</v>
      </c>
      <c r="C75" s="57" t="s">
        <v>250</v>
      </c>
      <c r="D75" s="61" t="s">
        <v>3188</v>
      </c>
      <c r="E75" s="11" t="str">
        <f>HYPERLINK("https://youtu.be/-uo33Dp20sU?t=2790","channel 3")</f>
        <v>channel 3</v>
      </c>
    </row>
    <row r="76">
      <c r="A76" s="141"/>
      <c r="B76" s="61" t="s">
        <v>858</v>
      </c>
      <c r="C76" s="57" t="s">
        <v>302</v>
      </c>
      <c r="D76" s="61" t="s">
        <v>3497</v>
      </c>
      <c r="E76" s="11" t="str">
        <f>HYPERLINK("https://youtu.be/4xDyQjFX_I8?t=2936","channel 4")</f>
        <v>channel 4</v>
      </c>
    </row>
    <row r="77">
      <c r="A77" s="141"/>
      <c r="B77" s="61" t="s">
        <v>3790</v>
      </c>
      <c r="C77" s="57" t="s">
        <v>41</v>
      </c>
      <c r="D77" s="61" t="s">
        <v>3789</v>
      </c>
      <c r="E77" s="11" t="str">
        <f>HYPERLINK("https://youtu.be/-uo33Dp20sU?t=3679","channel 3")</f>
        <v>channel 3</v>
      </c>
    </row>
    <row r="78">
      <c r="A78" s="141"/>
      <c r="B78" s="61" t="s">
        <v>858</v>
      </c>
      <c r="C78" s="57" t="s">
        <v>34</v>
      </c>
      <c r="D78" s="61" t="s">
        <v>3188</v>
      </c>
      <c r="E78" s="11" t="str">
        <f>HYPERLINK("https://youtu.be/4xDyQjFX_I8?t=3778","channel 4")</f>
        <v>channel 4</v>
      </c>
    </row>
    <row r="79">
      <c r="A79" s="141"/>
      <c r="B79" s="61" t="s">
        <v>3188</v>
      </c>
      <c r="C79" s="57" t="s">
        <v>3640</v>
      </c>
      <c r="D79" s="61" t="s">
        <v>3497</v>
      </c>
      <c r="E79" s="11" t="str">
        <f>HYPERLINK("https://youtu.be/-uo33Dp20sU?t=4696","channel 3")</f>
        <v>channel 3</v>
      </c>
    </row>
    <row r="80">
      <c r="A80" s="141"/>
      <c r="B80" s="61" t="s">
        <v>858</v>
      </c>
      <c r="C80" s="57" t="s">
        <v>17</v>
      </c>
      <c r="D80" s="61" t="s">
        <v>3789</v>
      </c>
      <c r="E80" s="11" t="str">
        <f>HYPERLINK("https://youtu.be/4xDyQjFX_I8?t=4673","channel 4")</f>
        <v>channel 4</v>
      </c>
    </row>
    <row r="81">
      <c r="A81" s="141"/>
      <c r="B81" s="61" t="s">
        <v>3497</v>
      </c>
      <c r="C81" s="57" t="s">
        <v>640</v>
      </c>
      <c r="D81" s="61" t="s">
        <v>3790</v>
      </c>
      <c r="E81" s="11" t="str">
        <f>HYPERLINK("https://youtu.be/-uo33Dp20sU?t=5606","channel 3")</f>
        <v>channel 3</v>
      </c>
    </row>
    <row r="82">
      <c r="A82" s="141"/>
      <c r="B82" s="61" t="s">
        <v>3188</v>
      </c>
      <c r="C82" s="57" t="s">
        <v>281</v>
      </c>
      <c r="D82" s="61" t="s">
        <v>3789</v>
      </c>
      <c r="E82" s="11" t="str">
        <f>HYPERLINK("https://youtu.be/4xDyQjFX_I8?t=5610","channel 4")</f>
        <v>channel 4</v>
      </c>
    </row>
    <row r="83">
      <c r="A83" s="141"/>
      <c r="B83" s="61" t="s">
        <v>858</v>
      </c>
      <c r="C83" s="57" t="s">
        <v>23</v>
      </c>
      <c r="D83" s="61" t="s">
        <v>3790</v>
      </c>
      <c r="E83" s="11" t="str">
        <f>HYPERLINK("https://youtu.be/-uo33Dp20sU?t=6579","channel 3")</f>
        <v>channel 3</v>
      </c>
    </row>
    <row r="84">
      <c r="A84" s="141"/>
      <c r="B84" s="61" t="s">
        <v>3497</v>
      </c>
      <c r="C84" s="57" t="s">
        <v>251</v>
      </c>
      <c r="D84" s="61" t="s">
        <v>3789</v>
      </c>
      <c r="E84" s="11" t="str">
        <f>HYPERLINK("https://youtu.be/4xDyQjFX_I8?t=6543","channel 4")</f>
        <v>channel 4</v>
      </c>
    </row>
    <row r="85">
      <c r="A85" s="141"/>
      <c r="B85" s="61" t="s">
        <v>3188</v>
      </c>
      <c r="C85" s="57" t="s">
        <v>1590</v>
      </c>
      <c r="D85" s="61" t="s">
        <v>3790</v>
      </c>
      <c r="E85" s="11" t="str">
        <f>HYPERLINK("https://youtu.be/-uo33Dp20sU?t=7474","channel 3")</f>
        <v>channel 3</v>
      </c>
    </row>
    <row r="86">
      <c r="A86" s="141"/>
      <c r="B86" s="61" t="s">
        <v>3497</v>
      </c>
      <c r="C86" s="57" t="s">
        <v>324</v>
      </c>
      <c r="D86" s="61" t="s">
        <v>858</v>
      </c>
      <c r="E86" s="11" t="str">
        <f>HYPERLINK("https://youtu.be/4xDyQjFX_I8?t=7435","channel 4")</f>
        <v>channel 4</v>
      </c>
    </row>
    <row r="87">
      <c r="A87" s="141"/>
      <c r="B87" s="61" t="s">
        <v>3789</v>
      </c>
      <c r="C87" s="57" t="s">
        <v>825</v>
      </c>
      <c r="D87" s="61" t="s">
        <v>3790</v>
      </c>
      <c r="E87" s="11" t="str">
        <f>HYPERLINK("https://youtu.be/-uo33Dp20sU?t=8411","channel 3")</f>
        <v>channel 3</v>
      </c>
    </row>
    <row r="88">
      <c r="A88" s="141"/>
      <c r="B88" s="61" t="s">
        <v>3188</v>
      </c>
      <c r="C88" s="57" t="s">
        <v>220</v>
      </c>
      <c r="D88" s="61" t="s">
        <v>858</v>
      </c>
      <c r="E88" s="11" t="str">
        <f>HYPERLINK("https://youtu.be/4xDyQjFX_I8?t=8364","channel 4")</f>
        <v>channel 4</v>
      </c>
    </row>
    <row r="89">
      <c r="A89" s="141"/>
      <c r="B89" s="96" t="s">
        <v>2653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154" t="s">
        <v>5</v>
      </c>
    </row>
    <row r="91">
      <c r="A91" s="141"/>
      <c r="B91" s="61" t="s">
        <v>3662</v>
      </c>
      <c r="C91" s="57" t="s">
        <v>233</v>
      </c>
      <c r="D91" s="61" t="s">
        <v>3791</v>
      </c>
      <c r="E91" s="11" t="str">
        <f>HYPERLINK("https://youtu.be/49pmzjqHwI8","channel 1")</f>
        <v>channel 1</v>
      </c>
    </row>
    <row r="92">
      <c r="A92" s="141"/>
      <c r="B92" s="61" t="s">
        <v>3792</v>
      </c>
      <c r="C92" s="57" t="s">
        <v>1120</v>
      </c>
      <c r="D92" s="61" t="s">
        <v>3301</v>
      </c>
      <c r="E92" s="11" t="str">
        <f>HYPERLINK("https://youtu.be/epBtfhYiZBc","channel 2")</f>
        <v>channel 2</v>
      </c>
    </row>
    <row r="93">
      <c r="A93" s="141"/>
      <c r="B93" s="61" t="s">
        <v>3643</v>
      </c>
      <c r="C93" s="57" t="s">
        <v>849</v>
      </c>
      <c r="D93" s="61" t="s">
        <v>3662</v>
      </c>
      <c r="E93" s="11" t="str">
        <f>HYPERLINK("https://youtu.be/49pmzjqHwI8?t=1052","channel 1")</f>
        <v>channel 1</v>
      </c>
    </row>
    <row r="94">
      <c r="A94" s="141"/>
      <c r="B94" s="61" t="s">
        <v>3792</v>
      </c>
      <c r="C94" s="57" t="s">
        <v>302</v>
      </c>
      <c r="D94" s="61" t="s">
        <v>3791</v>
      </c>
      <c r="E94" s="11" t="str">
        <f>HYPERLINK("https://youtu.be/epBtfhYiZBc?t=1062","channel 2")</f>
        <v>channel 2</v>
      </c>
    </row>
    <row r="95">
      <c r="A95" s="141"/>
      <c r="B95" s="61" t="s">
        <v>3643</v>
      </c>
      <c r="C95" s="57" t="s">
        <v>41</v>
      </c>
      <c r="D95" s="61" t="s">
        <v>3301</v>
      </c>
      <c r="E95" s="11" t="str">
        <f>HYPERLINK("https://youtu.be/49pmzjqHwI8?t=2018","channel 1")</f>
        <v>channel 1</v>
      </c>
    </row>
    <row r="96">
      <c r="A96" s="141"/>
      <c r="B96" s="61" t="s">
        <v>3792</v>
      </c>
      <c r="C96" s="57" t="s">
        <v>182</v>
      </c>
      <c r="D96" s="61" t="s">
        <v>3662</v>
      </c>
      <c r="E96" s="11" t="str">
        <f>HYPERLINK("https://youtu.be/epBtfhYiZBc?t=2044","channel 2")</f>
        <v>channel 2</v>
      </c>
    </row>
    <row r="97">
      <c r="A97" s="141"/>
      <c r="B97" s="61" t="s">
        <v>3643</v>
      </c>
      <c r="C97" s="57" t="s">
        <v>162</v>
      </c>
      <c r="D97" s="61" t="s">
        <v>3791</v>
      </c>
      <c r="E97" s="11" t="str">
        <f>HYPERLINK("https://youtu.be/49pmzjqHwI8?t=3009","channel 1")</f>
        <v>channel 1</v>
      </c>
    </row>
    <row r="98">
      <c r="A98" s="141"/>
      <c r="B98" s="61" t="s">
        <v>3301</v>
      </c>
      <c r="C98" s="57" t="s">
        <v>425</v>
      </c>
      <c r="D98" s="61" t="s">
        <v>3662</v>
      </c>
      <c r="E98" s="11" t="str">
        <f>HYPERLINK("https://youtu.be/epBtfhYiZBc?t=3021","channel 2")</f>
        <v>channel 2</v>
      </c>
    </row>
    <row r="99">
      <c r="A99" s="141"/>
      <c r="B99" s="61" t="s">
        <v>3643</v>
      </c>
      <c r="C99" s="57" t="s">
        <v>19</v>
      </c>
      <c r="D99" s="61" t="s">
        <v>3792</v>
      </c>
      <c r="E99" s="11" t="str">
        <f>HYPERLINK("https://youtu.be/49pmzjqHwI8?t=3927","channel 1")</f>
        <v>channel 1</v>
      </c>
    </row>
    <row r="100">
      <c r="A100" s="141"/>
      <c r="B100" s="61" t="s">
        <v>3301</v>
      </c>
      <c r="C100" s="57" t="s">
        <v>7</v>
      </c>
      <c r="D100" s="61" t="s">
        <v>3791</v>
      </c>
      <c r="E100" s="11" t="str">
        <f>HYPERLINK("https://youtu.be/epBtfhYiZBc?t=4001","channel 2")</f>
        <v>channel 2</v>
      </c>
    </row>
    <row r="101">
      <c r="A101" s="141"/>
      <c r="B101" s="61" t="s">
        <v>3791</v>
      </c>
      <c r="C101" s="57" t="s">
        <v>205</v>
      </c>
      <c r="D101" s="61" t="s">
        <v>3662</v>
      </c>
      <c r="E101" s="11" t="str">
        <f>HYPERLINK("https://youtu.be/49pmzjqHwI8?t=4914","channel 1")</f>
        <v>channel 1</v>
      </c>
    </row>
    <row r="102">
      <c r="A102" s="141"/>
      <c r="B102" s="61" t="s">
        <v>3301</v>
      </c>
      <c r="C102" s="57" t="s">
        <v>549</v>
      </c>
      <c r="D102" s="61" t="s">
        <v>3792</v>
      </c>
      <c r="E102" s="11" t="str">
        <f>HYPERLINK("https://youtu.be/epBtfhYiZBc?t=4971","channel 2")</f>
        <v>channel 2</v>
      </c>
    </row>
    <row r="103">
      <c r="A103" s="141"/>
      <c r="B103" s="61" t="s">
        <v>3662</v>
      </c>
      <c r="C103" s="57" t="s">
        <v>233</v>
      </c>
      <c r="D103" s="61" t="s">
        <v>3643</v>
      </c>
      <c r="E103" s="11" t="str">
        <f>HYPERLINK("https://youtu.be/49pmzjqHwI8?t=5876","channel 1")</f>
        <v>channel 1</v>
      </c>
    </row>
    <row r="104">
      <c r="A104" s="141"/>
      <c r="B104" s="61" t="s">
        <v>3791</v>
      </c>
      <c r="C104" s="57" t="s">
        <v>162</v>
      </c>
      <c r="D104" s="61" t="s">
        <v>3792</v>
      </c>
      <c r="E104" s="11" t="str">
        <f>HYPERLINK("https://youtu.be/epBtfhYiZBc?t=5967","channel 2")</f>
        <v>channel 2</v>
      </c>
    </row>
    <row r="105">
      <c r="A105" s="141"/>
      <c r="B105" s="61" t="s">
        <v>3301</v>
      </c>
      <c r="C105" s="57" t="s">
        <v>43</v>
      </c>
      <c r="D105" s="61" t="s">
        <v>3643</v>
      </c>
      <c r="E105" s="11" t="str">
        <f>HYPERLINK("https://youtu.be/49pmzjqHwI8?t=6889","channel 1")</f>
        <v>channel 1</v>
      </c>
    </row>
    <row r="106">
      <c r="A106" s="141"/>
      <c r="B106" s="61" t="s">
        <v>3662</v>
      </c>
      <c r="C106" s="57" t="s">
        <v>194</v>
      </c>
      <c r="D106" s="61" t="s">
        <v>3792</v>
      </c>
      <c r="E106" s="11" t="str">
        <f>HYPERLINK("https://youtu.be/epBtfhYiZBc?t=6860","channel 2")</f>
        <v>channel 2</v>
      </c>
    </row>
    <row r="107">
      <c r="A107" s="141"/>
      <c r="B107" s="61" t="s">
        <v>3791</v>
      </c>
      <c r="C107" s="57" t="s">
        <v>459</v>
      </c>
      <c r="D107" s="61" t="s">
        <v>3643</v>
      </c>
      <c r="E107" s="11" t="str">
        <f>HYPERLINK("https://youtu.be/49pmzjqHwI8?t=7795","channel 1")</f>
        <v>channel 1</v>
      </c>
    </row>
    <row r="108">
      <c r="A108" s="141"/>
      <c r="B108" s="61" t="s">
        <v>3662</v>
      </c>
      <c r="C108" s="57" t="s">
        <v>293</v>
      </c>
      <c r="D108" s="61" t="s">
        <v>3301</v>
      </c>
      <c r="E108" s="11" t="str">
        <f>HYPERLINK("https://youtu.be/epBtfhYiZBc?t=7894","channel 2")</f>
        <v>channel 2</v>
      </c>
    </row>
    <row r="109">
      <c r="A109" s="141"/>
      <c r="B109" s="61" t="s">
        <v>3792</v>
      </c>
      <c r="C109" s="57" t="s">
        <v>315</v>
      </c>
      <c r="D109" s="61" t="s">
        <v>3643</v>
      </c>
      <c r="E109" s="11" t="str">
        <f>HYPERLINK("https://youtu.be/49pmzjqHwI8?t=8659","channel 1")</f>
        <v>channel 1</v>
      </c>
    </row>
    <row r="110">
      <c r="A110" s="141"/>
      <c r="B110" s="61" t="s">
        <v>3791</v>
      </c>
      <c r="C110" s="57" t="s">
        <v>17</v>
      </c>
      <c r="D110" s="61" t="s">
        <v>3301</v>
      </c>
      <c r="E110" s="11" t="str">
        <f>HYPERLINK("https://youtu.be/epBtfhYiZBc?t=8803","channel 2")</f>
        <v>channel 2</v>
      </c>
    </row>
    <row r="111">
      <c r="A111" s="141"/>
      <c r="B111" s="96" t="s">
        <v>1560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3793</v>
      </c>
      <c r="C113" s="57" t="s">
        <v>2064</v>
      </c>
      <c r="D113" s="61" t="s">
        <v>1634</v>
      </c>
      <c r="E113" s="11" t="str">
        <f>HYPERLINK("https://youtu.be/Of_jAz8q5NM","channel 1")</f>
        <v>channel 1</v>
      </c>
    </row>
    <row r="114">
      <c r="A114" s="141"/>
      <c r="B114" s="61" t="s">
        <v>3594</v>
      </c>
      <c r="C114" s="57" t="s">
        <v>205</v>
      </c>
      <c r="D114" s="61" t="s">
        <v>3257</v>
      </c>
      <c r="E114" s="11" t="str">
        <f>HYPERLINK("https://youtu.be/uBlQPgLeOyA","channel 2")</f>
        <v>channel 2</v>
      </c>
    </row>
    <row r="115">
      <c r="A115" s="141"/>
      <c r="B115" s="61" t="s">
        <v>3786</v>
      </c>
      <c r="C115" s="57" t="s">
        <v>2281</v>
      </c>
      <c r="D115" s="61" t="s">
        <v>3793</v>
      </c>
      <c r="E115" s="11" t="str">
        <f>HYPERLINK("https://youtu.be/Of_jAz8q5NM?t=1110","channel 1")</f>
        <v>channel 1</v>
      </c>
    </row>
    <row r="116">
      <c r="A116" s="141"/>
      <c r="B116" s="61" t="s">
        <v>3594</v>
      </c>
      <c r="C116" s="57" t="s">
        <v>239</v>
      </c>
      <c r="D116" s="61" t="s">
        <v>1634</v>
      </c>
      <c r="E116" s="11" t="str">
        <f>HYPERLINK("https://youtu.be/uBlQPgLeOyA?t=1043","channel 2")</f>
        <v>channel 2</v>
      </c>
    </row>
    <row r="117">
      <c r="A117" s="141"/>
      <c r="B117" s="61" t="s">
        <v>3786</v>
      </c>
      <c r="C117" s="57" t="s">
        <v>278</v>
      </c>
      <c r="D117" s="61" t="s">
        <v>3257</v>
      </c>
      <c r="E117" s="11" t="str">
        <f>HYPERLINK("https://youtu.be/Of_jAz8q5NM?t=2096","channel 1")</f>
        <v>channel 1</v>
      </c>
    </row>
    <row r="118">
      <c r="A118" s="141"/>
      <c r="B118" s="61" t="s">
        <v>3594</v>
      </c>
      <c r="C118" s="57" t="s">
        <v>181</v>
      </c>
      <c r="D118" s="61" t="s">
        <v>3793</v>
      </c>
      <c r="E118" s="11" t="str">
        <f>HYPERLINK("https://youtu.be/uBlQPgLeOyA?t=2004","channel 2")</f>
        <v>channel 2</v>
      </c>
    </row>
    <row r="119">
      <c r="A119" s="141"/>
      <c r="B119" s="61" t="s">
        <v>3786</v>
      </c>
      <c r="C119" s="57" t="s">
        <v>18</v>
      </c>
      <c r="D119" s="61" t="s">
        <v>1634</v>
      </c>
      <c r="E119" s="11" t="str">
        <f>HYPERLINK("https://youtu.be/Of_jAz8q5NM?t=3070","channel 1")</f>
        <v>channel 1</v>
      </c>
    </row>
    <row r="120">
      <c r="A120" s="141"/>
      <c r="B120" s="61" t="s">
        <v>3257</v>
      </c>
      <c r="C120" s="57" t="s">
        <v>193</v>
      </c>
      <c r="D120" s="61" t="s">
        <v>3793</v>
      </c>
      <c r="E120" s="11" t="str">
        <f>HYPERLINK("https://youtu.be/uBlQPgLeOyA?t=2978","channel 2")</f>
        <v>channel 2</v>
      </c>
    </row>
    <row r="121">
      <c r="A121" s="141"/>
      <c r="B121" s="61" t="s">
        <v>3786</v>
      </c>
      <c r="C121" s="57" t="s">
        <v>292</v>
      </c>
      <c r="D121" s="61" t="s">
        <v>3594</v>
      </c>
      <c r="E121" s="11" t="str">
        <f>HYPERLINK("https://youtu.be/Of_jAz8q5NM?t=3953","channel 1")</f>
        <v>channel 1</v>
      </c>
    </row>
    <row r="122">
      <c r="A122" s="141"/>
      <c r="B122" s="61" t="s">
        <v>3257</v>
      </c>
      <c r="C122" s="57" t="s">
        <v>18</v>
      </c>
      <c r="D122" s="61" t="s">
        <v>1634</v>
      </c>
      <c r="E122" s="11" t="str">
        <f>HYPERLINK("https://youtu.be/uBlQPgLeOyA?t=3895","channel 2")</f>
        <v>channel 2</v>
      </c>
    </row>
    <row r="123">
      <c r="A123" s="141"/>
      <c r="B123" s="61" t="s">
        <v>1634</v>
      </c>
      <c r="C123" s="57" t="s">
        <v>362</v>
      </c>
      <c r="D123" s="61" t="s">
        <v>3793</v>
      </c>
      <c r="E123" s="11" t="str">
        <f>HYPERLINK("https://youtu.be/Of_jAz8q5NM?t=4925","channel 1")</f>
        <v>channel 1</v>
      </c>
    </row>
    <row r="124">
      <c r="A124" s="141"/>
      <c r="B124" s="61" t="s">
        <v>3257</v>
      </c>
      <c r="C124" s="57" t="s">
        <v>231</v>
      </c>
      <c r="D124" s="61" t="s">
        <v>3594</v>
      </c>
      <c r="E124" s="11" t="str">
        <f>HYPERLINK("https://youtu.be/uBlQPgLeOyA?t=4877","channel 2")</f>
        <v>channel 2</v>
      </c>
    </row>
    <row r="125">
      <c r="A125" s="141"/>
      <c r="B125" s="61" t="s">
        <v>3793</v>
      </c>
      <c r="C125" s="57" t="s">
        <v>394</v>
      </c>
      <c r="D125" s="61" t="s">
        <v>3786</v>
      </c>
      <c r="E125" s="11" t="str">
        <f>HYPERLINK("https://youtu.be/Of_jAz8q5NM?t=5884","channel 1")</f>
        <v>channel 1</v>
      </c>
    </row>
    <row r="126">
      <c r="A126" s="141"/>
      <c r="B126" s="61" t="s">
        <v>1634</v>
      </c>
      <c r="C126" s="57" t="s">
        <v>250</v>
      </c>
      <c r="D126" s="61" t="s">
        <v>3594</v>
      </c>
      <c r="E126" s="11" t="str">
        <f>HYPERLINK("https://youtu.be/uBlQPgLeOyA?t=5891","channel 2")</f>
        <v>channel 2</v>
      </c>
    </row>
    <row r="127">
      <c r="A127" s="141"/>
      <c r="B127" s="61" t="s">
        <v>3257</v>
      </c>
      <c r="C127" s="57" t="s">
        <v>335</v>
      </c>
      <c r="D127" s="61" t="s">
        <v>3786</v>
      </c>
      <c r="E127" s="11" t="str">
        <f>HYPERLINK("https://youtu.be/Of_jAz8q5NM?t=6876","channel 1")</f>
        <v>channel 1</v>
      </c>
    </row>
    <row r="128">
      <c r="A128" s="141"/>
      <c r="B128" s="61" t="s">
        <v>3793</v>
      </c>
      <c r="C128" s="57" t="s">
        <v>898</v>
      </c>
      <c r="D128" s="61" t="s">
        <v>3594</v>
      </c>
      <c r="E128" s="11" t="str">
        <f>HYPERLINK("https://youtu.be/uBlQPgLeOyA?t=6812","channel 2")</f>
        <v>channel 2</v>
      </c>
    </row>
    <row r="129">
      <c r="A129" s="141"/>
      <c r="B129" s="61" t="s">
        <v>1634</v>
      </c>
      <c r="C129" s="57" t="s">
        <v>219</v>
      </c>
      <c r="D129" s="61" t="s">
        <v>3786</v>
      </c>
      <c r="E129" s="11" t="str">
        <f>HYPERLINK("https://youtu.be/Of_jAz8q5NM?t=7772","channel 1")</f>
        <v>channel 1</v>
      </c>
    </row>
    <row r="130">
      <c r="A130" s="141"/>
      <c r="B130" s="61" t="s">
        <v>3793</v>
      </c>
      <c r="C130" s="57" t="s">
        <v>531</v>
      </c>
      <c r="D130" s="61" t="s">
        <v>3257</v>
      </c>
      <c r="E130" s="11" t="str">
        <f>HYPERLINK("https://youtu.be/uBlQPgLeOyA?t=7708","channel 2")</f>
        <v>channel 2</v>
      </c>
    </row>
    <row r="131">
      <c r="A131" s="141"/>
      <c r="B131" s="61" t="s">
        <v>3594</v>
      </c>
      <c r="C131" s="57" t="s">
        <v>219</v>
      </c>
      <c r="D131" s="61" t="s">
        <v>3786</v>
      </c>
      <c r="E131" s="11" t="str">
        <f>HYPERLINK("https://youtu.be/Of_jAz8q5NM?t=8645","channel 1")</f>
        <v>channel 1</v>
      </c>
    </row>
    <row r="132">
      <c r="A132" s="145"/>
      <c r="B132" s="61" t="s">
        <v>1634</v>
      </c>
      <c r="C132" s="57" t="s">
        <v>160</v>
      </c>
      <c r="D132" s="61" t="s">
        <v>3257</v>
      </c>
      <c r="E132" s="11" t="str">
        <f>HYPERLINK("https://youtu.be/uBlQPgLeOyA?t=8629","channel 2")</f>
        <v>channel 2</v>
      </c>
    </row>
    <row r="133">
      <c r="B133" s="96" t="s">
        <v>2820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3794</v>
      </c>
      <c r="C135" s="57" t="s">
        <v>162</v>
      </c>
      <c r="D135" s="61" t="s">
        <v>3795</v>
      </c>
      <c r="E135" s="155" t="str">
        <f>HYPERLINK("https://youtu.be/96fXxed17yY","channel 3")</f>
        <v>channel 3</v>
      </c>
    </row>
    <row r="136">
      <c r="B136" s="62" t="s">
        <v>3796</v>
      </c>
      <c r="C136" s="57" t="s">
        <v>19</v>
      </c>
      <c r="D136" s="61" t="s">
        <v>3797</v>
      </c>
      <c r="E136" s="155" t="str">
        <f>HYPERLINK("https://youtu.be/lvCb9OWUG1o","channel 4")</f>
        <v>channel 4</v>
      </c>
    </row>
    <row r="137">
      <c r="B137" s="62" t="s">
        <v>3798</v>
      </c>
      <c r="C137" s="57" t="s">
        <v>352</v>
      </c>
      <c r="D137" s="61" t="s">
        <v>3794</v>
      </c>
      <c r="E137" s="155" t="str">
        <f>HYPERLINK("https://youtu.be/96fXxed17yY?t=941","channel 3")</f>
        <v>channel 3</v>
      </c>
    </row>
    <row r="138">
      <c r="B138" s="62" t="s">
        <v>3796</v>
      </c>
      <c r="C138" s="57" t="s">
        <v>182</v>
      </c>
      <c r="D138" s="61" t="s">
        <v>3795</v>
      </c>
      <c r="E138" s="155" t="str">
        <f>HYPERLINK("https://youtu.be/lvCb9OWUG1o?t=955","channel 4")</f>
        <v>channel 4</v>
      </c>
    </row>
    <row r="139">
      <c r="B139" s="62" t="s">
        <v>3798</v>
      </c>
      <c r="C139" s="57" t="s">
        <v>181</v>
      </c>
      <c r="D139" s="61" t="s">
        <v>3797</v>
      </c>
      <c r="E139" s="155" t="str">
        <f>HYPERLINK("https://youtu.be/96fXxed17yY?t=1854","channel 3")</f>
        <v>channel 3</v>
      </c>
    </row>
    <row r="140">
      <c r="B140" s="62" t="s">
        <v>3796</v>
      </c>
      <c r="C140" s="57" t="s">
        <v>178</v>
      </c>
      <c r="D140" s="61" t="s">
        <v>3794</v>
      </c>
      <c r="E140" s="155" t="str">
        <f>HYPERLINK("https://youtu.be/lvCb9OWUG1o?t=1859","channel 4")</f>
        <v>channel 4</v>
      </c>
    </row>
    <row r="141">
      <c r="B141" s="62" t="s">
        <v>3798</v>
      </c>
      <c r="C141" s="57" t="s">
        <v>1590</v>
      </c>
      <c r="D141" s="61" t="s">
        <v>3795</v>
      </c>
      <c r="E141" s="155" t="str">
        <f>HYPERLINK("https://youtu.be/96fXxed17yY?t=2758","channel 3")</f>
        <v>channel 3</v>
      </c>
    </row>
    <row r="142">
      <c r="B142" s="62" t="s">
        <v>3797</v>
      </c>
      <c r="C142" s="57" t="s">
        <v>24</v>
      </c>
      <c r="D142" s="61" t="s">
        <v>3794</v>
      </c>
      <c r="E142" s="156" t="str">
        <f>HYPERLINK("https://youtu.be/lvCb9OWUG1o?t=2835","channel 4")</f>
        <v>channel 4</v>
      </c>
    </row>
    <row r="143">
      <c r="B143" s="62" t="s">
        <v>3798</v>
      </c>
      <c r="C143" s="57" t="s">
        <v>380</v>
      </c>
      <c r="D143" s="61" t="s">
        <v>3796</v>
      </c>
      <c r="E143" s="155" t="str">
        <f>HYPERLINK("https://youtu.be/96fXxed17yY?t=3724","channel 3")</f>
        <v>channel 3</v>
      </c>
    </row>
    <row r="144">
      <c r="B144" s="62" t="s">
        <v>3797</v>
      </c>
      <c r="C144" s="57" t="s">
        <v>219</v>
      </c>
      <c r="D144" s="61" t="s">
        <v>3795</v>
      </c>
      <c r="E144" s="155" t="str">
        <f>HYPERLINK("https://youtu.be/lvCb9OWUG1o?t=3742","channel 4")</f>
        <v>channel 4</v>
      </c>
    </row>
    <row r="145">
      <c r="B145" s="62" t="s">
        <v>3795</v>
      </c>
      <c r="C145" s="57" t="s">
        <v>1153</v>
      </c>
      <c r="D145" s="61" t="s">
        <v>3794</v>
      </c>
      <c r="E145" s="156" t="str">
        <f>HYPERLINK("https://youtu.be/96fXxed17yY?t=4751","channel 3")</f>
        <v>channel 3</v>
      </c>
    </row>
    <row r="146">
      <c r="B146" s="62" t="s">
        <v>3797</v>
      </c>
      <c r="C146" s="57" t="s">
        <v>173</v>
      </c>
      <c r="D146" s="61" t="s">
        <v>3796</v>
      </c>
      <c r="E146" s="155" t="str">
        <f>HYPERLINK("https://youtu.be/lvCb9OWUG1o?t=4635","channel 4")</f>
        <v>channel 4</v>
      </c>
    </row>
    <row r="147">
      <c r="B147" s="62" t="s">
        <v>3794</v>
      </c>
      <c r="C147" s="57" t="s">
        <v>507</v>
      </c>
      <c r="D147" s="61" t="s">
        <v>3798</v>
      </c>
      <c r="E147" s="156" t="str">
        <f>HYPERLINK("https://youtu.be/96fXxed17yY?t=5658","channel 3")</f>
        <v>channel 3</v>
      </c>
    </row>
    <row r="148">
      <c r="B148" s="62" t="s">
        <v>3795</v>
      </c>
      <c r="C148" s="57" t="s">
        <v>19</v>
      </c>
      <c r="D148" s="61" t="s">
        <v>3796</v>
      </c>
      <c r="E148" s="155" t="str">
        <f>HYPERLINK("https://youtu.be/lvCb9OWUG1o?t=5564","channel 4")</f>
        <v>channel 4</v>
      </c>
    </row>
    <row r="149">
      <c r="B149" s="62" t="s">
        <v>3797</v>
      </c>
      <c r="C149" s="57" t="s">
        <v>7</v>
      </c>
      <c r="D149" s="61" t="s">
        <v>3798</v>
      </c>
      <c r="E149" s="156" t="str">
        <f>HYPERLINK("https://youtu.be/96fXxed17yY?t=6616","channel 3")</f>
        <v>channel 3</v>
      </c>
    </row>
    <row r="150">
      <c r="B150" s="62" t="s">
        <v>3794</v>
      </c>
      <c r="C150" s="57" t="s">
        <v>23</v>
      </c>
      <c r="D150" s="61" t="s">
        <v>3796</v>
      </c>
      <c r="E150" s="155" t="str">
        <f>HYPERLINK("https://youtu.be/lvCb9OWUG1o?t=6643","channel 4")</f>
        <v>channel 4</v>
      </c>
    </row>
    <row r="151">
      <c r="B151" s="62" t="s">
        <v>3795</v>
      </c>
      <c r="C151" s="57" t="s">
        <v>208</v>
      </c>
      <c r="D151" s="61" t="s">
        <v>3798</v>
      </c>
      <c r="E151" s="155" t="str">
        <f>HYPERLINK("https://youtu.be/96fXxed17yY?t=7515","channel 3")</f>
        <v>channel 3</v>
      </c>
    </row>
    <row r="152">
      <c r="B152" s="62" t="s">
        <v>3794</v>
      </c>
      <c r="C152" s="57" t="s">
        <v>394</v>
      </c>
      <c r="D152" s="61" t="s">
        <v>3797</v>
      </c>
      <c r="E152" s="155" t="str">
        <f>HYPERLINK("https://youtu.be/lvCb9OWUG1o?t=7611","channel 4")</f>
        <v>channel 4</v>
      </c>
    </row>
    <row r="153">
      <c r="B153" s="62" t="s">
        <v>3796</v>
      </c>
      <c r="C153" s="57" t="s">
        <v>210</v>
      </c>
      <c r="D153" s="61" t="s">
        <v>3798</v>
      </c>
      <c r="E153" s="155" t="str">
        <f>HYPERLINK("https://youtu.be/96fXxed17yY?t=8402","channel 3")</f>
        <v>channel 3</v>
      </c>
    </row>
    <row r="154">
      <c r="B154" s="62" t="s">
        <v>3795</v>
      </c>
      <c r="C154" s="57" t="s">
        <v>189</v>
      </c>
      <c r="D154" s="62" t="s">
        <v>3797</v>
      </c>
      <c r="E154" s="155" t="str">
        <f>HYPERLINK("https://youtu.be/lvCb9OWUG1o?t=8547","channel 4")</f>
        <v>channel 4</v>
      </c>
    </row>
    <row r="155">
      <c r="B155" s="96" t="s">
        <v>2862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3382</v>
      </c>
      <c r="C157" s="57" t="s">
        <v>158</v>
      </c>
      <c r="D157" s="62" t="s">
        <v>3799</v>
      </c>
      <c r="E157" s="11" t="str">
        <f>HYPERLINK("https://youtu.be/m5N72dvwb3c","channel 3")</f>
        <v>channel 3</v>
      </c>
    </row>
    <row r="158">
      <c r="B158" s="56" t="s">
        <v>3800</v>
      </c>
      <c r="C158" s="57" t="s">
        <v>185</v>
      </c>
      <c r="D158" s="62" t="s">
        <v>3801</v>
      </c>
      <c r="E158" s="11" t="str">
        <f>HYPERLINK("https://youtu.be/N1FsdJPbayc","channel 4")</f>
        <v>channel 4</v>
      </c>
    </row>
    <row r="159">
      <c r="B159" s="62" t="s">
        <v>3802</v>
      </c>
      <c r="C159" s="57" t="s">
        <v>23</v>
      </c>
      <c r="D159" s="62" t="s">
        <v>3382</v>
      </c>
      <c r="E159" s="11" t="str">
        <f>HYPERLINK("https://youtu.be/m5N72dvwb3c?t=939","channel 3")</f>
        <v>channel 3</v>
      </c>
    </row>
    <row r="160">
      <c r="B160" s="56" t="s">
        <v>3800</v>
      </c>
      <c r="C160" s="57" t="s">
        <v>357</v>
      </c>
      <c r="D160" s="62" t="s">
        <v>3799</v>
      </c>
      <c r="E160" s="11" t="str">
        <f>HYPERLINK("https://youtu.be/N1FsdJPbayc?t=957","channel 4")</f>
        <v>channel 4</v>
      </c>
    </row>
    <row r="161">
      <c r="B161" s="62" t="s">
        <v>3802</v>
      </c>
      <c r="C161" s="57" t="s">
        <v>177</v>
      </c>
      <c r="D161" s="62" t="s">
        <v>3801</v>
      </c>
      <c r="E161" s="11" t="str">
        <f>HYPERLINK("https://youtu.be/m5N72dvwb3c?t=1919","channel 3")</f>
        <v>channel 3</v>
      </c>
    </row>
    <row r="162">
      <c r="B162" s="56" t="s">
        <v>3800</v>
      </c>
      <c r="C162" s="57" t="s">
        <v>324</v>
      </c>
      <c r="D162" s="62" t="s">
        <v>3382</v>
      </c>
      <c r="E162" s="11" t="str">
        <f>HYPERLINK("https://youtu.be/N1FsdJPbayc?t=1868","channel 4")</f>
        <v>channel 4</v>
      </c>
    </row>
    <row r="163">
      <c r="B163" s="62" t="s">
        <v>3802</v>
      </c>
      <c r="C163" s="57" t="s">
        <v>376</v>
      </c>
      <c r="D163" s="62" t="s">
        <v>3799</v>
      </c>
      <c r="E163" s="11" t="str">
        <f>HYPERLINK("https://youtu.be/m5N72dvwb3c?t=2780","channel 3")</f>
        <v>channel 3</v>
      </c>
    </row>
    <row r="164">
      <c r="B164" s="62" t="s">
        <v>3801</v>
      </c>
      <c r="C164" s="57" t="s">
        <v>158</v>
      </c>
      <c r="D164" s="62" t="s">
        <v>3382</v>
      </c>
      <c r="E164" s="11" t="str">
        <f>HYPERLINK("https://youtu.be/N1FsdJPbayc?t=2834","channel 4")</f>
        <v>channel 4</v>
      </c>
    </row>
    <row r="165">
      <c r="B165" s="62" t="s">
        <v>3802</v>
      </c>
      <c r="C165" s="57" t="s">
        <v>173</v>
      </c>
      <c r="D165" s="56" t="s">
        <v>3800</v>
      </c>
      <c r="E165" s="11" t="str">
        <f>HYPERLINK("https://youtu.be/m5N72dvwb3c?t=3703","channel 3")</f>
        <v>channel 3</v>
      </c>
    </row>
    <row r="166">
      <c r="B166" s="62" t="s">
        <v>3801</v>
      </c>
      <c r="C166" s="57" t="s">
        <v>155</v>
      </c>
      <c r="D166" s="62" t="s">
        <v>3799</v>
      </c>
      <c r="E166" s="11" t="str">
        <f>HYPERLINK("https://youtu.be/N1FsdJPbayc?t=3707","channel 4")</f>
        <v>channel 4</v>
      </c>
    </row>
    <row r="167">
      <c r="B167" s="62" t="s">
        <v>3799</v>
      </c>
      <c r="C167" s="57" t="s">
        <v>193</v>
      </c>
      <c r="D167" s="62" t="s">
        <v>3382</v>
      </c>
      <c r="E167" s="11" t="str">
        <f>HYPERLINK("https://youtu.be/m5N72dvwb3c?t=4726","channel 3")</f>
        <v>channel 3</v>
      </c>
    </row>
    <row r="168">
      <c r="B168" s="62" t="s">
        <v>3801</v>
      </c>
      <c r="C168" s="57" t="s">
        <v>209</v>
      </c>
      <c r="D168" s="56" t="s">
        <v>3800</v>
      </c>
      <c r="E168" s="11" t="str">
        <f>HYPERLINK("https://youtu.be/N1FsdJPbayc?t=4747","channel 4")</f>
        <v>channel 4</v>
      </c>
    </row>
    <row r="169">
      <c r="B169" s="62" t="s">
        <v>3382</v>
      </c>
      <c r="C169" s="57" t="s">
        <v>289</v>
      </c>
      <c r="D169" s="62" t="s">
        <v>3802</v>
      </c>
      <c r="E169" s="11" t="str">
        <f>HYPERLINK("https://youtu.be/m5N72dvwb3c?t=5665","channel 3")</f>
        <v>channel 3</v>
      </c>
    </row>
    <row r="170">
      <c r="B170" s="62" t="s">
        <v>3799</v>
      </c>
      <c r="C170" s="57" t="s">
        <v>187</v>
      </c>
      <c r="D170" s="56" t="s">
        <v>3800</v>
      </c>
      <c r="E170" s="11" t="str">
        <f>HYPERLINK("https://youtu.be/N1FsdJPbayc?t=5651","channel 4")</f>
        <v>channel 4</v>
      </c>
    </row>
    <row r="171">
      <c r="B171" s="62" t="s">
        <v>3801</v>
      </c>
      <c r="C171" s="57" t="s">
        <v>158</v>
      </c>
      <c r="D171" s="62" t="s">
        <v>3802</v>
      </c>
      <c r="E171" s="11" t="str">
        <f>HYPERLINK("https://youtu.be/m5N72dvwb3c?t=6618","channel 3")</f>
        <v>channel 3</v>
      </c>
    </row>
    <row r="172">
      <c r="B172" s="62" t="s">
        <v>3382</v>
      </c>
      <c r="C172" s="57" t="s">
        <v>230</v>
      </c>
      <c r="D172" s="56" t="s">
        <v>3800</v>
      </c>
      <c r="E172" s="11" t="str">
        <f>HYPERLINK("https://youtu.be/N1FsdJPbayc?t=6685","channel 4")</f>
        <v>channel 4</v>
      </c>
    </row>
    <row r="173">
      <c r="B173" s="62" t="s">
        <v>3799</v>
      </c>
      <c r="C173" s="57" t="s">
        <v>155</v>
      </c>
      <c r="D173" s="62" t="s">
        <v>3802</v>
      </c>
      <c r="E173" s="11" t="str">
        <f>HYPERLINK("https://youtu.be/m5N72dvwb3c?t=7548","channel 3")</f>
        <v>channel 3</v>
      </c>
    </row>
    <row r="174">
      <c r="B174" s="62" t="s">
        <v>3382</v>
      </c>
      <c r="C174" s="57" t="s">
        <v>41</v>
      </c>
      <c r="D174" s="62" t="s">
        <v>3801</v>
      </c>
      <c r="E174" s="11" t="str">
        <f>HYPERLINK("https://youtu.be/N1FsdJPbayc?t=7587","channel 4")</f>
        <v>channel 4</v>
      </c>
    </row>
    <row r="175">
      <c r="B175" s="56" t="s">
        <v>3800</v>
      </c>
      <c r="C175" s="57" t="s">
        <v>264</v>
      </c>
      <c r="D175" s="62" t="s">
        <v>3802</v>
      </c>
      <c r="E175" s="11" t="str">
        <f>HYPERLINK("https://youtu.be/m5N72dvwb3c?t=8501","channel 3")</f>
        <v>channel 3</v>
      </c>
    </row>
    <row r="176">
      <c r="B176" s="62" t="s">
        <v>3799</v>
      </c>
      <c r="C176" s="57" t="s">
        <v>195</v>
      </c>
      <c r="D176" s="62" t="s">
        <v>3801</v>
      </c>
      <c r="E176" s="11" t="str">
        <f>HYPERLINK("https://youtu.be/N1FsdJPbayc?t=8479","channel 4")</f>
        <v>channel 4</v>
      </c>
    </row>
    <row r="177">
      <c r="B177" s="96" t="s">
        <v>2828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2058</v>
      </c>
      <c r="C179" s="57" t="s">
        <v>16</v>
      </c>
      <c r="D179" s="62" t="s">
        <v>3203</v>
      </c>
      <c r="E179" s="11" t="str">
        <f>HYPERLINK("https://youtu.be/FHy-h6mDw5c","channel 1")</f>
        <v>channel 1</v>
      </c>
    </row>
    <row r="180">
      <c r="B180" s="62" t="s">
        <v>1404</v>
      </c>
      <c r="C180" s="57" t="s">
        <v>44</v>
      </c>
      <c r="D180" s="62" t="s">
        <v>360</v>
      </c>
      <c r="E180" s="11" t="str">
        <f>HYPERLINK("https://youtu.be/4FlZOabBv8g","channel 2")</f>
        <v>channel 2</v>
      </c>
    </row>
    <row r="181">
      <c r="B181" s="62" t="s">
        <v>3803</v>
      </c>
      <c r="C181" s="57" t="s">
        <v>21</v>
      </c>
      <c r="D181" s="62" t="s">
        <v>2058</v>
      </c>
      <c r="E181" s="11" t="str">
        <f>HYPERLINK("https://youtu.be/FHy-h6mDw5c?t=1087","channel 1")</f>
        <v>channel 1</v>
      </c>
    </row>
    <row r="182">
      <c r="B182" s="62" t="s">
        <v>1404</v>
      </c>
      <c r="C182" s="57" t="s">
        <v>292</v>
      </c>
      <c r="D182" s="62" t="s">
        <v>3203</v>
      </c>
      <c r="E182" s="11" t="str">
        <f>HYPERLINK("https://youtu.be/4FlZOabBv8g?t=977","channel 2")</f>
        <v>channel 2</v>
      </c>
    </row>
    <row r="183">
      <c r="B183" s="62" t="s">
        <v>3803</v>
      </c>
      <c r="C183" s="57" t="s">
        <v>279</v>
      </c>
      <c r="D183" s="62" t="s">
        <v>360</v>
      </c>
      <c r="E183" s="11" t="str">
        <f>HYPERLINK("https://youtu.be/FHy-h6mDw5c?t=2081","channel 1")</f>
        <v>channel 1</v>
      </c>
    </row>
    <row r="184">
      <c r="B184" s="62" t="s">
        <v>1404</v>
      </c>
      <c r="C184" s="57" t="s">
        <v>11</v>
      </c>
      <c r="D184" s="62" t="s">
        <v>2058</v>
      </c>
      <c r="E184" s="11" t="str">
        <f>HYPERLINK("https://youtu.be/4FlZOabBv8g?t=1969","channel 2")</f>
        <v>channel 2</v>
      </c>
    </row>
    <row r="185">
      <c r="B185" s="62" t="s">
        <v>3803</v>
      </c>
      <c r="C185" s="57" t="s">
        <v>177</v>
      </c>
      <c r="D185" s="62" t="s">
        <v>3203</v>
      </c>
      <c r="E185" s="11" t="str">
        <f>HYPERLINK("https://youtu.be/FHy-h6mDw5c?t=2989","channel 1")</f>
        <v>channel 1</v>
      </c>
    </row>
    <row r="186">
      <c r="B186" s="62" t="s">
        <v>360</v>
      </c>
      <c r="C186" s="57" t="s">
        <v>344</v>
      </c>
      <c r="D186" s="62" t="s">
        <v>2058</v>
      </c>
      <c r="E186" s="11" t="str">
        <f>HYPERLINK("https://youtu.be/4FlZOabBv8g?t=2872","channel 2")</f>
        <v>channel 2</v>
      </c>
    </row>
    <row r="187">
      <c r="B187" s="62" t="s">
        <v>3803</v>
      </c>
      <c r="C187" s="57" t="s">
        <v>43</v>
      </c>
      <c r="D187" s="62" t="s">
        <v>1404</v>
      </c>
      <c r="E187" s="11" t="str">
        <f>HYPERLINK("https://youtu.be/FHy-h6mDw5c?t=3863","channel 1")</f>
        <v>channel 1</v>
      </c>
    </row>
    <row r="188">
      <c r="B188" s="62" t="s">
        <v>360</v>
      </c>
      <c r="C188" s="57" t="s">
        <v>248</v>
      </c>
      <c r="D188" s="62" t="s">
        <v>3203</v>
      </c>
      <c r="E188" s="11" t="str">
        <f>HYPERLINK("https://youtu.be/4FlZOabBv8g?t=3727","channel 2")</f>
        <v>channel 2</v>
      </c>
    </row>
    <row r="189">
      <c r="B189" s="62" t="s">
        <v>3203</v>
      </c>
      <c r="C189" s="57" t="s">
        <v>425</v>
      </c>
      <c r="D189" s="62" t="s">
        <v>2058</v>
      </c>
      <c r="E189" s="11" t="str">
        <f>HYPERLINK("https://youtu.be/FHy-h6mDw5c?t=4750","channel 1")</f>
        <v>channel 1</v>
      </c>
    </row>
    <row r="190">
      <c r="B190" s="62" t="s">
        <v>360</v>
      </c>
      <c r="C190" s="57" t="s">
        <v>336</v>
      </c>
      <c r="D190" s="62" t="s">
        <v>1404</v>
      </c>
      <c r="E190" s="11" t="str">
        <f>HYPERLINK("https://youtu.be/4FlZOabBv8g?t=4613","channel 2")</f>
        <v>channel 2</v>
      </c>
    </row>
    <row r="191">
      <c r="B191" s="62" t="s">
        <v>2058</v>
      </c>
      <c r="C191" s="57" t="s">
        <v>354</v>
      </c>
      <c r="D191" s="62" t="s">
        <v>3803</v>
      </c>
      <c r="E191" s="11" t="str">
        <f>HYPERLINK("https://youtu.be/FHy-h6mDw5c?t=5671","channel 1")</f>
        <v>channel 1</v>
      </c>
    </row>
    <row r="192">
      <c r="B192" s="62" t="s">
        <v>3203</v>
      </c>
      <c r="C192" s="57" t="s">
        <v>20</v>
      </c>
      <c r="D192" s="62" t="s">
        <v>1404</v>
      </c>
      <c r="E192" s="11" t="str">
        <f>HYPERLINK("https://youtu.be/4FlZOabBv8g?t=5566","channel 2")</f>
        <v>channel 2</v>
      </c>
    </row>
    <row r="193">
      <c r="B193" s="62" t="s">
        <v>360</v>
      </c>
      <c r="C193" s="57" t="s">
        <v>161</v>
      </c>
      <c r="D193" s="62" t="s">
        <v>3803</v>
      </c>
      <c r="E193" s="11" t="str">
        <f>HYPERLINK("https://youtu.be/FHy-h6mDw5c?t=6599","channel 1")</f>
        <v>channel 1</v>
      </c>
    </row>
    <row r="194">
      <c r="B194" s="62" t="s">
        <v>2058</v>
      </c>
      <c r="C194" s="57" t="s">
        <v>1120</v>
      </c>
      <c r="D194" s="62" t="s">
        <v>1404</v>
      </c>
      <c r="E194" s="11" t="str">
        <f>HYPERLINK("https://youtu.be/4FlZOabBv8g?t=6472","channel 2")</f>
        <v>channel 2</v>
      </c>
    </row>
    <row r="195">
      <c r="B195" s="62" t="s">
        <v>3203</v>
      </c>
      <c r="C195" s="57" t="s">
        <v>219</v>
      </c>
      <c r="D195" s="62" t="s">
        <v>3803</v>
      </c>
      <c r="E195" s="11" t="str">
        <f>HYPERLINK("https://youtu.be/FHy-h6mDw5c?t=7556","channel 1")</f>
        <v>channel 1</v>
      </c>
    </row>
    <row r="196">
      <c r="B196" s="62" t="s">
        <v>2058</v>
      </c>
      <c r="C196" s="57" t="s">
        <v>394</v>
      </c>
      <c r="D196" s="62" t="s">
        <v>360</v>
      </c>
      <c r="E196" s="11" t="str">
        <f>HYPERLINK("https://youtu.be/4FlZOabBv8g?t=7436","channel 2")</f>
        <v>channel 2</v>
      </c>
    </row>
    <row r="197">
      <c r="B197" s="62" t="s">
        <v>1404</v>
      </c>
      <c r="C197" s="57" t="s">
        <v>219</v>
      </c>
      <c r="D197" s="62" t="s">
        <v>3803</v>
      </c>
      <c r="E197" s="11" t="str">
        <f>HYPERLINK("https://youtu.be/FHy-h6mDw5c?t=8515","channel 1")</f>
        <v>channel 1</v>
      </c>
    </row>
    <row r="198">
      <c r="B198" s="62" t="s">
        <v>3203</v>
      </c>
      <c r="C198" s="57" t="s">
        <v>177</v>
      </c>
      <c r="D198" s="62" t="s">
        <v>360</v>
      </c>
      <c r="E198" s="11" t="str">
        <f>HYPERLINK("https://youtu.be/4FlZOabBv8g?t=8405","channel 2")</f>
        <v>channel 2</v>
      </c>
    </row>
    <row r="199">
      <c r="B199" s="96" t="s">
        <v>1581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3804</v>
      </c>
      <c r="C201" s="57" t="s">
        <v>185</v>
      </c>
      <c r="D201" s="62" t="s">
        <v>2613</v>
      </c>
      <c r="E201" s="11" t="str">
        <f>HYPERLINK("https://youtu.be/-_AEL_lfqHQ","channel 1")</f>
        <v>channel 1</v>
      </c>
    </row>
    <row r="202">
      <c r="B202" s="62" t="s">
        <v>2373</v>
      </c>
      <c r="C202" s="57" t="s">
        <v>164</v>
      </c>
      <c r="D202" s="62" t="s">
        <v>3510</v>
      </c>
      <c r="E202" s="11" t="str">
        <f>HYPERLINK("https://youtu.be/J3muXvAvl3k","channel 2")</f>
        <v>channel 2</v>
      </c>
    </row>
    <row r="203">
      <c r="B203" s="62" t="s">
        <v>3805</v>
      </c>
      <c r="C203" s="57" t="s">
        <v>158</v>
      </c>
      <c r="D203" s="62" t="s">
        <v>3804</v>
      </c>
      <c r="E203" s="11" t="str">
        <f>HYPERLINK("https://youtu.be/-_AEL_lfqHQ?t=1107","channel 1")</f>
        <v>channel 1</v>
      </c>
    </row>
    <row r="204">
      <c r="B204" s="62" t="s">
        <v>2373</v>
      </c>
      <c r="C204" s="57" t="s">
        <v>313</v>
      </c>
      <c r="D204" s="62" t="s">
        <v>2613</v>
      </c>
      <c r="E204" s="11" t="str">
        <f>HYPERLINK("https://youtu.be/J3muXvAvl3k?t=1268","channel 2")</f>
        <v>channel 2</v>
      </c>
    </row>
    <row r="205">
      <c r="B205" s="62" t="s">
        <v>3805</v>
      </c>
      <c r="C205" s="57" t="s">
        <v>41</v>
      </c>
      <c r="D205" s="62" t="s">
        <v>3510</v>
      </c>
      <c r="E205" s="11" t="str">
        <f>HYPERLINK("https://youtu.be/-_AEL_lfqHQ?t=2102","channel 1")</f>
        <v>channel 1</v>
      </c>
    </row>
    <row r="206">
      <c r="B206" s="62" t="s">
        <v>2373</v>
      </c>
      <c r="C206" s="57" t="s">
        <v>208</v>
      </c>
      <c r="D206" s="62" t="s">
        <v>3804</v>
      </c>
      <c r="E206" s="11" t="str">
        <f>HYPERLINK("https://youtu.be/J3muXvAvl3k?t=2218","channel 2")</f>
        <v>channel 2</v>
      </c>
    </row>
    <row r="207">
      <c r="B207" s="62" t="s">
        <v>3805</v>
      </c>
      <c r="C207" s="57" t="s">
        <v>14</v>
      </c>
      <c r="D207" s="62" t="s">
        <v>2613</v>
      </c>
      <c r="E207" s="11" t="str">
        <f>HYPERLINK("https://youtu.be/-_AEL_lfqHQ?t=3027","channel 1")</f>
        <v>channel 1</v>
      </c>
    </row>
    <row r="208">
      <c r="B208" s="62" t="s">
        <v>3510</v>
      </c>
      <c r="C208" s="57" t="s">
        <v>357</v>
      </c>
      <c r="D208" s="62" t="s">
        <v>3804</v>
      </c>
      <c r="E208" s="11" t="str">
        <f>HYPERLINK("https://youtu.be/J3muXvAvl3k?t=3089","channel 2")</f>
        <v>channel 2</v>
      </c>
    </row>
    <row r="209">
      <c r="B209" s="62" t="s">
        <v>3805</v>
      </c>
      <c r="C209" s="57" t="s">
        <v>24</v>
      </c>
      <c r="D209" s="62" t="s">
        <v>2373</v>
      </c>
      <c r="E209" s="11" t="str">
        <f>HYPERLINK("https://youtu.be/-_AEL_lfqHQ?t=3970","channel 1")</f>
        <v>channel 1</v>
      </c>
    </row>
    <row r="210">
      <c r="B210" s="62" t="s">
        <v>3510</v>
      </c>
      <c r="C210" s="57" t="s">
        <v>222</v>
      </c>
      <c r="D210" s="62" t="s">
        <v>2613</v>
      </c>
      <c r="E210" s="11" t="str">
        <f>HYPERLINK("https://youtu.be/J3muXvAvl3k?t=4053","channel 2")</f>
        <v>channel 2</v>
      </c>
    </row>
    <row r="211">
      <c r="B211" s="62" t="s">
        <v>2613</v>
      </c>
      <c r="C211" s="57" t="s">
        <v>18</v>
      </c>
      <c r="D211" s="62" t="s">
        <v>3804</v>
      </c>
      <c r="E211" s="11" t="str">
        <f>HYPERLINK("https://youtu.be/-_AEL_lfqHQ?t=4877","channel 1")</f>
        <v>channel 1</v>
      </c>
    </row>
    <row r="212">
      <c r="B212" s="62" t="s">
        <v>3510</v>
      </c>
      <c r="C212" s="57" t="s">
        <v>193</v>
      </c>
      <c r="D212" s="62" t="s">
        <v>2373</v>
      </c>
      <c r="E212" s="11" t="str">
        <f>HYPERLINK("https://youtu.be/J3muXvAvl3k?t=5012","channel 2")</f>
        <v>channel 2</v>
      </c>
    </row>
    <row r="213">
      <c r="B213" s="62" t="s">
        <v>3804</v>
      </c>
      <c r="C213" s="57" t="s">
        <v>301</v>
      </c>
      <c r="D213" s="62" t="s">
        <v>3805</v>
      </c>
      <c r="E213" s="11" t="str">
        <f>HYPERLINK("https://youtu.be/-_AEL_lfqHQ?t=5809","channel 1")</f>
        <v>channel 1</v>
      </c>
    </row>
    <row r="214">
      <c r="B214" s="62" t="s">
        <v>2613</v>
      </c>
      <c r="C214" s="57" t="s">
        <v>184</v>
      </c>
      <c r="D214" s="62" t="s">
        <v>2373</v>
      </c>
      <c r="E214" s="11" t="str">
        <f>HYPERLINK("https://youtu.be/J3muXvAvl3k?t=5922","channel 2")</f>
        <v>channel 2</v>
      </c>
    </row>
    <row r="215">
      <c r="B215" s="62" t="s">
        <v>3510</v>
      </c>
      <c r="C215" s="57" t="s">
        <v>979</v>
      </c>
      <c r="D215" s="62" t="s">
        <v>3805</v>
      </c>
      <c r="E215" s="11" t="str">
        <f>HYPERLINK("https://youtu.be/-_AEL_lfqHQ?t=6698","channel 1")</f>
        <v>channel 1</v>
      </c>
    </row>
    <row r="216">
      <c r="B216" s="62" t="s">
        <v>3804</v>
      </c>
      <c r="C216" s="57" t="s">
        <v>301</v>
      </c>
      <c r="D216" s="62" t="s">
        <v>2373</v>
      </c>
      <c r="E216" s="11" t="str">
        <f>HYPERLINK("https://youtu.be/J3muXvAvl3k?t=6847","channel 2")</f>
        <v>channel 2</v>
      </c>
    </row>
    <row r="217">
      <c r="B217" s="62" t="s">
        <v>2613</v>
      </c>
      <c r="C217" s="57" t="s">
        <v>545</v>
      </c>
      <c r="D217" s="62" t="s">
        <v>3805</v>
      </c>
      <c r="E217" s="11" t="str">
        <f>HYPERLINK("https://youtu.be/-_AEL_lfqHQ?t=7710","channel 1")</f>
        <v>channel 1</v>
      </c>
    </row>
    <row r="218">
      <c r="B218" s="62" t="s">
        <v>3804</v>
      </c>
      <c r="C218" s="57" t="s">
        <v>203</v>
      </c>
      <c r="D218" s="62" t="s">
        <v>3510</v>
      </c>
      <c r="E218" s="11" t="str">
        <f>HYPERLINK("https://youtu.be/J3muXvAvl3k?t=7799","channel 2")</f>
        <v>channel 2</v>
      </c>
    </row>
    <row r="219">
      <c r="B219" s="62" t="s">
        <v>2373</v>
      </c>
      <c r="C219" s="57" t="s">
        <v>545</v>
      </c>
      <c r="D219" s="62" t="s">
        <v>3805</v>
      </c>
      <c r="E219" s="11" t="str">
        <f>HYPERLINK("https://youtu.be/-_AEL_lfqHQ?t=8579","channel 1")</f>
        <v>channel 1</v>
      </c>
    </row>
    <row r="220">
      <c r="B220" s="62" t="s">
        <v>2613</v>
      </c>
      <c r="C220" s="57" t="s">
        <v>184</v>
      </c>
      <c r="D220" s="62" t="s">
        <v>3510</v>
      </c>
      <c r="E220" s="11" t="str">
        <f>HYPERLINK("https://youtu.be/J3muXvAvl3k?t=8662","channel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1777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61" t="s">
        <v>3806</v>
      </c>
      <c r="C3" s="57" t="s">
        <v>16</v>
      </c>
      <c r="D3" s="61" t="s">
        <v>3807</v>
      </c>
      <c r="E3" s="11" t="str">
        <f>HYPERLINK("https://youtu.be/4QKaL1aASDQ","channel 1")</f>
        <v>channel 1</v>
      </c>
    </row>
    <row r="4">
      <c r="A4" s="141"/>
      <c r="B4" s="61" t="s">
        <v>2147</v>
      </c>
      <c r="C4" s="57" t="s">
        <v>517</v>
      </c>
      <c r="D4" s="61" t="s">
        <v>3808</v>
      </c>
      <c r="E4" s="11" t="str">
        <f>HYPERLINK("https://youtu.be/QcDL9T0cxbg","channel 2")</f>
        <v>channel 2</v>
      </c>
    </row>
    <row r="5">
      <c r="A5" s="141"/>
      <c r="B5" s="61" t="s">
        <v>3809</v>
      </c>
      <c r="C5" s="57" t="s">
        <v>14</v>
      </c>
      <c r="D5" s="61" t="s">
        <v>3806</v>
      </c>
      <c r="E5" s="11" t="str">
        <f>HYPERLINK("https://youtu.be/4QKaL1aASDQ?t=900","channel 1")</f>
        <v>channel 1</v>
      </c>
    </row>
    <row r="6">
      <c r="A6" s="141"/>
      <c r="B6" s="61" t="s">
        <v>2147</v>
      </c>
      <c r="C6" s="57" t="s">
        <v>239</v>
      </c>
      <c r="D6" s="61" t="s">
        <v>3807</v>
      </c>
      <c r="E6" s="11" t="str">
        <f>HYPERLINK("https://youtu.be/QcDL9T0cxbg?t=949","channel 2")</f>
        <v>channel 2</v>
      </c>
    </row>
    <row r="7">
      <c r="A7" s="141"/>
      <c r="B7" s="61" t="s">
        <v>3809</v>
      </c>
      <c r="C7" s="57" t="s">
        <v>23</v>
      </c>
      <c r="D7" s="61" t="s">
        <v>3808</v>
      </c>
      <c r="E7" s="11" t="str">
        <f>HYPERLINK("https://youtu.be/4QKaL1aASDQ?t=1883","channel 1")</f>
        <v>channel 1</v>
      </c>
    </row>
    <row r="8">
      <c r="A8" s="141"/>
      <c r="B8" s="61" t="s">
        <v>2147</v>
      </c>
      <c r="C8" s="57" t="s">
        <v>163</v>
      </c>
      <c r="D8" s="61" t="s">
        <v>3806</v>
      </c>
      <c r="E8" s="11" t="str">
        <f>HYPERLINK("https://youtu.be/QcDL9T0cxbg?t=1881","channel 2")</f>
        <v>channel 2</v>
      </c>
    </row>
    <row r="9">
      <c r="A9" s="141"/>
      <c r="B9" s="61" t="s">
        <v>3809</v>
      </c>
      <c r="C9" s="57" t="s">
        <v>209</v>
      </c>
      <c r="D9" s="61" t="s">
        <v>3807</v>
      </c>
      <c r="E9" s="11" t="str">
        <f>HYPERLINK("https://youtu.be/4QKaL1aASDQ?t=2872","channel 1")</f>
        <v>channel 1</v>
      </c>
    </row>
    <row r="10">
      <c r="A10" s="141"/>
      <c r="B10" s="61" t="s">
        <v>3808</v>
      </c>
      <c r="C10" s="57" t="s">
        <v>352</v>
      </c>
      <c r="D10" s="61" t="s">
        <v>3806</v>
      </c>
      <c r="E10" s="11" t="str">
        <f>HYPERLINK("https://youtu.be/QcDL9T0cxbg?t=2896","channel 2")</f>
        <v>channel 2</v>
      </c>
    </row>
    <row r="11">
      <c r="A11" s="141"/>
      <c r="B11" s="61" t="s">
        <v>3809</v>
      </c>
      <c r="C11" s="57" t="s">
        <v>303</v>
      </c>
      <c r="D11" s="61" t="s">
        <v>2147</v>
      </c>
      <c r="E11" s="11" t="str">
        <f>HYPERLINK("https://youtu.be/4QKaL1aASDQ?t=3855","channel 1")</f>
        <v>channel 1</v>
      </c>
    </row>
    <row r="12">
      <c r="A12" s="141"/>
      <c r="B12" s="61" t="s">
        <v>3808</v>
      </c>
      <c r="C12" s="57" t="s">
        <v>258</v>
      </c>
      <c r="D12" s="61" t="s">
        <v>3807</v>
      </c>
      <c r="E12" s="11" t="str">
        <f>HYPERLINK("https://youtu.be/QcDL9T0cxbg?t=3918","channel 2")</f>
        <v>channel 2</v>
      </c>
    </row>
    <row r="13">
      <c r="A13" s="141"/>
      <c r="B13" s="61" t="s">
        <v>3807</v>
      </c>
      <c r="C13" s="57" t="s">
        <v>279</v>
      </c>
      <c r="D13" s="61" t="s">
        <v>3806</v>
      </c>
      <c r="E13" s="11" t="str">
        <f>HYPERLINK("https://youtu.be/4QKaL1aASDQ?t=4797","channel 1")</f>
        <v>channel 1</v>
      </c>
    </row>
    <row r="14">
      <c r="A14" s="141"/>
      <c r="B14" s="61" t="s">
        <v>3808</v>
      </c>
      <c r="C14" s="45" t="s">
        <v>193</v>
      </c>
      <c r="D14" s="61" t="s">
        <v>2147</v>
      </c>
      <c r="E14" s="11" t="str">
        <f>HYPERLINK("https://youtu.be/QcDL9T0cxbg?t=4861","channel 2")</f>
        <v>channel 2</v>
      </c>
    </row>
    <row r="15">
      <c r="A15" s="141"/>
      <c r="B15" s="61" t="s">
        <v>3806</v>
      </c>
      <c r="C15" s="45" t="s">
        <v>155</v>
      </c>
      <c r="D15" s="61" t="s">
        <v>3809</v>
      </c>
      <c r="E15" s="11" t="str">
        <f>HYPERLINK("https://youtu.be/4QKaL1aASDQ?t=5636","channel 1")</f>
        <v>channel 1</v>
      </c>
    </row>
    <row r="16">
      <c r="A16" s="141"/>
      <c r="B16" s="61" t="s">
        <v>3807</v>
      </c>
      <c r="C16" s="57" t="s">
        <v>291</v>
      </c>
      <c r="D16" s="61" t="s">
        <v>2147</v>
      </c>
      <c r="E16" s="11" t="str">
        <f>HYPERLINK("https://youtu.be/QcDL9T0cxbg?t=5752","channel 2")</f>
        <v>channel 2</v>
      </c>
    </row>
    <row r="17">
      <c r="A17" s="141"/>
      <c r="B17" s="61" t="s">
        <v>3808</v>
      </c>
      <c r="C17" s="57" t="s">
        <v>487</v>
      </c>
      <c r="D17" s="61" t="s">
        <v>3809</v>
      </c>
      <c r="E17" s="11" t="str">
        <f>HYPERLINK("https://youtu.be/4QKaL1aASDQ?t=6564","channel 1")</f>
        <v>channel 1</v>
      </c>
    </row>
    <row r="18">
      <c r="A18" s="141"/>
      <c r="B18" s="61" t="s">
        <v>3806</v>
      </c>
      <c r="C18" s="57" t="s">
        <v>464</v>
      </c>
      <c r="D18" s="61" t="s">
        <v>2147</v>
      </c>
      <c r="E18" s="11" t="str">
        <f>HYPERLINK("https://youtu.be/QcDL9T0cxbg?t=6645","channel 2")</f>
        <v>channel 2</v>
      </c>
    </row>
    <row r="19">
      <c r="A19" s="141"/>
      <c r="B19" s="61" t="s">
        <v>3807</v>
      </c>
      <c r="C19" s="151" t="s">
        <v>181</v>
      </c>
      <c r="D19" s="61" t="s">
        <v>3809</v>
      </c>
      <c r="E19" s="11" t="str">
        <f>HYPERLINK("https://youtu.be/4QKaL1aASDQ?t=7622","channel 1")</f>
        <v>channel 1</v>
      </c>
    </row>
    <row r="20">
      <c r="A20" s="141"/>
      <c r="B20" s="61" t="s">
        <v>3806</v>
      </c>
      <c r="C20" s="76" t="s">
        <v>256</v>
      </c>
      <c r="D20" s="61" t="s">
        <v>3808</v>
      </c>
      <c r="E20" s="11" t="str">
        <f>HYPERLINK("https://youtu.be/QcDL9T0cxbg?t=7634","channel 2")</f>
        <v>channel 2</v>
      </c>
    </row>
    <row r="21">
      <c r="A21" s="141"/>
      <c r="B21" s="61" t="s">
        <v>2147</v>
      </c>
      <c r="C21" s="76" t="s">
        <v>41</v>
      </c>
      <c r="D21" s="61" t="s">
        <v>3809</v>
      </c>
      <c r="E21" s="11" t="str">
        <f>HYPERLINK("https://youtu.be/4QKaL1aASDQ?t=8482","channel 1")</f>
        <v>channel 1</v>
      </c>
    </row>
    <row r="22">
      <c r="A22" s="141"/>
      <c r="B22" s="61" t="s">
        <v>3807</v>
      </c>
      <c r="C22" s="76" t="s">
        <v>442</v>
      </c>
      <c r="D22" s="61" t="s">
        <v>3808</v>
      </c>
      <c r="E22" s="11" t="str">
        <f>HYPERLINK("https://youtu.be/QcDL9T0cxbg?t=8597","channel 2")</f>
        <v>channel 2</v>
      </c>
    </row>
    <row r="23">
      <c r="A23" s="141"/>
      <c r="B23" s="96" t="s">
        <v>2207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3810</v>
      </c>
      <c r="C25" s="57" t="s">
        <v>513</v>
      </c>
      <c r="D25" s="61" t="s">
        <v>3240</v>
      </c>
      <c r="E25" s="11" t="str">
        <f>HYPERLINK("https://youtu.be/YgoxtW8kqOg","channel 1")</f>
        <v>channel 1</v>
      </c>
    </row>
    <row r="26">
      <c r="A26" s="141"/>
      <c r="B26" s="61" t="s">
        <v>3811</v>
      </c>
      <c r="C26" s="57" t="s">
        <v>218</v>
      </c>
      <c r="D26" s="61" t="s">
        <v>3812</v>
      </c>
      <c r="E26" s="11" t="str">
        <f>HYPERLINK("https://youtu.be/1fewEyUMNwE","channel 2")</f>
        <v>channel 2</v>
      </c>
    </row>
    <row r="27">
      <c r="A27" s="141"/>
      <c r="B27" s="61" t="s">
        <v>3813</v>
      </c>
      <c r="C27" s="57" t="s">
        <v>465</v>
      </c>
      <c r="D27" s="61" t="s">
        <v>3810</v>
      </c>
      <c r="E27" s="11" t="str">
        <f>HYPERLINK("https://youtu.be/YgoxtW8kqOg?t=914","channel 1")</f>
        <v>channel 1</v>
      </c>
    </row>
    <row r="28">
      <c r="A28" s="141"/>
      <c r="B28" s="61" t="s">
        <v>3811</v>
      </c>
      <c r="C28" s="57" t="s">
        <v>264</v>
      </c>
      <c r="D28" s="61" t="s">
        <v>3240</v>
      </c>
      <c r="E28" s="11" t="str">
        <f>HYPERLINK("https://youtu.be/1fewEyUMNwE?t=967","channel 2")</f>
        <v>channel 2</v>
      </c>
    </row>
    <row r="29">
      <c r="A29" s="141"/>
      <c r="B29" s="61" t="s">
        <v>3813</v>
      </c>
      <c r="C29" s="57" t="s">
        <v>239</v>
      </c>
      <c r="D29" s="61" t="s">
        <v>3812</v>
      </c>
      <c r="E29" s="11" t="str">
        <f>HYPERLINK("https://youtu.be/YgoxtW8kqOg?t=1941","channel 1")</f>
        <v>channel 1</v>
      </c>
    </row>
    <row r="30">
      <c r="A30" s="141"/>
      <c r="B30" s="61" t="s">
        <v>3811</v>
      </c>
      <c r="C30" s="57" t="s">
        <v>16</v>
      </c>
      <c r="D30" s="61" t="s">
        <v>3810</v>
      </c>
      <c r="E30" s="11" t="str">
        <f>HYPERLINK("https://youtu.be/1fewEyUMNwE?t=2263","channel 2")</f>
        <v>channel 2</v>
      </c>
    </row>
    <row r="31">
      <c r="A31" s="141"/>
      <c r="B31" s="61" t="s">
        <v>3813</v>
      </c>
      <c r="C31" s="57" t="s">
        <v>1675</v>
      </c>
      <c r="D31" s="61" t="s">
        <v>3240</v>
      </c>
      <c r="E31" s="11" t="str">
        <f>HYPERLINK("https://youtu.be/YgoxtW8kqOg?t=3317","channel 1")</f>
        <v>channel 1</v>
      </c>
    </row>
    <row r="32">
      <c r="A32" s="141"/>
      <c r="B32" s="61" t="s">
        <v>3812</v>
      </c>
      <c r="C32" s="57" t="s">
        <v>39</v>
      </c>
      <c r="D32" s="61" t="s">
        <v>3810</v>
      </c>
      <c r="E32" s="11" t="str">
        <f>HYPERLINK("https://youtu.be/1fewEyUMNwE?t=3343","channel 2")</f>
        <v>channel 2</v>
      </c>
    </row>
    <row r="33">
      <c r="A33" s="141"/>
      <c r="B33" s="61" t="s">
        <v>3813</v>
      </c>
      <c r="C33" s="57" t="s">
        <v>292</v>
      </c>
      <c r="D33" s="61" t="s">
        <v>3811</v>
      </c>
      <c r="E33" s="11" t="str">
        <f>HYPERLINK("https://youtu.be/YgoxtW8kqOg?t=4395","channel 1")</f>
        <v>channel 1</v>
      </c>
    </row>
    <row r="34">
      <c r="A34" s="141"/>
      <c r="B34" s="61" t="s">
        <v>3812</v>
      </c>
      <c r="C34" s="57" t="s">
        <v>251</v>
      </c>
      <c r="D34" s="61" t="s">
        <v>3240</v>
      </c>
      <c r="E34" s="11" t="str">
        <f>HYPERLINK("https://youtu.be/1fewEyUMNwE?t=4428","channel 2")</f>
        <v>channel 2</v>
      </c>
    </row>
    <row r="35">
      <c r="A35" s="141"/>
      <c r="B35" s="61" t="s">
        <v>3240</v>
      </c>
      <c r="C35" s="57" t="s">
        <v>177</v>
      </c>
      <c r="D35" s="61" t="s">
        <v>3810</v>
      </c>
      <c r="E35" s="11" t="str">
        <f>HYPERLINK("https://youtu.be/YgoxtW8kqOg?t=5429","channel 1")</f>
        <v>channel 1</v>
      </c>
    </row>
    <row r="36">
      <c r="A36" s="141"/>
      <c r="B36" s="61" t="s">
        <v>3812</v>
      </c>
      <c r="C36" s="57" t="s">
        <v>20</v>
      </c>
      <c r="D36" s="61" t="s">
        <v>3811</v>
      </c>
      <c r="E36" s="11" t="str">
        <f>HYPERLINK("https://youtu.be/1fewEyUMNwE?t=5494","channel 2")</f>
        <v>channel 2</v>
      </c>
    </row>
    <row r="37">
      <c r="A37" s="141"/>
      <c r="B37" s="61" t="s">
        <v>3810</v>
      </c>
      <c r="C37" s="57" t="s">
        <v>351</v>
      </c>
      <c r="D37" s="61" t="s">
        <v>3813</v>
      </c>
      <c r="E37" s="11" t="str">
        <f>HYPERLINK("https://youtu.be/YgoxtW8kqOg?t=6500","channel 1")</f>
        <v>channel 1</v>
      </c>
    </row>
    <row r="38">
      <c r="A38" s="141"/>
      <c r="B38" s="61" t="s">
        <v>3240</v>
      </c>
      <c r="C38" s="57" t="s">
        <v>19</v>
      </c>
      <c r="D38" s="61" t="s">
        <v>3811</v>
      </c>
      <c r="E38" s="11" t="str">
        <f>HYPERLINK("https://youtu.be/1fewEyUMNwE?t=6402","channel 2")</f>
        <v>channel 2</v>
      </c>
    </row>
    <row r="39">
      <c r="A39" s="141"/>
      <c r="B39" s="61" t="s">
        <v>3812</v>
      </c>
      <c r="C39" s="45" t="s">
        <v>185</v>
      </c>
      <c r="D39" s="61" t="s">
        <v>3813</v>
      </c>
      <c r="E39" s="11" t="str">
        <f>HYPERLINK("https://youtu.be/YgoxtW8kqOg?t=7311","channel 1")</f>
        <v>channel 1</v>
      </c>
    </row>
    <row r="40">
      <c r="A40" s="141"/>
      <c r="B40" s="61" t="s">
        <v>3810</v>
      </c>
      <c r="C40" s="57" t="s">
        <v>489</v>
      </c>
      <c r="D40" s="61" t="s">
        <v>3811</v>
      </c>
      <c r="E40" s="11" t="str">
        <f>HYPERLINK("https://youtu.be/1fewEyUMNwE?t=7415","channel 2")</f>
        <v>channel 2</v>
      </c>
    </row>
    <row r="41">
      <c r="A41" s="141"/>
      <c r="B41" s="61" t="s">
        <v>3240</v>
      </c>
      <c r="C41" s="57" t="s">
        <v>219</v>
      </c>
      <c r="D41" s="61" t="s">
        <v>3813</v>
      </c>
      <c r="E41" s="11" t="str">
        <f>HYPERLINK("https://youtu.be/YgoxtW8kqOg?t=8308","channel 1")</f>
        <v>channel 1</v>
      </c>
    </row>
    <row r="42">
      <c r="A42" s="141"/>
      <c r="B42" s="61" t="s">
        <v>3810</v>
      </c>
      <c r="C42" s="57" t="s">
        <v>257</v>
      </c>
      <c r="D42" s="61" t="s">
        <v>3812</v>
      </c>
      <c r="E42" s="11" t="str">
        <f>HYPERLINK("https://youtu.be/1fewEyUMNwE?t=8354","channel 2")</f>
        <v>channel 2</v>
      </c>
    </row>
    <row r="43">
      <c r="A43" s="141"/>
      <c r="B43" s="61" t="s">
        <v>3811</v>
      </c>
      <c r="C43" s="57" t="s">
        <v>155</v>
      </c>
      <c r="D43" s="61" t="s">
        <v>3813</v>
      </c>
      <c r="E43" s="11" t="str">
        <f>HYPERLINK("https://youtu.be/YgoxtW8kqOg?t=9215","channel 1")</f>
        <v>channel 1</v>
      </c>
    </row>
    <row r="44">
      <c r="A44" s="141"/>
      <c r="B44" s="61" t="s">
        <v>3240</v>
      </c>
      <c r="C44" s="57" t="s">
        <v>454</v>
      </c>
      <c r="D44" s="61" t="s">
        <v>3812</v>
      </c>
      <c r="E44" s="11" t="str">
        <f>HYPERLINK("https://youtu.be/1fewEyUMNwE?t=9292","channel 2")</f>
        <v>channel 2</v>
      </c>
    </row>
    <row r="45">
      <c r="A45" s="141"/>
      <c r="B45" s="96" t="s">
        <v>2693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3814</v>
      </c>
      <c r="C47" s="57" t="s">
        <v>162</v>
      </c>
      <c r="D47" s="61" t="s">
        <v>1514</v>
      </c>
      <c r="E47" s="11" t="str">
        <f>HYPERLINK("https://youtu.be/0PQU7E7-MXU","channel 3")</f>
        <v>channel 3</v>
      </c>
    </row>
    <row r="48">
      <c r="A48" s="141"/>
      <c r="B48" s="61" t="s">
        <v>3265</v>
      </c>
      <c r="C48" s="57" t="s">
        <v>7</v>
      </c>
      <c r="D48" s="61" t="s">
        <v>1954</v>
      </c>
      <c r="E48" s="11" t="str">
        <f>HYPERLINK("https://youtu.be/AM_UZE2Wtcc","channel 4")</f>
        <v>channel 4</v>
      </c>
    </row>
    <row r="49">
      <c r="A49" s="141"/>
      <c r="B49" s="61" t="s">
        <v>3815</v>
      </c>
      <c r="C49" s="57" t="s">
        <v>380</v>
      </c>
      <c r="D49" s="61" t="s">
        <v>3814</v>
      </c>
      <c r="E49" s="11" t="str">
        <f>HYPERLINK("https://youtu.be/0PQU7E7-MXU?t=891","channel 3")</f>
        <v>channel 3</v>
      </c>
    </row>
    <row r="50">
      <c r="A50" s="141"/>
      <c r="B50" s="61" t="s">
        <v>3265</v>
      </c>
      <c r="C50" s="57" t="s">
        <v>324</v>
      </c>
      <c r="D50" s="61" t="s">
        <v>1514</v>
      </c>
      <c r="E50" s="11" t="str">
        <f>HYPERLINK("https://youtu.be/AM_UZE2Wtcc?t=1012","channel 4")</f>
        <v>channel 4</v>
      </c>
    </row>
    <row r="51">
      <c r="A51" s="141"/>
      <c r="B51" s="61" t="s">
        <v>3815</v>
      </c>
      <c r="C51" s="57" t="s">
        <v>301</v>
      </c>
      <c r="D51" s="61" t="s">
        <v>1954</v>
      </c>
      <c r="E51" s="11" t="str">
        <f>HYPERLINK("https://youtu.be/0PQU7E7-MXU?t=1742","channel 3")</f>
        <v>channel 3</v>
      </c>
    </row>
    <row r="52">
      <c r="A52" s="141"/>
      <c r="B52" s="61" t="s">
        <v>3265</v>
      </c>
      <c r="C52" s="57" t="s">
        <v>17</v>
      </c>
      <c r="D52" s="61" t="s">
        <v>3814</v>
      </c>
      <c r="E52" s="11" t="str">
        <f>HYPERLINK("https://youtu.be/AM_UZE2Wtcc?t=2089","channel 4")</f>
        <v>channel 4</v>
      </c>
    </row>
    <row r="53">
      <c r="A53" s="141"/>
      <c r="B53" s="61" t="s">
        <v>3815</v>
      </c>
      <c r="C53" s="57" t="s">
        <v>257</v>
      </c>
      <c r="D53" s="61" t="s">
        <v>1514</v>
      </c>
      <c r="E53" s="11" t="str">
        <f>HYPERLINK("https://youtu.be/0PQU7E7-MXU?t=2694","channel 3")</f>
        <v>channel 3</v>
      </c>
    </row>
    <row r="54">
      <c r="A54" s="141"/>
      <c r="B54" s="61" t="s">
        <v>1954</v>
      </c>
      <c r="C54" s="57" t="s">
        <v>280</v>
      </c>
      <c r="D54" s="61" t="s">
        <v>3814</v>
      </c>
      <c r="E54" s="11" t="str">
        <f>HYPERLINK("https://youtu.be/AM_UZE2Wtcc?t=2988","channel 4")</f>
        <v>channel 4</v>
      </c>
    </row>
    <row r="55">
      <c r="A55" s="141"/>
      <c r="B55" s="61" t="s">
        <v>3815</v>
      </c>
      <c r="C55" s="57" t="s">
        <v>20</v>
      </c>
      <c r="D55" s="61" t="s">
        <v>3265</v>
      </c>
      <c r="E55" s="11" t="str">
        <f>HYPERLINK("https://youtu.be/0PQU7E7-MXU?t=3632","channel 3")</f>
        <v>channel 3</v>
      </c>
    </row>
    <row r="56">
      <c r="A56" s="141"/>
      <c r="B56" s="61" t="s">
        <v>1954</v>
      </c>
      <c r="C56" s="57" t="s">
        <v>20</v>
      </c>
      <c r="D56" s="61" t="s">
        <v>1514</v>
      </c>
      <c r="E56" s="11" t="str">
        <f>HYPERLINK("https://youtu.be/AM_UZE2Wtcc?t=3896","channel 4")</f>
        <v>channel 4</v>
      </c>
    </row>
    <row r="57">
      <c r="A57" s="141"/>
      <c r="B57" s="61" t="s">
        <v>1514</v>
      </c>
      <c r="C57" s="57" t="s">
        <v>158</v>
      </c>
      <c r="D57" s="61" t="s">
        <v>3814</v>
      </c>
      <c r="E57" s="11" t="str">
        <f>HYPERLINK("https://youtu.be/0PQU7E7-MXU?t=4680","channel 3")</f>
        <v>channel 3</v>
      </c>
    </row>
    <row r="58">
      <c r="A58" s="141"/>
      <c r="B58" s="61" t="s">
        <v>1954</v>
      </c>
      <c r="C58" s="57" t="s">
        <v>19</v>
      </c>
      <c r="D58" s="61" t="s">
        <v>3265</v>
      </c>
      <c r="E58" s="11" t="str">
        <f>HYPERLINK("https://youtu.be/AM_UZE2Wtcc?t=4892","channel 4")</f>
        <v>channel 4</v>
      </c>
    </row>
    <row r="59">
      <c r="A59" s="141"/>
      <c r="B59" s="61" t="s">
        <v>3814</v>
      </c>
      <c r="C59" s="57" t="s">
        <v>43</v>
      </c>
      <c r="D59" s="61" t="s">
        <v>3815</v>
      </c>
      <c r="E59" s="11" t="str">
        <f>HYPERLINK("https://youtu.be/0PQU7E7-MXU?t=5618","channel 3")</f>
        <v>channel 3</v>
      </c>
    </row>
    <row r="60">
      <c r="A60" s="141"/>
      <c r="B60" s="61" t="s">
        <v>1514</v>
      </c>
      <c r="C60" s="57" t="s">
        <v>43</v>
      </c>
      <c r="D60" s="61" t="s">
        <v>3265</v>
      </c>
      <c r="E60" s="11" t="str">
        <f>HYPERLINK("https://youtu.be/AM_UZE2Wtcc?t=5810","channel 4")</f>
        <v>channel 4</v>
      </c>
    </row>
    <row r="61">
      <c r="A61" s="141"/>
      <c r="B61" s="61" t="s">
        <v>1954</v>
      </c>
      <c r="C61" s="57" t="s">
        <v>556</v>
      </c>
      <c r="D61" s="61" t="s">
        <v>3815</v>
      </c>
      <c r="E61" s="11" t="str">
        <f>HYPERLINK("https://youtu.be/0PQU7E7-MXU?t=6507","channel 3")</f>
        <v>channel 3</v>
      </c>
    </row>
    <row r="62">
      <c r="A62" s="141"/>
      <c r="B62" s="61" t="s">
        <v>3814</v>
      </c>
      <c r="C62" s="57" t="s">
        <v>3533</v>
      </c>
      <c r="D62" s="61" t="s">
        <v>3265</v>
      </c>
      <c r="E62" s="11" t="str">
        <f>HYPERLINK("https://youtu.be/AM_UZE2Wtcc?t=5810","channel 4")</f>
        <v>channel 4</v>
      </c>
    </row>
    <row r="63">
      <c r="A63" s="141"/>
      <c r="B63" s="61" t="s">
        <v>1514</v>
      </c>
      <c r="C63" s="57" t="s">
        <v>196</v>
      </c>
      <c r="D63" s="61" t="s">
        <v>3815</v>
      </c>
      <c r="E63" s="11" t="str">
        <f>HYPERLINK("https://youtu.be/0PQU7E7-MXU?t=7408","channel 3")</f>
        <v>channel 3</v>
      </c>
    </row>
    <row r="64">
      <c r="A64" s="141"/>
      <c r="B64" s="61" t="s">
        <v>3814</v>
      </c>
      <c r="C64" s="57" t="s">
        <v>18</v>
      </c>
      <c r="D64" s="61" t="s">
        <v>1954</v>
      </c>
      <c r="E64" s="11" t="str">
        <f>HYPERLINK("https://youtu.be/AM_UZE2Wtcc?t=7741","channel 4")</f>
        <v>channel 4</v>
      </c>
    </row>
    <row r="65">
      <c r="A65" s="141"/>
      <c r="B65" s="61" t="s">
        <v>3265</v>
      </c>
      <c r="C65" s="57" t="s">
        <v>177</v>
      </c>
      <c r="D65" s="61" t="s">
        <v>3815</v>
      </c>
      <c r="E65" s="11" t="str">
        <f>HYPERLINK("https://youtu.be/0PQU7E7-MXU?t=8360","channel 3")</f>
        <v>channel 3</v>
      </c>
    </row>
    <row r="66">
      <c r="A66" s="141"/>
      <c r="B66" s="61" t="s">
        <v>1514</v>
      </c>
      <c r="C66" s="57" t="s">
        <v>209</v>
      </c>
      <c r="D66" s="61" t="s">
        <v>1954</v>
      </c>
      <c r="E66" s="11" t="str">
        <f>HYPERLINK("https://youtu.be/AM_UZE2Wtcc?t=8645","channel 4")</f>
        <v>channel 4</v>
      </c>
    </row>
    <row r="67">
      <c r="A67" s="141"/>
      <c r="B67" s="96" t="s">
        <v>3141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3350</v>
      </c>
      <c r="C69" s="57" t="s">
        <v>38</v>
      </c>
      <c r="D69" s="61" t="s">
        <v>1694</v>
      </c>
      <c r="E69" s="11" t="str">
        <f>HYPERLINK("https://youtu.be/J6DkVX4k2yc","channel 3")</f>
        <v>channel 3</v>
      </c>
    </row>
    <row r="70">
      <c r="A70" s="141"/>
      <c r="B70" s="61" t="s">
        <v>3649</v>
      </c>
      <c r="C70" s="57" t="s">
        <v>352</v>
      </c>
      <c r="D70" s="61" t="s">
        <v>2430</v>
      </c>
      <c r="E70" s="11" t="str">
        <f>HYPERLINK("https://youtu.be/BxlWPq6d6EQ","channel 4")</f>
        <v>channel 4</v>
      </c>
    </row>
    <row r="71">
      <c r="A71" s="141"/>
      <c r="B71" s="61" t="s">
        <v>3816</v>
      </c>
      <c r="C71" s="57" t="s">
        <v>979</v>
      </c>
      <c r="D71" s="61" t="s">
        <v>3350</v>
      </c>
      <c r="E71" s="11" t="str">
        <f>HYPERLINK("https://youtu.be/J6DkVX4k2yc?t=878","channel 3")</f>
        <v>channel 3</v>
      </c>
    </row>
    <row r="72">
      <c r="A72" s="141"/>
      <c r="B72" s="61" t="s">
        <v>3649</v>
      </c>
      <c r="C72" s="57" t="s">
        <v>301</v>
      </c>
      <c r="D72" s="61" t="s">
        <v>1694</v>
      </c>
      <c r="E72" s="11" t="str">
        <f>HYPERLINK("https://youtu.be/BxlWPq6d6EQ?t=909","channel 4")</f>
        <v>channel 4</v>
      </c>
    </row>
    <row r="73">
      <c r="A73" s="141"/>
      <c r="B73" s="61" t="s">
        <v>3816</v>
      </c>
      <c r="C73" s="57" t="s">
        <v>380</v>
      </c>
      <c r="D73" s="61" t="s">
        <v>2430</v>
      </c>
      <c r="E73" s="11" t="str">
        <f>HYPERLINK("https://youtu.be/J6DkVX4k2yc?t=1860","channel 3")</f>
        <v>channel 3</v>
      </c>
    </row>
    <row r="74">
      <c r="A74" s="141"/>
      <c r="B74" s="61" t="s">
        <v>3649</v>
      </c>
      <c r="C74" s="57" t="s">
        <v>354</v>
      </c>
      <c r="D74" s="61" t="s">
        <v>3350</v>
      </c>
      <c r="E74" s="11" t="str">
        <f>HYPERLINK("https://youtu.be/BxlWPq6d6EQ?t=1865","channel 4")</f>
        <v>channel 4</v>
      </c>
    </row>
    <row r="75">
      <c r="A75" s="141"/>
      <c r="B75" s="61" t="s">
        <v>3816</v>
      </c>
      <c r="C75" s="57" t="s">
        <v>164</v>
      </c>
      <c r="D75" s="61" t="s">
        <v>1694</v>
      </c>
      <c r="E75" s="11" t="str">
        <f>HYPERLINK("https://youtu.be/J6DkVX4k2yc?t=2957","channel 3")</f>
        <v>channel 3</v>
      </c>
    </row>
    <row r="76">
      <c r="A76" s="141"/>
      <c r="B76" s="61" t="s">
        <v>2430</v>
      </c>
      <c r="C76" s="57" t="s">
        <v>19</v>
      </c>
      <c r="D76" s="61" t="s">
        <v>3350</v>
      </c>
      <c r="E76" s="11" t="str">
        <f>HYPERLINK("https://youtu.be/BxlWPq6d6EQ?t=2769","channel 4")</f>
        <v>channel 4</v>
      </c>
    </row>
    <row r="77">
      <c r="A77" s="141"/>
      <c r="B77" s="61" t="s">
        <v>3816</v>
      </c>
      <c r="C77" s="57" t="s">
        <v>173</v>
      </c>
      <c r="D77" s="61" t="s">
        <v>3649</v>
      </c>
      <c r="E77" s="11" t="str">
        <f>HYPERLINK("https://youtu.be/J6DkVX4k2yc?t=3951","channel 3")</f>
        <v>channel 3</v>
      </c>
    </row>
    <row r="78">
      <c r="A78" s="141"/>
      <c r="B78" s="61" t="s">
        <v>2430</v>
      </c>
      <c r="C78" s="57" t="s">
        <v>173</v>
      </c>
      <c r="D78" s="61" t="s">
        <v>1694</v>
      </c>
      <c r="E78" s="11" t="str">
        <f>HYPERLINK("https://youtu.be/BxlWPq6d6EQ?t=3769","channel 4")</f>
        <v>channel 4</v>
      </c>
    </row>
    <row r="79">
      <c r="A79" s="141"/>
      <c r="B79" s="61" t="s">
        <v>1694</v>
      </c>
      <c r="C79" s="57" t="s">
        <v>20</v>
      </c>
      <c r="D79" s="61" t="s">
        <v>3350</v>
      </c>
      <c r="E79" s="11" t="str">
        <f>HYPERLINK("https://youtu.be/J6DkVX4k2yc?t=4914","channel 3")</f>
        <v>channel 3</v>
      </c>
    </row>
    <row r="80">
      <c r="A80" s="141"/>
      <c r="B80" s="61" t="s">
        <v>2430</v>
      </c>
      <c r="C80" s="57" t="s">
        <v>203</v>
      </c>
      <c r="D80" s="61" t="s">
        <v>3649</v>
      </c>
      <c r="E80" s="11" t="str">
        <f>HYPERLINK("https://youtu.be/BxlWPq6d6EQ?t=4802","channel 4")</f>
        <v>channel 4</v>
      </c>
    </row>
    <row r="81">
      <c r="A81" s="141"/>
      <c r="B81" s="61" t="s">
        <v>3350</v>
      </c>
      <c r="C81" s="57" t="s">
        <v>216</v>
      </c>
      <c r="D81" s="61" t="s">
        <v>3816</v>
      </c>
      <c r="E81" s="122" t="s">
        <v>29</v>
      </c>
    </row>
    <row r="82">
      <c r="A82" s="141"/>
      <c r="B82" s="61" t="s">
        <v>1694</v>
      </c>
      <c r="C82" s="57" t="s">
        <v>177</v>
      </c>
      <c r="D82" s="61" t="s">
        <v>3649</v>
      </c>
      <c r="E82" s="11" t="str">
        <f>HYPERLINK("https://youtu.be/BxlWPq6d6EQ?t=5740","channel 4")</f>
        <v>channel 4</v>
      </c>
    </row>
    <row r="83">
      <c r="A83" s="141"/>
      <c r="B83" s="61" t="s">
        <v>2430</v>
      </c>
      <c r="C83" s="57" t="s">
        <v>216</v>
      </c>
      <c r="D83" s="61" t="s">
        <v>3816</v>
      </c>
      <c r="E83" s="11" t="str">
        <f>HYPERLINK("https://youtu.be/J6DkVX4k2yc?t=6798","channel 3")</f>
        <v>channel 3</v>
      </c>
    </row>
    <row r="84">
      <c r="A84" s="141"/>
      <c r="B84" s="61" t="s">
        <v>3350</v>
      </c>
      <c r="C84" s="57" t="s">
        <v>181</v>
      </c>
      <c r="D84" s="61" t="s">
        <v>3649</v>
      </c>
      <c r="E84" s="11" t="str">
        <f>HYPERLINK("https://youtu.be/BxlWPq6d6EQ?t=6726","channel 4")</f>
        <v>channel 4</v>
      </c>
    </row>
    <row r="85">
      <c r="A85" s="141"/>
      <c r="B85" s="61" t="s">
        <v>1694</v>
      </c>
      <c r="C85" s="57" t="s">
        <v>36</v>
      </c>
      <c r="D85" s="61" t="s">
        <v>3816</v>
      </c>
      <c r="E85" s="11" t="str">
        <f>HYPERLINK("https://youtu.be/J6DkVX4k2yc?t=7720","channel 3")</f>
        <v>channel 3</v>
      </c>
    </row>
    <row r="86">
      <c r="A86" s="141"/>
      <c r="B86" s="61" t="s">
        <v>3350</v>
      </c>
      <c r="C86" s="57" t="s">
        <v>157</v>
      </c>
      <c r="D86" s="61" t="s">
        <v>2430</v>
      </c>
      <c r="E86" s="11" t="str">
        <f>HYPERLINK("https://youtu.be/BxlWPq6d6EQ?t=7630","channel 4")</f>
        <v>channel 4</v>
      </c>
    </row>
    <row r="87">
      <c r="A87" s="141"/>
      <c r="B87" s="61" t="s">
        <v>3649</v>
      </c>
      <c r="C87" s="57" t="s">
        <v>216</v>
      </c>
      <c r="D87" s="61" t="s">
        <v>3816</v>
      </c>
      <c r="E87" s="11" t="str">
        <f>HYPERLINK("https://youtu.be/J6DkVX4k2yc?t=8659","channel 3")</f>
        <v>channel 3</v>
      </c>
    </row>
    <row r="88">
      <c r="A88" s="141"/>
      <c r="B88" s="61" t="s">
        <v>1694</v>
      </c>
      <c r="C88" s="57" t="s">
        <v>185</v>
      </c>
      <c r="D88" s="61" t="s">
        <v>2430</v>
      </c>
      <c r="E88" s="11" t="str">
        <f>HYPERLINK("https://youtu.be/BxlWPq6d6EQ?t=8575","channel 4")</f>
        <v>channel 4</v>
      </c>
    </row>
    <row r="89">
      <c r="A89" s="141"/>
      <c r="B89" s="96" t="s">
        <v>2152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61" t="s">
        <v>3559</v>
      </c>
      <c r="C91" s="57" t="s">
        <v>610</v>
      </c>
      <c r="D91" s="61" t="s">
        <v>3817</v>
      </c>
      <c r="E91" s="11" t="str">
        <f>HYPERLINK("https://youtu.be/4Ns2OV0QuMQ","channel 1")</f>
        <v>channel 1</v>
      </c>
    </row>
    <row r="92">
      <c r="A92" s="141"/>
      <c r="B92" s="61" t="s">
        <v>1922</v>
      </c>
      <c r="C92" s="57" t="s">
        <v>279</v>
      </c>
      <c r="D92" s="61" t="s">
        <v>3818</v>
      </c>
      <c r="E92" s="11" t="str">
        <f>HYPERLINK("https://youtu.be/JxyBgiXNZX8","channel 2")</f>
        <v>channel 2</v>
      </c>
    </row>
    <row r="93">
      <c r="A93" s="141"/>
      <c r="B93" s="61" t="s">
        <v>3819</v>
      </c>
      <c r="C93" s="57" t="s">
        <v>227</v>
      </c>
      <c r="D93" s="61" t="s">
        <v>3559</v>
      </c>
      <c r="E93" s="11" t="str">
        <f>HYPERLINK("https://youtu.be/4Ns2OV0QuMQ?t=1047","channel 1")</f>
        <v>channel 1</v>
      </c>
    </row>
    <row r="94">
      <c r="A94" s="141"/>
      <c r="B94" s="61" t="s">
        <v>1922</v>
      </c>
      <c r="C94" s="57" t="s">
        <v>508</v>
      </c>
      <c r="D94" s="61" t="s">
        <v>3817</v>
      </c>
      <c r="E94" s="11" t="str">
        <f>HYPERLINK("https://youtu.be/JxyBgiXNZX8?t=976","channel 2")</f>
        <v>channel 2</v>
      </c>
    </row>
    <row r="95">
      <c r="A95" s="141"/>
      <c r="B95" s="61" t="s">
        <v>3819</v>
      </c>
      <c r="C95" s="57" t="s">
        <v>17</v>
      </c>
      <c r="D95" s="61" t="s">
        <v>3818</v>
      </c>
      <c r="E95" s="11" t="str">
        <f>HYPERLINK("https://youtu.be/4Ns2OV0QuMQ?t=1973","channel 1")</f>
        <v>channel 1</v>
      </c>
    </row>
    <row r="96">
      <c r="A96" s="141"/>
      <c r="B96" s="61" t="s">
        <v>1922</v>
      </c>
      <c r="C96" s="57" t="s">
        <v>442</v>
      </c>
      <c r="D96" s="61" t="s">
        <v>3559</v>
      </c>
      <c r="E96" s="11" t="str">
        <f>HYPERLINK("https://youtu.be/JxyBgiXNZX8?t=1922","channel 2")</f>
        <v>channel 2</v>
      </c>
    </row>
    <row r="97">
      <c r="A97" s="141"/>
      <c r="B97" s="61" t="s">
        <v>3819</v>
      </c>
      <c r="C97" s="57" t="s">
        <v>250</v>
      </c>
      <c r="D97" s="61" t="s">
        <v>3817</v>
      </c>
      <c r="E97" s="11" t="str">
        <f>HYPERLINK("https://youtu.be/4Ns2OV0QuMQ?t=2904","channel 1")</f>
        <v>channel 1</v>
      </c>
    </row>
    <row r="98">
      <c r="A98" s="141"/>
      <c r="B98" s="61" t="s">
        <v>3818</v>
      </c>
      <c r="C98" s="57" t="s">
        <v>2125</v>
      </c>
      <c r="D98" s="61" t="s">
        <v>3559</v>
      </c>
      <c r="E98" s="11" t="str">
        <f>HYPERLINK("https://youtu.be/JxyBgiXNZX8?t=2872","channel 2")</f>
        <v>channel 2</v>
      </c>
    </row>
    <row r="99">
      <c r="A99" s="141"/>
      <c r="B99" s="61" t="s">
        <v>3819</v>
      </c>
      <c r="C99" s="57" t="s">
        <v>376</v>
      </c>
      <c r="D99" s="61" t="s">
        <v>1922</v>
      </c>
      <c r="E99" s="11" t="str">
        <f>HYPERLINK("https://youtu.be/4Ns2OV0QuMQ?t=3861","channel 1")</f>
        <v>channel 1</v>
      </c>
    </row>
    <row r="100">
      <c r="A100" s="141"/>
      <c r="B100" s="61" t="s">
        <v>3818</v>
      </c>
      <c r="C100" s="57" t="s">
        <v>697</v>
      </c>
      <c r="D100" s="61" t="s">
        <v>3817</v>
      </c>
      <c r="E100" s="11" t="str">
        <f>HYPERLINK("https://youtu.be/JxyBgiXNZX8?t=3828","channel 2")</f>
        <v>channel 2</v>
      </c>
    </row>
    <row r="101">
      <c r="A101" s="141"/>
      <c r="B101" s="61" t="s">
        <v>3817</v>
      </c>
      <c r="C101" s="57" t="s">
        <v>303</v>
      </c>
      <c r="D101" s="61" t="s">
        <v>3559</v>
      </c>
      <c r="E101" s="11" t="str">
        <f>HYPERLINK("https://youtu.be/4Ns2OV0QuMQ?t=4823","channel 1")</f>
        <v>channel 1</v>
      </c>
    </row>
    <row r="102">
      <c r="A102" s="141"/>
      <c r="B102" s="61" t="s">
        <v>3818</v>
      </c>
      <c r="C102" s="57" t="s">
        <v>225</v>
      </c>
      <c r="D102" s="61" t="s">
        <v>1922</v>
      </c>
      <c r="E102" s="11" t="str">
        <f>HYPERLINK("https://youtu.be/JxyBgiXNZX8?t=4777","channel 2")</f>
        <v>channel 2</v>
      </c>
    </row>
    <row r="103">
      <c r="A103" s="141"/>
      <c r="B103" s="61" t="s">
        <v>3559</v>
      </c>
      <c r="C103" s="57" t="s">
        <v>155</v>
      </c>
      <c r="D103" s="61" t="s">
        <v>3819</v>
      </c>
      <c r="E103" s="11" t="str">
        <f>HYPERLINK("https://youtu.be/4Ns2OV0QuMQ?t=5781","channel 1")</f>
        <v>channel 1</v>
      </c>
    </row>
    <row r="104">
      <c r="A104" s="141"/>
      <c r="B104" s="61" t="s">
        <v>3817</v>
      </c>
      <c r="C104" s="57" t="s">
        <v>1107</v>
      </c>
      <c r="D104" s="61" t="s">
        <v>1922</v>
      </c>
      <c r="E104" s="11" t="str">
        <f>HYPERLINK("https://youtu.be/JxyBgiXNZX8?t=5739","channel 2")</f>
        <v>channel 2</v>
      </c>
    </row>
    <row r="105">
      <c r="A105" s="141"/>
      <c r="B105" s="61" t="s">
        <v>3818</v>
      </c>
      <c r="C105" s="57" t="s">
        <v>426</v>
      </c>
      <c r="D105" s="61" t="s">
        <v>3819</v>
      </c>
      <c r="E105" s="11" t="str">
        <f>HYPERLINK("https://youtu.be/4Ns2OV0QuMQ?t=6737","channel 1")</f>
        <v>channel 1</v>
      </c>
    </row>
    <row r="106">
      <c r="A106" s="141"/>
      <c r="B106" s="61" t="s">
        <v>3559</v>
      </c>
      <c r="C106" s="57" t="s">
        <v>271</v>
      </c>
      <c r="D106" s="61" t="s">
        <v>1922</v>
      </c>
      <c r="E106" s="11" t="str">
        <f>HYPERLINK("https://youtu.be/JxyBgiXNZX8?t=6665","channel 2")</f>
        <v>channel 2</v>
      </c>
    </row>
    <row r="107">
      <c r="A107" s="141"/>
      <c r="B107" s="61" t="s">
        <v>3817</v>
      </c>
      <c r="C107" s="57" t="s">
        <v>376</v>
      </c>
      <c r="D107" s="61" t="s">
        <v>3819</v>
      </c>
      <c r="E107" s="11" t="str">
        <f>HYPERLINK("https://youtu.be/4Ns2OV0QuMQ?t=7686","channel 1")</f>
        <v>channel 1</v>
      </c>
    </row>
    <row r="108">
      <c r="A108" s="141"/>
      <c r="B108" s="61" t="s">
        <v>3559</v>
      </c>
      <c r="C108" s="57" t="s">
        <v>17</v>
      </c>
      <c r="D108" s="61" t="s">
        <v>3818</v>
      </c>
      <c r="E108" s="11" t="str">
        <f>HYPERLINK("https://youtu.be/JxyBgiXNZX8?t=7608","channel 2")</f>
        <v>channel 2</v>
      </c>
    </row>
    <row r="109">
      <c r="A109" s="141"/>
      <c r="B109" s="61" t="s">
        <v>1922</v>
      </c>
      <c r="C109" s="57" t="s">
        <v>162</v>
      </c>
      <c r="D109" s="61" t="s">
        <v>3819</v>
      </c>
      <c r="E109" s="11" t="str">
        <f>HYPERLINK("https://youtu.be/4Ns2OV0QuMQ?t=8701","channel 1")</f>
        <v>channel 1</v>
      </c>
    </row>
    <row r="110">
      <c r="A110" s="141"/>
      <c r="B110" s="61" t="s">
        <v>3817</v>
      </c>
      <c r="C110" s="57" t="s">
        <v>158</v>
      </c>
      <c r="D110" s="61" t="s">
        <v>3818</v>
      </c>
      <c r="E110" s="11" t="str">
        <f>HYPERLINK("https://youtu.be/JxyBgiXNZX8?t=8606","channel 2")</f>
        <v>channel 2</v>
      </c>
    </row>
    <row r="111">
      <c r="A111" s="141"/>
      <c r="B111" s="96" t="s">
        <v>1803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3820</v>
      </c>
      <c r="C113" s="57" t="s">
        <v>165</v>
      </c>
      <c r="D113" s="61" t="s">
        <v>3821</v>
      </c>
      <c r="E113" s="11" t="str">
        <f>HYPERLINK("https://youtu.be/HUHoIldyFW0","channel 1")</f>
        <v>channel 1</v>
      </c>
    </row>
    <row r="114">
      <c r="A114" s="141"/>
      <c r="B114" s="61" t="s">
        <v>1480</v>
      </c>
      <c r="C114" s="57" t="s">
        <v>177</v>
      </c>
      <c r="D114" s="61" t="s">
        <v>3822</v>
      </c>
      <c r="E114" s="11" t="str">
        <f>HYPERLINK("https://youtu.be/Pq9AC89WksQ","channel 2")</f>
        <v>channel 2</v>
      </c>
    </row>
    <row r="115">
      <c r="A115" s="141"/>
      <c r="B115" s="61" t="s">
        <v>3823</v>
      </c>
      <c r="C115" s="57" t="s">
        <v>219</v>
      </c>
      <c r="D115" s="61" t="s">
        <v>3820</v>
      </c>
      <c r="E115" s="11" t="str">
        <f>HYPERLINK("https://youtu.be/HUHoIldyFW0?t=1064","channel 1")</f>
        <v>channel 1</v>
      </c>
    </row>
    <row r="116">
      <c r="A116" s="141"/>
      <c r="B116" s="61" t="s">
        <v>1480</v>
      </c>
      <c r="C116" s="57" t="s">
        <v>38</v>
      </c>
      <c r="D116" s="61" t="s">
        <v>3821</v>
      </c>
      <c r="E116" s="11" t="str">
        <f>HYPERLINK("https://youtu.be/Pq9AC89WksQ?t=1025","channel 2")</f>
        <v>channel 2</v>
      </c>
    </row>
    <row r="117">
      <c r="A117" s="141"/>
      <c r="B117" s="61" t="s">
        <v>3823</v>
      </c>
      <c r="C117" s="57" t="s">
        <v>362</v>
      </c>
      <c r="D117" s="61" t="s">
        <v>3822</v>
      </c>
      <c r="E117" s="11" t="str">
        <f>HYPERLINK("https://youtu.be/HUHoIldyFW0?t=2023","channel 1")</f>
        <v>channel 1</v>
      </c>
    </row>
    <row r="118">
      <c r="A118" s="141"/>
      <c r="B118" s="61" t="s">
        <v>1480</v>
      </c>
      <c r="C118" s="57" t="s">
        <v>426</v>
      </c>
      <c r="D118" s="61" t="s">
        <v>3820</v>
      </c>
      <c r="E118" s="11" t="str">
        <f>HYPERLINK("https://youtu.be/Pq9AC89WksQ?t=1025","channel 2")</f>
        <v>channel 2</v>
      </c>
    </row>
    <row r="119">
      <c r="A119" s="141"/>
      <c r="B119" s="61" t="s">
        <v>3823</v>
      </c>
      <c r="C119" s="57" t="s">
        <v>958</v>
      </c>
      <c r="D119" s="61" t="s">
        <v>3821</v>
      </c>
      <c r="E119" s="11" t="str">
        <f>HYPERLINK("https://youtu.be/HUHoIldyFW0?t=3030","channel 1")</f>
        <v>channel 1</v>
      </c>
    </row>
    <row r="120">
      <c r="A120" s="141"/>
      <c r="B120" s="61" t="s">
        <v>3822</v>
      </c>
      <c r="C120" s="57" t="s">
        <v>41</v>
      </c>
      <c r="D120" s="61" t="s">
        <v>3820</v>
      </c>
      <c r="E120" s="11" t="str">
        <f>HYPERLINK("https://youtu.be/Pq9AC89WksQ?t=2936","channel 2")</f>
        <v>channel 2</v>
      </c>
    </row>
    <row r="121">
      <c r="A121" s="141"/>
      <c r="B121" s="61" t="s">
        <v>3823</v>
      </c>
      <c r="C121" s="57" t="s">
        <v>442</v>
      </c>
      <c r="D121" s="61" t="s">
        <v>1480</v>
      </c>
      <c r="E121" s="11" t="str">
        <f>HYPERLINK("https://youtu.be/HUHoIldyFW0?t=4001","channel 1")</f>
        <v>channel 1</v>
      </c>
    </row>
    <row r="122">
      <c r="A122" s="141"/>
      <c r="B122" s="61" t="s">
        <v>3822</v>
      </c>
      <c r="C122" s="57" t="s">
        <v>351</v>
      </c>
      <c r="D122" s="61" t="s">
        <v>3821</v>
      </c>
      <c r="E122" s="11" t="str">
        <f>HYPERLINK("https://youtu.be/Pq9AC89WksQ?t=3925","channel 2")</f>
        <v>channel 2</v>
      </c>
    </row>
    <row r="123">
      <c r="A123" s="141"/>
      <c r="B123" s="61" t="s">
        <v>3821</v>
      </c>
      <c r="C123" s="57" t="s">
        <v>1173</v>
      </c>
      <c r="D123" s="61" t="s">
        <v>3820</v>
      </c>
      <c r="E123" s="11" t="str">
        <f>HYPERLINK("https://youtu.be/HUHoIldyFW0?t=4920","channel 1")</f>
        <v>channel 1</v>
      </c>
    </row>
    <row r="124">
      <c r="A124" s="141"/>
      <c r="B124" s="61" t="s">
        <v>3822</v>
      </c>
      <c r="C124" s="57" t="s">
        <v>257</v>
      </c>
      <c r="D124" s="61" t="s">
        <v>1480</v>
      </c>
      <c r="E124" s="11" t="str">
        <f>HYPERLINK("https://youtu.be/Pq9AC89WksQ?t=4891","channel 2")</f>
        <v>channel 2</v>
      </c>
    </row>
    <row r="125">
      <c r="A125" s="141"/>
      <c r="B125" s="61" t="s">
        <v>3820</v>
      </c>
      <c r="C125" s="57" t="s">
        <v>41</v>
      </c>
      <c r="D125" s="61" t="s">
        <v>3823</v>
      </c>
      <c r="E125" s="11" t="str">
        <f>HYPERLINK("https://youtu.be/HUHoIldyFW0?t=5848","channel 1")</f>
        <v>channel 1</v>
      </c>
    </row>
    <row r="126">
      <c r="A126" s="141"/>
      <c r="B126" s="61" t="s">
        <v>3821</v>
      </c>
      <c r="C126" s="57" t="s">
        <v>554</v>
      </c>
      <c r="D126" s="61" t="s">
        <v>1480</v>
      </c>
      <c r="E126" s="11" t="str">
        <f>HYPERLINK("https://youtu.be/Pq9AC89WksQ?t=5832","channel 2")</f>
        <v>channel 2</v>
      </c>
    </row>
    <row r="127">
      <c r="A127" s="141"/>
      <c r="B127" s="61" t="s">
        <v>3822</v>
      </c>
      <c r="C127" s="57" t="s">
        <v>158</v>
      </c>
      <c r="D127" s="61" t="s">
        <v>3823</v>
      </c>
      <c r="E127" s="11" t="str">
        <f>HYPERLINK("https://youtu.be/HUHoIldyFW0?t=6777","channel 1")</f>
        <v>channel 1</v>
      </c>
    </row>
    <row r="128">
      <c r="A128" s="141"/>
      <c r="B128" s="61" t="s">
        <v>3820</v>
      </c>
      <c r="C128" s="57" t="s">
        <v>3824</v>
      </c>
      <c r="D128" s="61" t="s">
        <v>1480</v>
      </c>
      <c r="E128" s="11" t="str">
        <f>HYPERLINK("https://youtu.be/Pq9AC89WksQ?t=6781","channel 2")</f>
        <v>channel 2</v>
      </c>
    </row>
    <row r="129">
      <c r="A129" s="141"/>
      <c r="B129" s="61" t="s">
        <v>3821</v>
      </c>
      <c r="C129" s="57" t="s">
        <v>517</v>
      </c>
      <c r="D129" s="61" t="s">
        <v>3823</v>
      </c>
      <c r="E129" s="11" t="str">
        <f>HYPERLINK("https://youtu.be/HUHoIldyFW0?t=7743","channel 1")</f>
        <v>channel 1</v>
      </c>
    </row>
    <row r="130">
      <c r="A130" s="141"/>
      <c r="B130" s="61" t="s">
        <v>3820</v>
      </c>
      <c r="C130" s="57" t="s">
        <v>3825</v>
      </c>
      <c r="D130" s="61" t="s">
        <v>3822</v>
      </c>
      <c r="E130" s="11" t="str">
        <f>HYPERLINK("https://youtu.be/Pq9AC89WksQ?t=7724","channel 2")</f>
        <v>channel 2</v>
      </c>
    </row>
    <row r="131">
      <c r="A131" s="141"/>
      <c r="B131" s="61" t="s">
        <v>1480</v>
      </c>
      <c r="C131" s="57" t="s">
        <v>194</v>
      </c>
      <c r="D131" s="61" t="s">
        <v>3823</v>
      </c>
      <c r="E131" s="11" t="str">
        <f>HYPERLINK("https://youtu.be/HUHoIldyFW0?t=8637","channel 1")</f>
        <v>channel 1</v>
      </c>
    </row>
    <row r="132">
      <c r="A132" s="145"/>
      <c r="B132" s="61" t="s">
        <v>3821</v>
      </c>
      <c r="C132" s="57" t="s">
        <v>1091</v>
      </c>
      <c r="D132" s="61" t="s">
        <v>3822</v>
      </c>
      <c r="E132" s="11" t="str">
        <f>HYPERLINK("https://youtu.be/Pq9AC89WksQ?t=8712","channel 2")</f>
        <v>channel 2</v>
      </c>
    </row>
    <row r="133">
      <c r="B133" s="52" t="s">
        <v>2666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3814</v>
      </c>
      <c r="C135" s="57" t="s">
        <v>7</v>
      </c>
      <c r="D135" s="62" t="s">
        <v>3826</v>
      </c>
      <c r="E135" s="11" t="str">
        <f>HYPERLINK("https://youtu.be/oqxH6RwFa74","channel 3")</f>
        <v>channel 3</v>
      </c>
    </row>
    <row r="136">
      <c r="B136" s="62" t="s">
        <v>3265</v>
      </c>
      <c r="C136" s="57" t="s">
        <v>181</v>
      </c>
      <c r="D136" s="62" t="s">
        <v>2757</v>
      </c>
      <c r="E136" s="11" t="str">
        <f>HYPERLINK("https://youtu.be/yiI9_SNYWtk","channel 4")</f>
        <v>channel 4</v>
      </c>
    </row>
    <row r="137">
      <c r="B137" s="62" t="s">
        <v>3767</v>
      </c>
      <c r="C137" s="57" t="s">
        <v>237</v>
      </c>
      <c r="D137" s="62" t="s">
        <v>3814</v>
      </c>
      <c r="E137" s="11" t="str">
        <f>HYPERLINK("https://youtu.be/oqxH6RwFa74?t=954","channel 3")</f>
        <v>channel 3</v>
      </c>
    </row>
    <row r="138">
      <c r="B138" s="62" t="s">
        <v>3265</v>
      </c>
      <c r="C138" s="57" t="s">
        <v>545</v>
      </c>
      <c r="D138" s="62" t="s">
        <v>3826</v>
      </c>
      <c r="E138" s="11" t="str">
        <f>HYPERLINK("https://youtu.be/yiI9_SNYWtk?t=1063","channel 4")</f>
        <v>channel 4</v>
      </c>
    </row>
    <row r="139">
      <c r="B139" s="62" t="s">
        <v>3767</v>
      </c>
      <c r="C139" s="57" t="s">
        <v>196</v>
      </c>
      <c r="D139" s="62" t="s">
        <v>2757</v>
      </c>
      <c r="E139" s="11" t="str">
        <f>HYPERLINK("https://youtu.be/oqxH6RwFa74?t=1930","channel 3")</f>
        <v>channel 3</v>
      </c>
    </row>
    <row r="140">
      <c r="B140" s="62" t="s">
        <v>3265</v>
      </c>
      <c r="C140" s="57" t="s">
        <v>279</v>
      </c>
      <c r="D140" s="62" t="s">
        <v>3814</v>
      </c>
      <c r="E140" s="11" t="str">
        <f>HYPERLINK("https://youtu.be/yiI9_SNYWtk?t=2203","channel 4")</f>
        <v>channel 4</v>
      </c>
    </row>
    <row r="141">
      <c r="B141" s="62" t="s">
        <v>3767</v>
      </c>
      <c r="C141" s="57" t="s">
        <v>158</v>
      </c>
      <c r="D141" s="62" t="s">
        <v>3826</v>
      </c>
      <c r="E141" s="11" t="str">
        <f>HYPERLINK("https://youtu.be/oqxH6RwFa74?t=2933","channel 3")</f>
        <v>channel 3</v>
      </c>
    </row>
    <row r="142">
      <c r="B142" s="62" t="s">
        <v>2757</v>
      </c>
      <c r="C142" s="57" t="s">
        <v>16</v>
      </c>
      <c r="D142" s="62" t="s">
        <v>3814</v>
      </c>
      <c r="E142" s="11" t="str">
        <f>HYPERLINK("https://youtu.be/yiI9_SNYWtk?t=3192","channel 4")</f>
        <v>channel 4</v>
      </c>
    </row>
    <row r="143">
      <c r="B143" s="62" t="s">
        <v>3767</v>
      </c>
      <c r="C143" s="57" t="s">
        <v>178</v>
      </c>
      <c r="D143" s="62" t="s">
        <v>3265</v>
      </c>
      <c r="E143" s="11" t="str">
        <f>HYPERLINK("https://youtu.be/oqxH6RwFa74?t=3957","channel 3")</f>
        <v>channel 3</v>
      </c>
    </row>
    <row r="144">
      <c r="B144" s="62" t="s">
        <v>2757</v>
      </c>
      <c r="C144" s="57" t="s">
        <v>163</v>
      </c>
      <c r="D144" s="62" t="s">
        <v>3826</v>
      </c>
      <c r="E144" s="11" t="str">
        <f>HYPERLINK("https://youtu.be/yiI9_SNYWtk?t=4063","channel 4")</f>
        <v>channel 4</v>
      </c>
    </row>
    <row r="145">
      <c r="B145" s="62" t="s">
        <v>3826</v>
      </c>
      <c r="C145" s="57" t="s">
        <v>220</v>
      </c>
      <c r="D145" s="62" t="s">
        <v>3814</v>
      </c>
      <c r="E145" s="11" t="str">
        <f>HYPERLINK("https://youtu.be/oqxH6RwFa74?t=5079","channel 3")</f>
        <v>channel 3</v>
      </c>
    </row>
    <row r="146">
      <c r="B146" s="62" t="s">
        <v>2757</v>
      </c>
      <c r="C146" s="57" t="s">
        <v>19</v>
      </c>
      <c r="D146" s="62" t="s">
        <v>3265</v>
      </c>
      <c r="E146" s="11" t="str">
        <f>HYPERLINK("https://youtu.be/yiI9_SNYWtk?t=5017","channel 4")</f>
        <v>channel 4</v>
      </c>
    </row>
    <row r="147">
      <c r="B147" s="62" t="s">
        <v>3814</v>
      </c>
      <c r="C147" s="57" t="s">
        <v>247</v>
      </c>
      <c r="D147" s="62" t="s">
        <v>3767</v>
      </c>
      <c r="E147" s="11" t="str">
        <f>HYPERLINK("https://youtu.be/oqxH6RwFa74?t=6041","channel 3")</f>
        <v>channel 3</v>
      </c>
    </row>
    <row r="148">
      <c r="B148" s="62" t="s">
        <v>3826</v>
      </c>
      <c r="C148" s="57" t="s">
        <v>16</v>
      </c>
      <c r="D148" s="62" t="s">
        <v>3265</v>
      </c>
      <c r="E148" s="11" t="str">
        <f>HYPERLINK("https://youtu.be/yiI9_SNYWtk?t=5982","channel 4")</f>
        <v>channel 4</v>
      </c>
    </row>
    <row r="149">
      <c r="B149" s="62" t="s">
        <v>2757</v>
      </c>
      <c r="C149" s="57" t="s">
        <v>303</v>
      </c>
      <c r="D149" s="62" t="s">
        <v>3767</v>
      </c>
      <c r="E149" s="11" t="str">
        <f>HYPERLINK("https://youtu.be/oqxH6RwFa74?t=7005","channel 3")</f>
        <v>channel 3</v>
      </c>
    </row>
    <row r="150">
      <c r="B150" s="62" t="s">
        <v>3814</v>
      </c>
      <c r="C150" s="57" t="s">
        <v>196</v>
      </c>
      <c r="D150" s="62" t="s">
        <v>3265</v>
      </c>
      <c r="E150" s="11" t="str">
        <f>HYPERLINK("https://youtu.be/yiI9_SNYWtk?t=7006","channel 4")</f>
        <v>channel 4</v>
      </c>
    </row>
    <row r="151">
      <c r="B151" s="62" t="s">
        <v>3826</v>
      </c>
      <c r="C151" s="57" t="s">
        <v>203</v>
      </c>
      <c r="D151" s="62" t="s">
        <v>3767</v>
      </c>
      <c r="E151" s="11" t="str">
        <f>HYPERLINK("https://youtu.be/oqxH6RwFa74?t=7891","channel 3")</f>
        <v>channel 3</v>
      </c>
    </row>
    <row r="152">
      <c r="B152" s="62" t="s">
        <v>3814</v>
      </c>
      <c r="C152" s="57" t="s">
        <v>162</v>
      </c>
      <c r="D152" s="62" t="s">
        <v>2757</v>
      </c>
      <c r="E152" s="11" t="str">
        <f>HYPERLINK("https://youtu.be/yiI9_SNYWtk?t=7930","channel 4")</f>
        <v>channel 4</v>
      </c>
    </row>
    <row r="153">
      <c r="B153" s="62" t="s">
        <v>3265</v>
      </c>
      <c r="C153" s="57" t="s">
        <v>38</v>
      </c>
      <c r="D153" s="62" t="s">
        <v>3767</v>
      </c>
      <c r="E153" s="11" t="str">
        <f>HYPERLINK("https://youtu.be/oqxH6RwFa74?t=8848","channel 3")</f>
        <v>channel 3</v>
      </c>
    </row>
    <row r="154">
      <c r="B154" s="62" t="s">
        <v>3826</v>
      </c>
      <c r="C154" s="57" t="s">
        <v>162</v>
      </c>
      <c r="D154" s="62" t="s">
        <v>2757</v>
      </c>
      <c r="E154" s="11" t="str">
        <f>HYPERLINK("https://youtu.be/yiI9_SNYWtk?t=8817","channel 4")</f>
        <v>channel 4</v>
      </c>
    </row>
    <row r="155">
      <c r="B155" s="96" t="s">
        <v>3827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3297</v>
      </c>
      <c r="C157" s="57" t="s">
        <v>7</v>
      </c>
      <c r="D157" s="62" t="s">
        <v>1578</v>
      </c>
      <c r="E157" s="11" t="str">
        <f>HYPERLINK("https://youtu.be/iPzJUAZJ9cw","channel 3")</f>
        <v>channel 3</v>
      </c>
    </row>
    <row r="158">
      <c r="B158" s="62" t="s">
        <v>3262</v>
      </c>
      <c r="C158" s="57" t="s">
        <v>23</v>
      </c>
      <c r="D158" s="62" t="s">
        <v>3128</v>
      </c>
      <c r="E158" s="11" t="str">
        <f>HYPERLINK("https://youtu.be/5kOqR3g1iiA","channel 4")</f>
        <v>channel 4</v>
      </c>
    </row>
    <row r="159">
      <c r="B159" s="62" t="s">
        <v>3828</v>
      </c>
      <c r="C159" s="57" t="s">
        <v>16</v>
      </c>
      <c r="D159" s="62" t="s">
        <v>3297</v>
      </c>
      <c r="E159" s="11" t="str">
        <f>HYPERLINK("https://youtu.be/iPzJUAZJ9cw?t=992","channel 3")</f>
        <v>channel 3</v>
      </c>
    </row>
    <row r="160">
      <c r="B160" s="62" t="s">
        <v>3262</v>
      </c>
      <c r="C160" s="57" t="s">
        <v>7</v>
      </c>
      <c r="D160" s="62" t="s">
        <v>1578</v>
      </c>
      <c r="E160" s="11" t="str">
        <f>HYPERLINK("https://youtu.be/5kOqR3g1iiA?t=1015","channel 4")</f>
        <v>channel 4</v>
      </c>
    </row>
    <row r="161">
      <c r="B161" s="62" t="s">
        <v>3828</v>
      </c>
      <c r="C161" s="57" t="s">
        <v>459</v>
      </c>
      <c r="D161" s="62" t="s">
        <v>3128</v>
      </c>
      <c r="E161" s="11" t="str">
        <f>HYPERLINK("https://youtu.be/iPzJUAZJ9cw?t=1910","channel 3")</f>
        <v>channel 3</v>
      </c>
    </row>
    <row r="162">
      <c r="B162" s="62" t="s">
        <v>3262</v>
      </c>
      <c r="C162" s="57" t="s">
        <v>344</v>
      </c>
      <c r="D162" s="62" t="s">
        <v>3297</v>
      </c>
      <c r="E162" s="11" t="str">
        <f>HYPERLINK("https://youtu.be/5kOqR3g1iiA?t=2023","channel 4")</f>
        <v>channel 4</v>
      </c>
    </row>
    <row r="163">
      <c r="B163" s="62" t="s">
        <v>3828</v>
      </c>
      <c r="C163" s="57" t="s">
        <v>248</v>
      </c>
      <c r="D163" s="62" t="s">
        <v>1578</v>
      </c>
      <c r="E163" s="11" t="str">
        <f>HYPERLINK("https://youtu.be/iPzJUAZJ9cw?t=2821","channel 3")</f>
        <v>channel 3</v>
      </c>
    </row>
    <row r="164">
      <c r="B164" s="62" t="s">
        <v>3128</v>
      </c>
      <c r="C164" s="57" t="s">
        <v>2385</v>
      </c>
      <c r="D164" s="62" t="s">
        <v>3297</v>
      </c>
      <c r="E164" s="11" t="str">
        <f>HYPERLINK("https://youtu.be/5kOqR3g1iiA?t=2956","channel 4")</f>
        <v>channel 4</v>
      </c>
    </row>
    <row r="165">
      <c r="B165" s="62" t="s">
        <v>3828</v>
      </c>
      <c r="C165" s="57" t="s">
        <v>7</v>
      </c>
      <c r="D165" s="62" t="s">
        <v>3262</v>
      </c>
      <c r="E165" s="11" t="str">
        <f>HYPERLINK("https://youtu.be/iPzJUAZJ9cw?t=3745","channel 3")</f>
        <v>channel 3</v>
      </c>
    </row>
    <row r="166">
      <c r="B166" s="62" t="s">
        <v>3128</v>
      </c>
      <c r="C166" s="57" t="s">
        <v>185</v>
      </c>
      <c r="D166" s="62" t="s">
        <v>1578</v>
      </c>
      <c r="E166" s="11" t="str">
        <f>HYPERLINK("https://youtu.be/5kOqR3g1iiA?t=3885","channel 4")</f>
        <v>channel 4</v>
      </c>
    </row>
    <row r="167">
      <c r="B167" s="62" t="s">
        <v>1578</v>
      </c>
      <c r="C167" s="57" t="s">
        <v>7</v>
      </c>
      <c r="D167" s="62" t="s">
        <v>3297</v>
      </c>
      <c r="E167" s="11" t="str">
        <f>HYPERLINK("https://youtu.be/iPzJUAZJ9cw?t=4752","channel 3")</f>
        <v>channel 3</v>
      </c>
    </row>
    <row r="168">
      <c r="B168" s="62" t="s">
        <v>3128</v>
      </c>
      <c r="C168" s="57" t="s">
        <v>158</v>
      </c>
      <c r="D168" s="62" t="s">
        <v>3262</v>
      </c>
      <c r="E168" s="11" t="str">
        <f>HYPERLINK("https://youtu.be/5kOqR3g1iiA?t=4830","channel 4")</f>
        <v>channel 4</v>
      </c>
    </row>
    <row r="169">
      <c r="B169" s="62" t="s">
        <v>3297</v>
      </c>
      <c r="C169" s="57" t="s">
        <v>301</v>
      </c>
      <c r="D169" s="62" t="s">
        <v>3828</v>
      </c>
      <c r="E169" s="11" t="str">
        <f>HYPERLINK("https://youtu.be/iPzJUAZJ9cw?t=5732","channel 3")</f>
        <v>channel 3</v>
      </c>
    </row>
    <row r="170">
      <c r="B170" s="62" t="s">
        <v>1578</v>
      </c>
      <c r="C170" s="57" t="s">
        <v>18</v>
      </c>
      <c r="D170" s="62" t="s">
        <v>3262</v>
      </c>
      <c r="E170" s="11" t="str">
        <f>HYPERLINK("https://youtu.be/5kOqR3g1iiA?t=5751","channel 4")</f>
        <v>channel 4</v>
      </c>
    </row>
    <row r="171">
      <c r="B171" s="62" t="s">
        <v>3128</v>
      </c>
      <c r="C171" s="57" t="s">
        <v>657</v>
      </c>
      <c r="D171" s="62" t="s">
        <v>3828</v>
      </c>
      <c r="E171" s="11" t="str">
        <f>HYPERLINK("https://youtu.be/iPzJUAZJ9cw?t=6704","channel 3")</f>
        <v>channel 3</v>
      </c>
    </row>
    <row r="172">
      <c r="B172" s="62" t="s">
        <v>3297</v>
      </c>
      <c r="C172" s="57" t="s">
        <v>334</v>
      </c>
      <c r="D172" s="62" t="s">
        <v>3262</v>
      </c>
      <c r="E172" s="11" t="str">
        <f>HYPERLINK("https://youtu.be/5kOqR3g1iiA?t=6696","channel 4")</f>
        <v>channel 4</v>
      </c>
    </row>
    <row r="173">
      <c r="B173" s="62" t="s">
        <v>1578</v>
      </c>
      <c r="C173" s="57" t="s">
        <v>14</v>
      </c>
      <c r="D173" s="62" t="s">
        <v>3828</v>
      </c>
      <c r="E173" s="11" t="str">
        <f>HYPERLINK("https://youtu.be/iPzJUAZJ9cw?t=7632","channel 3")</f>
        <v>channel 3</v>
      </c>
    </row>
    <row r="174">
      <c r="B174" s="62" t="s">
        <v>3297</v>
      </c>
      <c r="C174" s="57" t="s">
        <v>16</v>
      </c>
      <c r="D174" s="62" t="s">
        <v>3128</v>
      </c>
      <c r="E174" s="11" t="str">
        <f>HYPERLINK("https://youtu.be/5kOqR3g1iiA?t=7735","channel 4")</f>
        <v>channel 4</v>
      </c>
    </row>
    <row r="175">
      <c r="B175" s="62" t="s">
        <v>3262</v>
      </c>
      <c r="C175" s="57" t="s">
        <v>693</v>
      </c>
      <c r="D175" s="62" t="s">
        <v>3828</v>
      </c>
      <c r="E175" s="11" t="str">
        <f>HYPERLINK("https://youtu.be/iPzJUAZJ9cw?t=8510","channel 3")</f>
        <v>channel 3</v>
      </c>
    </row>
    <row r="176">
      <c r="B176" s="62" t="s">
        <v>1578</v>
      </c>
      <c r="C176" s="57" t="s">
        <v>525</v>
      </c>
      <c r="D176" s="62" t="s">
        <v>3128</v>
      </c>
      <c r="E176" s="11" t="str">
        <f>HYPERLINK("https://youtu.be/5kOqR3g1iiA?t=8669","channel 4")</f>
        <v>channel 4</v>
      </c>
    </row>
    <row r="177">
      <c r="B177" s="96" t="s">
        <v>2995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3829</v>
      </c>
      <c r="C179" s="57" t="s">
        <v>250</v>
      </c>
      <c r="D179" s="62" t="s">
        <v>1135</v>
      </c>
      <c r="E179" s="11" t="str">
        <f>HYPERLINK("https://youtu.be/2gs0BVjeot8","channel 1")</f>
        <v>channel 1</v>
      </c>
    </row>
    <row r="180">
      <c r="B180" s="62" t="s">
        <v>3830</v>
      </c>
      <c r="C180" s="57" t="s">
        <v>218</v>
      </c>
      <c r="D180" s="62" t="s">
        <v>3831</v>
      </c>
      <c r="E180" s="11" t="str">
        <f>HYPERLINK("https://youtu.be/i5NUEBgLqa4","channel 2")</f>
        <v>channel 2</v>
      </c>
    </row>
    <row r="181">
      <c r="B181" s="62" t="s">
        <v>3832</v>
      </c>
      <c r="C181" s="57" t="s">
        <v>3833</v>
      </c>
      <c r="D181" s="62" t="s">
        <v>3829</v>
      </c>
      <c r="E181" s="11" t="str">
        <f>HYPERLINK("https://youtu.be/2gs0BVjeot8?t=1058","channel 1")</f>
        <v>channel 1</v>
      </c>
    </row>
    <row r="182">
      <c r="B182" s="62" t="s">
        <v>3830</v>
      </c>
      <c r="C182" s="57" t="s">
        <v>211</v>
      </c>
      <c r="D182" s="62" t="s">
        <v>1135</v>
      </c>
      <c r="E182" s="11" t="str">
        <f>HYPERLINK("https://youtu.be/i5NUEBgLqa4?t=1025","channel 2")</f>
        <v>channel 2</v>
      </c>
    </row>
    <row r="183">
      <c r="B183" s="62" t="s">
        <v>3832</v>
      </c>
      <c r="C183" s="57" t="s">
        <v>709</v>
      </c>
      <c r="D183" s="62" t="s">
        <v>3831</v>
      </c>
      <c r="E183" s="11" t="str">
        <f>HYPERLINK("https://youtu.be/2gs0BVjeot8?t=1994","channel 1")</f>
        <v>channel 1</v>
      </c>
    </row>
    <row r="184">
      <c r="B184" s="62" t="s">
        <v>3830</v>
      </c>
      <c r="C184" s="57" t="s">
        <v>219</v>
      </c>
      <c r="D184" s="62" t="s">
        <v>3829</v>
      </c>
      <c r="E184" s="11" t="str">
        <f>HYPERLINK("https://youtu.be/i5NUEBgLqa4?t=1984","channel 2")</f>
        <v>channel 2</v>
      </c>
    </row>
    <row r="185">
      <c r="B185" s="62" t="s">
        <v>3832</v>
      </c>
      <c r="C185" s="57" t="s">
        <v>508</v>
      </c>
      <c r="D185" s="62" t="s">
        <v>1135</v>
      </c>
      <c r="E185" s="11" t="str">
        <f>HYPERLINK("https://youtu.be/2gs0BVjeot8?t=2995","channel 1")</f>
        <v>channel 1</v>
      </c>
    </row>
    <row r="186">
      <c r="B186" s="62" t="s">
        <v>3831</v>
      </c>
      <c r="C186" s="57" t="s">
        <v>291</v>
      </c>
      <c r="D186" s="62" t="s">
        <v>3829</v>
      </c>
      <c r="E186" s="11" t="str">
        <f>HYPERLINK("https://youtu.be/i5NUEBgLqa4?t=2886","channel 2")</f>
        <v>channel 2</v>
      </c>
    </row>
    <row r="187">
      <c r="B187" s="62" t="s">
        <v>3832</v>
      </c>
      <c r="C187" s="57" t="s">
        <v>324</v>
      </c>
      <c r="D187" s="62" t="s">
        <v>3830</v>
      </c>
      <c r="E187" s="11" t="str">
        <f>HYPERLINK("https://youtu.be/2gs0BVjeot8?t=3979","channel 1")</f>
        <v>channel 1</v>
      </c>
    </row>
    <row r="188">
      <c r="B188" s="62" t="s">
        <v>3831</v>
      </c>
      <c r="C188" s="57" t="s">
        <v>248</v>
      </c>
      <c r="D188" s="62" t="s">
        <v>1135</v>
      </c>
      <c r="E188" s="11" t="str">
        <f>HYPERLINK("https://youtu.be/i5NUEBgLqa4?t=3959","channel 2")</f>
        <v>channel 2</v>
      </c>
    </row>
    <row r="189">
      <c r="B189" s="62" t="s">
        <v>1135</v>
      </c>
      <c r="C189" s="57" t="s">
        <v>327</v>
      </c>
      <c r="D189" s="62" t="s">
        <v>3829</v>
      </c>
      <c r="E189" s="11" t="str">
        <f>HYPERLINK("https://youtu.be/2gs0BVjeot8?t=4950","channel 1")</f>
        <v>channel 1</v>
      </c>
    </row>
    <row r="190">
      <c r="B190" s="62" t="s">
        <v>3831</v>
      </c>
      <c r="C190" s="57" t="s">
        <v>3834</v>
      </c>
      <c r="D190" s="62" t="s">
        <v>3830</v>
      </c>
      <c r="E190" s="11" t="str">
        <f>HYPERLINK("https://youtu.be/i5NUEBgLqa4?t=4861","channel 2")</f>
        <v>channel 2</v>
      </c>
    </row>
    <row r="191">
      <c r="B191" s="62" t="s">
        <v>3829</v>
      </c>
      <c r="C191" s="57" t="s">
        <v>313</v>
      </c>
      <c r="D191" s="62" t="s">
        <v>3832</v>
      </c>
      <c r="E191" s="11" t="str">
        <f>HYPERLINK("https://youtu.be/2gs0BVjeot8?t=5912","channel 1")</f>
        <v>channel 1</v>
      </c>
    </row>
    <row r="192">
      <c r="B192" s="62" t="s">
        <v>1135</v>
      </c>
      <c r="C192" s="57" t="s">
        <v>27</v>
      </c>
      <c r="D192" s="62" t="s">
        <v>3830</v>
      </c>
      <c r="E192" s="11" t="str">
        <f>HYPERLINK("https://youtu.be/i5NUEBgLqa4?t=5896","channel 2")</f>
        <v>channel 2</v>
      </c>
    </row>
    <row r="193">
      <c r="B193" s="62" t="s">
        <v>3831</v>
      </c>
      <c r="C193" s="57" t="s">
        <v>352</v>
      </c>
      <c r="D193" s="62" t="s">
        <v>3832</v>
      </c>
      <c r="E193" s="11" t="str">
        <f>HYPERLINK("https://youtu.be/2gs0BVjeot8?t=6876","channel 1")</f>
        <v>channel 1</v>
      </c>
    </row>
    <row r="194">
      <c r="B194" s="62" t="s">
        <v>3829</v>
      </c>
      <c r="C194" s="57" t="s">
        <v>225</v>
      </c>
      <c r="D194" s="62" t="s">
        <v>3830</v>
      </c>
      <c r="E194" s="11" t="str">
        <f>HYPERLINK("https://youtu.be/i5NUEBgLqa4?t=6837","channel 2")</f>
        <v>channel 2</v>
      </c>
    </row>
    <row r="195">
      <c r="B195" s="62" t="s">
        <v>1135</v>
      </c>
      <c r="C195" s="57" t="s">
        <v>264</v>
      </c>
      <c r="D195" s="62" t="s">
        <v>3832</v>
      </c>
      <c r="E195" s="11" t="str">
        <f>HYPERLINK("https://youtu.be/2gs0BVjeot8?t=7807","channel 1")</f>
        <v>channel 1</v>
      </c>
    </row>
    <row r="196">
      <c r="B196" s="62" t="s">
        <v>3829</v>
      </c>
      <c r="C196" s="57" t="s">
        <v>196</v>
      </c>
      <c r="D196" s="62" t="s">
        <v>3831</v>
      </c>
      <c r="E196" s="11" t="str">
        <f>HYPERLINK("https://youtu.be/i5NUEBgLqa4?t=7789","channel 2")</f>
        <v>channel 2</v>
      </c>
    </row>
    <row r="197">
      <c r="B197" s="62" t="s">
        <v>3830</v>
      </c>
      <c r="C197" s="57" t="s">
        <v>674</v>
      </c>
      <c r="D197" s="62" t="s">
        <v>3832</v>
      </c>
      <c r="E197" s="11" t="str">
        <f>HYPERLINK("https://youtu.be/2gs0BVjeot8?t=8706","channel 1")</f>
        <v>channel 1</v>
      </c>
    </row>
    <row r="198">
      <c r="B198" s="62" t="s">
        <v>1135</v>
      </c>
      <c r="C198" s="57" t="s">
        <v>181</v>
      </c>
      <c r="D198" s="62" t="s">
        <v>3831</v>
      </c>
      <c r="E198" s="11" t="str">
        <f>HYPERLINK("https://youtu.be/i5NUEBgLqa4?t=8650","channel 2")</f>
        <v>channel 2</v>
      </c>
    </row>
    <row r="199">
      <c r="B199" s="96" t="s">
        <v>2304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3835</v>
      </c>
      <c r="C201" s="57" t="s">
        <v>16</v>
      </c>
      <c r="D201" s="62" t="s">
        <v>2253</v>
      </c>
      <c r="E201" s="11" t="str">
        <f>HYPERLINK("https://youtu.be/GEA5oYSNWjA","channel 1")</f>
        <v>channel 1</v>
      </c>
    </row>
    <row r="202">
      <c r="B202" s="62" t="s">
        <v>2593</v>
      </c>
      <c r="C202" s="57" t="s">
        <v>196</v>
      </c>
      <c r="D202" s="62" t="s">
        <v>3836</v>
      </c>
      <c r="E202" s="11" t="str">
        <f>HYPERLINK("https://youtu.be/hSyc2OjSykc","channel 2")</f>
        <v>channel 2</v>
      </c>
    </row>
    <row r="203">
      <c r="B203" s="62" t="s">
        <v>3756</v>
      </c>
      <c r="C203" s="57" t="s">
        <v>19</v>
      </c>
      <c r="D203" s="62" t="s">
        <v>3835</v>
      </c>
      <c r="E203" s="11" t="str">
        <f>HYPERLINK("https://youtu.be/GEA5oYSNWjA?t=1132","channel 1")</f>
        <v>channel 1</v>
      </c>
    </row>
    <row r="204">
      <c r="B204" s="62" t="s">
        <v>2593</v>
      </c>
      <c r="C204" s="57" t="s">
        <v>173</v>
      </c>
      <c r="D204" s="62" t="s">
        <v>2253</v>
      </c>
      <c r="E204" s="11" t="str">
        <f>HYPERLINK("https://youtu.be/hSyc2OjSykc?t=1056","channel 2")</f>
        <v>channel 2</v>
      </c>
    </row>
    <row r="205">
      <c r="B205" s="62" t="s">
        <v>3756</v>
      </c>
      <c r="C205" s="57" t="s">
        <v>418</v>
      </c>
      <c r="D205" s="62" t="s">
        <v>3836</v>
      </c>
      <c r="E205" s="11" t="str">
        <f>HYPERLINK("https://youtu.be/GEA5oYSNWjA?t=2104","channel 1")</f>
        <v>channel 1</v>
      </c>
    </row>
    <row r="206">
      <c r="B206" s="62" t="s">
        <v>2593</v>
      </c>
      <c r="C206" s="57" t="s">
        <v>163</v>
      </c>
      <c r="D206" s="62" t="s">
        <v>3835</v>
      </c>
      <c r="E206" s="11" t="str">
        <f>HYPERLINK("https://youtu.be/hSyc2OjSykc?t=2018","channel 2")</f>
        <v>channel 2</v>
      </c>
    </row>
    <row r="207">
      <c r="B207" s="62" t="s">
        <v>3756</v>
      </c>
      <c r="C207" s="57" t="s">
        <v>19</v>
      </c>
      <c r="D207" s="62" t="s">
        <v>2253</v>
      </c>
      <c r="E207" s="11" t="str">
        <f>HYPERLINK("https://youtu.be/GEA5oYSNWjA?t=3120","channel 1")</f>
        <v>channel 1</v>
      </c>
    </row>
    <row r="208">
      <c r="B208" s="62" t="s">
        <v>3836</v>
      </c>
      <c r="C208" s="57" t="s">
        <v>162</v>
      </c>
      <c r="D208" s="62" t="s">
        <v>3835</v>
      </c>
      <c r="E208" s="11" t="str">
        <f>HYPERLINK("https://youtu.be/hSyc2OjSykc?t=2970","channel 2")</f>
        <v>channel 2</v>
      </c>
    </row>
    <row r="209">
      <c r="B209" s="62" t="s">
        <v>3756</v>
      </c>
      <c r="C209" s="57" t="s">
        <v>3359</v>
      </c>
      <c r="D209" s="62" t="s">
        <v>2593</v>
      </c>
      <c r="E209" s="11" t="str">
        <f>HYPERLINK("https://youtu.be/GEA5oYSNWjA?t=4125","channel 1")</f>
        <v>channel 1</v>
      </c>
    </row>
    <row r="210">
      <c r="B210" s="62" t="s">
        <v>3836</v>
      </c>
      <c r="C210" s="57" t="s">
        <v>301</v>
      </c>
      <c r="D210" s="62" t="s">
        <v>2253</v>
      </c>
      <c r="E210" s="11" t="str">
        <f>HYPERLINK("https://youtu.be/hSyc2OjSykc?t=3949","channel 2")</f>
        <v>channel 2</v>
      </c>
    </row>
    <row r="211">
      <c r="B211" s="62" t="s">
        <v>2253</v>
      </c>
      <c r="C211" s="57" t="s">
        <v>181</v>
      </c>
      <c r="D211" s="62" t="s">
        <v>3835</v>
      </c>
      <c r="E211" s="11" t="str">
        <f>HYPERLINK("https://youtu.be/GEA5oYSNWjA?t=5081","channel 1")</f>
        <v>channel 1</v>
      </c>
    </row>
    <row r="212">
      <c r="B212" s="62" t="s">
        <v>3836</v>
      </c>
      <c r="C212" s="57" t="s">
        <v>155</v>
      </c>
      <c r="D212" s="62" t="s">
        <v>2593</v>
      </c>
      <c r="E212" s="11" t="str">
        <f>HYPERLINK("https://youtu.be/hSyc2OjSykc?t=4988","channel 2")</f>
        <v>channel 2</v>
      </c>
    </row>
    <row r="213">
      <c r="B213" s="62" t="s">
        <v>3835</v>
      </c>
      <c r="C213" s="57" t="s">
        <v>290</v>
      </c>
      <c r="D213" s="62" t="s">
        <v>3756</v>
      </c>
      <c r="E213" s="11" t="str">
        <f>HYPERLINK("https://youtu.be/GEA5oYSNWjA?t=6039","channel 1")</f>
        <v>channel 1</v>
      </c>
    </row>
    <row r="214">
      <c r="B214" s="62" t="s">
        <v>2253</v>
      </c>
      <c r="C214" s="57" t="s">
        <v>251</v>
      </c>
      <c r="D214" s="62" t="s">
        <v>2593</v>
      </c>
      <c r="E214" s="11" t="str">
        <f>HYPERLINK("https://youtu.be/hSyc2OjSykc?t=5936","channel 2")</f>
        <v>channel 2</v>
      </c>
    </row>
    <row r="215">
      <c r="B215" s="62" t="s">
        <v>3836</v>
      </c>
      <c r="C215" s="57" t="s">
        <v>366</v>
      </c>
      <c r="D215" s="62" t="s">
        <v>3756</v>
      </c>
      <c r="E215" s="11" t="str">
        <f>HYPERLINK("https://youtu.be/GEA5oYSNWjA?t=6940","channel 1")</f>
        <v>channel 1</v>
      </c>
    </row>
    <row r="216">
      <c r="B216" s="62" t="s">
        <v>3835</v>
      </c>
      <c r="C216" s="57" t="s">
        <v>41</v>
      </c>
      <c r="D216" s="62" t="s">
        <v>2593</v>
      </c>
      <c r="E216" s="11" t="str">
        <f>HYPERLINK("https://youtu.be/hSyc2OjSykc?t=6861","channel 2")</f>
        <v>channel 2</v>
      </c>
    </row>
    <row r="217">
      <c r="B217" s="62" t="s">
        <v>2253</v>
      </c>
      <c r="C217" s="57" t="s">
        <v>998</v>
      </c>
      <c r="D217" s="62" t="s">
        <v>3756</v>
      </c>
      <c r="E217" s="11" t="str">
        <f>HYPERLINK("https://youtu.be/GEA5oYSNWjA?t=7852","channel 1")</f>
        <v>channel 1</v>
      </c>
    </row>
    <row r="218">
      <c r="B218" s="62" t="s">
        <v>3835</v>
      </c>
      <c r="C218" s="57" t="s">
        <v>574</v>
      </c>
      <c r="D218" s="62" t="s">
        <v>3836</v>
      </c>
      <c r="E218" s="11" t="str">
        <f>HYPERLINK("https://youtu.be/hSyc2OjSykc?t=7770","channel 2")</f>
        <v>channel 2</v>
      </c>
    </row>
    <row r="219">
      <c r="B219" s="62" t="s">
        <v>2593</v>
      </c>
      <c r="C219" s="57" t="s">
        <v>237</v>
      </c>
      <c r="D219" s="62" t="s">
        <v>3756</v>
      </c>
      <c r="E219" s="11" t="str">
        <f>HYPERLINK("https://youtu.be/GEA5oYSNWjA?t=8861","channel 1")</f>
        <v>channel 1</v>
      </c>
    </row>
    <row r="220">
      <c r="B220" s="62" t="s">
        <v>2253</v>
      </c>
      <c r="C220" s="57" t="s">
        <v>220</v>
      </c>
      <c r="D220" s="62" t="s">
        <v>3836</v>
      </c>
      <c r="E220" s="11" t="str">
        <f>HYPERLINK("https://youtu.be/hSyc2OjSykc?t=8711","channel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1" t="s">
        <v>2882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61" t="s">
        <v>3147</v>
      </c>
      <c r="C3" s="57" t="s">
        <v>547</v>
      </c>
      <c r="D3" s="61" t="s">
        <v>3837</v>
      </c>
      <c r="E3" s="11" t="str">
        <f>HYPERLINK("https://youtu.be/gYvtwBq69IQ","channel 1")</f>
        <v>channel 1</v>
      </c>
    </row>
    <row r="4">
      <c r="A4" s="141"/>
      <c r="B4" s="61" t="s">
        <v>3679</v>
      </c>
      <c r="C4" s="57" t="s">
        <v>210</v>
      </c>
      <c r="D4" s="61" t="s">
        <v>3176</v>
      </c>
      <c r="E4" s="11" t="str">
        <f>HYPERLINK("https://youtu.be/TrFo_TkKBLI","channel 2")</f>
        <v>channel 2</v>
      </c>
    </row>
    <row r="5">
      <c r="A5" s="141"/>
      <c r="B5" s="61" t="s">
        <v>3658</v>
      </c>
      <c r="C5" s="57" t="s">
        <v>209</v>
      </c>
      <c r="D5" s="61" t="s">
        <v>3147</v>
      </c>
      <c r="E5" s="11" t="str">
        <f>HYPERLINK("https://youtu.be/gYvtwBq69IQ?t=861","channel 1")</f>
        <v>channel 1</v>
      </c>
    </row>
    <row r="6">
      <c r="A6" s="141"/>
      <c r="B6" s="61" t="s">
        <v>3679</v>
      </c>
      <c r="C6" s="57" t="s">
        <v>239</v>
      </c>
      <c r="D6" s="61" t="s">
        <v>3837</v>
      </c>
      <c r="E6" s="11" t="str">
        <f>HYPERLINK("https://youtu.be/TrFo_TkKBLI?t=967","channel 2")</f>
        <v>channel 2</v>
      </c>
    </row>
    <row r="7">
      <c r="A7" s="141"/>
      <c r="B7" s="61" t="s">
        <v>3658</v>
      </c>
      <c r="C7" s="57" t="s">
        <v>280</v>
      </c>
      <c r="D7" s="61" t="s">
        <v>3176</v>
      </c>
      <c r="E7" s="11" t="str">
        <f>HYPERLINK("https://youtu.be/gYvtwBq69IQ?t=1887","channel 1")</f>
        <v>channel 1</v>
      </c>
    </row>
    <row r="8">
      <c r="A8" s="141"/>
      <c r="B8" s="61" t="s">
        <v>3679</v>
      </c>
      <c r="C8" s="57" t="s">
        <v>210</v>
      </c>
      <c r="D8" s="61" t="s">
        <v>3147</v>
      </c>
      <c r="E8" s="11" t="str">
        <f>HYPERLINK("https://youtu.be/TrFo_TkKBLI?t=1943","channel 2")</f>
        <v>channel 2</v>
      </c>
    </row>
    <row r="9">
      <c r="A9" s="141"/>
      <c r="B9" s="61" t="s">
        <v>3658</v>
      </c>
      <c r="C9" s="57" t="s">
        <v>433</v>
      </c>
      <c r="D9" s="61" t="s">
        <v>3837</v>
      </c>
      <c r="E9" s="11" t="str">
        <f>HYPERLINK("https://youtu.be/gYvtwBq69IQ?t=2745","channel 1")</f>
        <v>channel 1</v>
      </c>
    </row>
    <row r="10">
      <c r="A10" s="141"/>
      <c r="B10" s="61" t="s">
        <v>3176</v>
      </c>
      <c r="C10" s="57" t="s">
        <v>7</v>
      </c>
      <c r="D10" s="61" t="s">
        <v>3147</v>
      </c>
      <c r="E10" s="11" t="str">
        <f>HYPERLINK("https://youtu.be/TrFo_TkKBLI?t=2854","channel 2")</f>
        <v>channel 2</v>
      </c>
    </row>
    <row r="11">
      <c r="A11" s="141"/>
      <c r="B11" s="61" t="s">
        <v>3658</v>
      </c>
      <c r="C11" s="57" t="s">
        <v>159</v>
      </c>
      <c r="D11" s="61" t="s">
        <v>3679</v>
      </c>
      <c r="E11" s="11" t="str">
        <f>HYPERLINK("https://youtu.be/gYvtwBq69IQ?t=3608","channel 1")</f>
        <v>channel 1</v>
      </c>
    </row>
    <row r="12">
      <c r="A12" s="141"/>
      <c r="B12" s="61" t="s">
        <v>3176</v>
      </c>
      <c r="C12" s="57" t="s">
        <v>181</v>
      </c>
      <c r="D12" s="61" t="s">
        <v>3837</v>
      </c>
      <c r="E12" s="11" t="str">
        <f>HYPERLINK("https://youtu.be/TrFo_TkKBLI?t=3721","channel 2")</f>
        <v>channel 2</v>
      </c>
    </row>
    <row r="13">
      <c r="A13" s="141"/>
      <c r="B13" s="61" t="s">
        <v>3837</v>
      </c>
      <c r="C13" s="57" t="s">
        <v>3838</v>
      </c>
      <c r="D13" s="61" t="s">
        <v>3147</v>
      </c>
      <c r="E13" s="92" t="str">
        <f>HYPERLINK("https://youtu.be/gYvtwBq69IQ?t=4548","channel 1")</f>
        <v>channel 1</v>
      </c>
    </row>
    <row r="14">
      <c r="A14" s="141"/>
      <c r="B14" s="61" t="s">
        <v>3176</v>
      </c>
      <c r="C14" s="45" t="s">
        <v>291</v>
      </c>
      <c r="D14" s="61" t="s">
        <v>3679</v>
      </c>
      <c r="E14" s="11" t="str">
        <f>HYPERLINK("https://youtu.be/TrFo_TkKBLI?t=4588","channel 2")</f>
        <v>channel 2</v>
      </c>
    </row>
    <row r="15">
      <c r="A15" s="141"/>
      <c r="B15" s="61" t="s">
        <v>3147</v>
      </c>
      <c r="C15" s="45" t="s">
        <v>2125</v>
      </c>
      <c r="D15" s="61" t="s">
        <v>3658</v>
      </c>
      <c r="E15" s="11" t="str">
        <f>HYPERLINK("https://youtu.be/j8dwPcYahek","channel 1")</f>
        <v>channel 1</v>
      </c>
    </row>
    <row r="16">
      <c r="A16" s="141"/>
      <c r="B16" s="61" t="s">
        <v>3837</v>
      </c>
      <c r="C16" s="57" t="s">
        <v>162</v>
      </c>
      <c r="D16" s="61" t="s">
        <v>3679</v>
      </c>
      <c r="E16" s="11" t="str">
        <f>HYPERLINK("https://youtu.be/KANbqNPdVoU","channel 2")</f>
        <v>channel 2</v>
      </c>
    </row>
    <row r="17">
      <c r="A17" s="141"/>
      <c r="B17" s="61" t="s">
        <v>3176</v>
      </c>
      <c r="C17" s="57" t="s">
        <v>278</v>
      </c>
      <c r="D17" s="61" t="s">
        <v>3658</v>
      </c>
      <c r="E17" s="11" t="str">
        <f>HYPERLINK("https://youtu.be/j8dwPcYahek?t=869","channel 1")</f>
        <v>channel 1</v>
      </c>
    </row>
    <row r="18">
      <c r="A18" s="141"/>
      <c r="B18" s="61" t="s">
        <v>3147</v>
      </c>
      <c r="C18" s="57" t="s">
        <v>159</v>
      </c>
      <c r="D18" s="61" t="s">
        <v>3679</v>
      </c>
      <c r="E18" s="11" t="str">
        <f>HYPERLINK("https://youtu.be/KANbqNPdVoU?t=894","channel 2")</f>
        <v>channel 2</v>
      </c>
    </row>
    <row r="19">
      <c r="A19" s="141"/>
      <c r="B19" s="61" t="s">
        <v>3837</v>
      </c>
      <c r="C19" s="81" t="s">
        <v>668</v>
      </c>
      <c r="D19" s="61" t="s">
        <v>3658</v>
      </c>
      <c r="E19" s="122" t="s">
        <v>9</v>
      </c>
    </row>
    <row r="20">
      <c r="A20" s="141"/>
      <c r="B20" s="61" t="s">
        <v>3147</v>
      </c>
      <c r="C20" s="81" t="s">
        <v>668</v>
      </c>
      <c r="D20" s="61" t="s">
        <v>3176</v>
      </c>
      <c r="E20" s="122" t="s">
        <v>13</v>
      </c>
    </row>
    <row r="21">
      <c r="A21" s="141"/>
      <c r="B21" s="61" t="s">
        <v>3679</v>
      </c>
      <c r="C21" s="81" t="s">
        <v>668</v>
      </c>
      <c r="D21" s="61" t="s">
        <v>3658</v>
      </c>
      <c r="E21" s="122" t="s">
        <v>9</v>
      </c>
    </row>
    <row r="22">
      <c r="A22" s="141"/>
      <c r="B22" s="61" t="s">
        <v>3837</v>
      </c>
      <c r="C22" s="81" t="s">
        <v>668</v>
      </c>
      <c r="D22" s="61" t="s">
        <v>3176</v>
      </c>
      <c r="E22" s="122" t="s">
        <v>13</v>
      </c>
    </row>
    <row r="23">
      <c r="A23" s="141"/>
      <c r="B23" s="1" t="s">
        <v>1782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2612</v>
      </c>
      <c r="C25" s="57" t="s">
        <v>194</v>
      </c>
      <c r="D25" s="61" t="s">
        <v>3443</v>
      </c>
      <c r="E25" s="11" t="str">
        <f>HYPERLINK("https://youtu.be/IK5usSnd414","channel 1")</f>
        <v>channel 1</v>
      </c>
    </row>
    <row r="26">
      <c r="A26" s="141"/>
      <c r="B26" s="61" t="s">
        <v>1966</v>
      </c>
      <c r="C26" s="57" t="s">
        <v>16</v>
      </c>
      <c r="D26" s="61" t="s">
        <v>1906</v>
      </c>
      <c r="E26" s="11" t="str">
        <f>HYPERLINK("https://youtu.be/axogPwES-G0","channel 2")</f>
        <v>channel 2</v>
      </c>
    </row>
    <row r="27">
      <c r="A27" s="141"/>
      <c r="B27" s="61" t="s">
        <v>3444</v>
      </c>
      <c r="C27" s="57" t="s">
        <v>163</v>
      </c>
      <c r="D27" s="61" t="s">
        <v>2612</v>
      </c>
      <c r="E27" s="11" t="str">
        <f>HYPERLINK("https://youtu.be/IK5usSnd414?t=935","channel 1")</f>
        <v>channel 1</v>
      </c>
    </row>
    <row r="28">
      <c r="A28" s="141"/>
      <c r="B28" s="61" t="s">
        <v>1966</v>
      </c>
      <c r="C28" s="57" t="s">
        <v>302</v>
      </c>
      <c r="D28" s="61" t="s">
        <v>3443</v>
      </c>
      <c r="E28" s="11" t="str">
        <f>HYPERLINK("https://youtu.be/axogPwES-G0?t=895","channel 2")</f>
        <v>channel 2</v>
      </c>
    </row>
    <row r="29">
      <c r="A29" s="141"/>
      <c r="B29" s="61" t="s">
        <v>3444</v>
      </c>
      <c r="C29" s="57" t="s">
        <v>545</v>
      </c>
      <c r="D29" s="61" t="s">
        <v>1906</v>
      </c>
      <c r="E29" s="11" t="str">
        <f>HYPERLINK("https://youtu.be/IK5usSnd414?t=1837","channel 1")</f>
        <v>channel 1</v>
      </c>
    </row>
    <row r="30">
      <c r="A30" s="141"/>
      <c r="B30" s="61" t="s">
        <v>1966</v>
      </c>
      <c r="C30" s="57" t="s">
        <v>41</v>
      </c>
      <c r="D30" s="61" t="s">
        <v>2612</v>
      </c>
      <c r="E30" s="11" t="str">
        <f>HYPERLINK("https://youtu.be/axogPwES-G0?t=1790","channel 2")</f>
        <v>channel 2</v>
      </c>
    </row>
    <row r="31">
      <c r="A31" s="141"/>
      <c r="B31" s="61" t="s">
        <v>3444</v>
      </c>
      <c r="C31" s="57" t="s">
        <v>171</v>
      </c>
      <c r="D31" s="61" t="s">
        <v>3443</v>
      </c>
      <c r="E31" s="11" t="str">
        <f>HYPERLINK("https://youtu.be/IK5usSnd414?t=2783","channel 1")</f>
        <v>channel 1</v>
      </c>
    </row>
    <row r="32">
      <c r="A32" s="141"/>
      <c r="B32" s="61" t="s">
        <v>1906</v>
      </c>
      <c r="C32" s="57" t="s">
        <v>251</v>
      </c>
      <c r="D32" s="61" t="s">
        <v>2612</v>
      </c>
      <c r="E32" s="11" t="str">
        <f>HYPERLINK("https://youtu.be/axogPwES-G0?t=2727","channel 2")</f>
        <v>channel 2</v>
      </c>
    </row>
    <row r="33">
      <c r="A33" s="141"/>
      <c r="B33" s="61" t="s">
        <v>3444</v>
      </c>
      <c r="C33" s="57" t="s">
        <v>181</v>
      </c>
      <c r="D33" s="61" t="s">
        <v>1966</v>
      </c>
      <c r="E33" s="11" t="str">
        <f>HYPERLINK("https://youtu.be/IK5usSnd414?t=3649","channel 1")</f>
        <v>channel 1</v>
      </c>
    </row>
    <row r="34">
      <c r="A34" s="141"/>
      <c r="B34" s="61" t="s">
        <v>1906</v>
      </c>
      <c r="C34" s="57" t="s">
        <v>958</v>
      </c>
      <c r="D34" s="61" t="s">
        <v>3443</v>
      </c>
      <c r="E34" s="11" t="str">
        <f>HYPERLINK("https://youtu.be/axogPwES-G0?t=3631","channel 2")</f>
        <v>channel 2</v>
      </c>
    </row>
    <row r="35">
      <c r="A35" s="141"/>
      <c r="B35" s="61" t="s">
        <v>3443</v>
      </c>
      <c r="C35" s="57" t="s">
        <v>173</v>
      </c>
      <c r="D35" s="61" t="s">
        <v>2612</v>
      </c>
      <c r="E35" s="11" t="str">
        <f>HYPERLINK("https://youtu.be/IK5usSnd414?t=4638","channel 1")</f>
        <v>channel 1</v>
      </c>
    </row>
    <row r="36">
      <c r="A36" s="141"/>
      <c r="B36" s="61" t="s">
        <v>1906</v>
      </c>
      <c r="C36" s="57" t="s">
        <v>22</v>
      </c>
      <c r="D36" s="61" t="s">
        <v>1966</v>
      </c>
      <c r="E36" s="11" t="str">
        <f>HYPERLINK("https://youtu.be/axogPwES-G0?t=4644","channel 2")</f>
        <v>channel 2</v>
      </c>
    </row>
    <row r="37">
      <c r="A37" s="141"/>
      <c r="B37" s="61" t="s">
        <v>2612</v>
      </c>
      <c r="C37" s="57" t="s">
        <v>464</v>
      </c>
      <c r="D37" s="61" t="s">
        <v>3444</v>
      </c>
      <c r="E37" s="11" t="str">
        <f>HYPERLINK("https://youtu.be/IK5usSnd414?t=5453","channel 1")</f>
        <v>channel 1</v>
      </c>
    </row>
    <row r="38">
      <c r="A38" s="141"/>
      <c r="B38" s="61" t="s">
        <v>3443</v>
      </c>
      <c r="C38" s="57" t="s">
        <v>189</v>
      </c>
      <c r="D38" s="61" t="s">
        <v>1966</v>
      </c>
      <c r="E38" s="11" t="str">
        <f>HYPERLINK("https://youtu.be/axogPwES-G0?t=5543","channel 2")</f>
        <v>channel 2</v>
      </c>
    </row>
    <row r="39">
      <c r="A39" s="141"/>
      <c r="B39" s="61" t="s">
        <v>1906</v>
      </c>
      <c r="C39" s="45" t="s">
        <v>220</v>
      </c>
      <c r="D39" s="61" t="s">
        <v>3444</v>
      </c>
      <c r="E39" s="11" t="str">
        <f>HYPERLINK("https://youtu.be/IK5usSnd414?t=6428","channel 1")</f>
        <v>channel 1</v>
      </c>
    </row>
    <row r="40">
      <c r="A40" s="141"/>
      <c r="B40" s="61" t="s">
        <v>2612</v>
      </c>
      <c r="C40" s="57" t="s">
        <v>18</v>
      </c>
      <c r="D40" s="61" t="s">
        <v>1966</v>
      </c>
      <c r="E40" s="11" t="str">
        <f>HYPERLINK("https://youtu.be/axogPwES-G0?t=6475","channel 2")</f>
        <v>channel 2</v>
      </c>
    </row>
    <row r="41">
      <c r="A41" s="141"/>
      <c r="B41" s="61" t="s">
        <v>3443</v>
      </c>
      <c r="C41" s="57" t="s">
        <v>425</v>
      </c>
      <c r="D41" s="61" t="s">
        <v>3444</v>
      </c>
      <c r="E41" s="11" t="str">
        <f>HYPERLINK("https://youtu.be/IK5usSnd414?t=7389","channel 1")</f>
        <v>channel 1</v>
      </c>
    </row>
    <row r="42">
      <c r="A42" s="141"/>
      <c r="B42" s="61" t="s">
        <v>2612</v>
      </c>
      <c r="C42" s="57" t="s">
        <v>23</v>
      </c>
      <c r="D42" s="61" t="s">
        <v>1906</v>
      </c>
      <c r="E42" s="11" t="str">
        <f>HYPERLINK("https://youtu.be/axogPwES-G0?t=7387","channel 2")</f>
        <v>channel 2</v>
      </c>
    </row>
    <row r="43">
      <c r="A43" s="141"/>
      <c r="B43" s="61" t="s">
        <v>1966</v>
      </c>
      <c r="C43" s="57" t="s">
        <v>27</v>
      </c>
      <c r="D43" s="61" t="s">
        <v>3444</v>
      </c>
      <c r="E43" s="11" t="str">
        <f>HYPERLINK("https://youtu.be/IK5usSnd414?t=8269","channel 1")</f>
        <v>channel 1</v>
      </c>
    </row>
    <row r="44">
      <c r="A44" s="141"/>
      <c r="B44" s="61" t="s">
        <v>3443</v>
      </c>
      <c r="C44" s="57" t="s">
        <v>357</v>
      </c>
      <c r="D44" s="61" t="s">
        <v>1906</v>
      </c>
      <c r="E44" s="11" t="str">
        <f>HYPERLINK("https://youtu.be/axogPwES-G0?t=8333","channel 2")</f>
        <v>channel 2</v>
      </c>
    </row>
    <row r="45">
      <c r="A45" s="141"/>
      <c r="B45" s="1" t="s">
        <v>2919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3839</v>
      </c>
      <c r="C47" s="57" t="s">
        <v>248</v>
      </c>
      <c r="D47" s="61" t="s">
        <v>3188</v>
      </c>
      <c r="E47" s="11" t="str">
        <f>HYPERLINK("https://youtu.be/Gt8f0Lpcrbw","channel 3")</f>
        <v>channel 3</v>
      </c>
    </row>
    <row r="48">
      <c r="A48" s="141"/>
      <c r="B48" s="61" t="s">
        <v>3789</v>
      </c>
      <c r="C48" s="57" t="s">
        <v>439</v>
      </c>
      <c r="D48" s="61" t="s">
        <v>1504</v>
      </c>
      <c r="E48" s="11" t="str">
        <f>HYPERLINK("https://youtu.be/qLTlyOHnbw4","channel 4")</f>
        <v>channel 4</v>
      </c>
    </row>
    <row r="49">
      <c r="A49" s="141"/>
      <c r="B49" s="61" t="s">
        <v>858</v>
      </c>
      <c r="C49" s="57" t="s">
        <v>162</v>
      </c>
      <c r="D49" s="61" t="s">
        <v>3839</v>
      </c>
      <c r="E49" s="11" t="str">
        <f>HYPERLINK("https://youtu.be/Gt8f0Lpcrbw?t=905","channel 3")</f>
        <v>channel 3</v>
      </c>
    </row>
    <row r="50">
      <c r="A50" s="141"/>
      <c r="B50" s="61" t="s">
        <v>3789</v>
      </c>
      <c r="C50" s="57" t="s">
        <v>315</v>
      </c>
      <c r="D50" s="61" t="s">
        <v>3188</v>
      </c>
      <c r="E50" s="11" t="str">
        <f>HYPERLINK("https://youtu.be/qLTlyOHnbw4?t=1082","channel 4")</f>
        <v>channel 4</v>
      </c>
    </row>
    <row r="51">
      <c r="A51" s="141"/>
      <c r="B51" s="61" t="s">
        <v>858</v>
      </c>
      <c r="C51" s="57" t="s">
        <v>251</v>
      </c>
      <c r="D51" s="61" t="s">
        <v>1504</v>
      </c>
      <c r="E51" s="11" t="str">
        <f>HYPERLINK("https://youtu.be/Gt8f0Lpcrbw?t=1795","channel 3")</f>
        <v>channel 3</v>
      </c>
    </row>
    <row r="52">
      <c r="A52" s="141"/>
      <c r="B52" s="61" t="s">
        <v>3789</v>
      </c>
      <c r="C52" s="57" t="s">
        <v>14</v>
      </c>
      <c r="D52" s="61" t="s">
        <v>3839</v>
      </c>
      <c r="E52" s="11" t="str">
        <f>HYPERLINK("https://youtu.be/qLTlyOHnbw4?t=2159","channel 4")</f>
        <v>channel 4</v>
      </c>
    </row>
    <row r="53">
      <c r="A53" s="141"/>
      <c r="B53" s="61" t="s">
        <v>858</v>
      </c>
      <c r="C53" s="57" t="s">
        <v>354</v>
      </c>
      <c r="D53" s="61" t="s">
        <v>3188</v>
      </c>
      <c r="E53" s="11" t="str">
        <f>HYPERLINK("https://youtu.be/Gt8f0Lpcrbw?t=2743","channel 3")</f>
        <v>channel 3</v>
      </c>
    </row>
    <row r="54">
      <c r="A54" s="141"/>
      <c r="B54" s="61" t="s">
        <v>1504</v>
      </c>
      <c r="C54" s="57" t="s">
        <v>208</v>
      </c>
      <c r="D54" s="61" t="s">
        <v>3839</v>
      </c>
      <c r="E54" s="11" t="str">
        <f>HYPERLINK("https://youtu.be/qLTlyOHnbw4?t=3081","channel 4")</f>
        <v>channel 4</v>
      </c>
    </row>
    <row r="55">
      <c r="A55" s="141"/>
      <c r="B55" s="61" t="s">
        <v>858</v>
      </c>
      <c r="C55" s="57" t="s">
        <v>302</v>
      </c>
      <c r="D55" s="61" t="s">
        <v>3789</v>
      </c>
      <c r="E55" s="11" t="str">
        <f>HYPERLINK("https://youtu.be/Gt8f0Lpcrbw?t=3624","channel 3")</f>
        <v>channel 3</v>
      </c>
    </row>
    <row r="56">
      <c r="A56" s="141"/>
      <c r="B56" s="61" t="s">
        <v>1504</v>
      </c>
      <c r="C56" s="57" t="s">
        <v>42</v>
      </c>
      <c r="D56" s="61" t="s">
        <v>3188</v>
      </c>
      <c r="E56" s="11" t="str">
        <f>HYPERLINK("https://youtu.be/qLTlyOHnbw4?t=4016","channel 4")</f>
        <v>channel 4</v>
      </c>
    </row>
    <row r="57">
      <c r="A57" s="141"/>
      <c r="B57" s="61" t="s">
        <v>3188</v>
      </c>
      <c r="C57" s="57" t="s">
        <v>21</v>
      </c>
      <c r="D57" s="61" t="s">
        <v>3839</v>
      </c>
      <c r="E57" s="11" t="str">
        <f>HYPERLINK("https://youtu.be/Gt8f0Lpcrbw?t=4875","channel 3")</f>
        <v>channel 3</v>
      </c>
    </row>
    <row r="58">
      <c r="A58" s="141"/>
      <c r="B58" s="61" t="s">
        <v>1504</v>
      </c>
      <c r="C58" s="57" t="s">
        <v>14</v>
      </c>
      <c r="D58" s="61" t="s">
        <v>3789</v>
      </c>
      <c r="E58" s="11" t="str">
        <f>HYPERLINK("https://youtu.be/qLTlyOHnbw4?t=4887","channel 4")</f>
        <v>channel 4</v>
      </c>
    </row>
    <row r="59">
      <c r="A59" s="141"/>
      <c r="B59" s="61" t="s">
        <v>3839</v>
      </c>
      <c r="C59" s="57" t="s">
        <v>219</v>
      </c>
      <c r="D59" s="61" t="s">
        <v>858</v>
      </c>
      <c r="E59" s="11" t="str">
        <f>HYPERLINK("https://youtu.be/Gt8f0Lpcrbw?t=5794","channel 3")</f>
        <v>channel 3</v>
      </c>
    </row>
    <row r="60">
      <c r="A60" s="141"/>
      <c r="B60" s="61" t="s">
        <v>3188</v>
      </c>
      <c r="C60" s="57" t="s">
        <v>425</v>
      </c>
      <c r="D60" s="61" t="s">
        <v>3789</v>
      </c>
      <c r="E60" s="11" t="str">
        <f>HYPERLINK("https://youtu.be/qLTlyOHnbw4?t=5819","channel 4")</f>
        <v>channel 4</v>
      </c>
    </row>
    <row r="61">
      <c r="A61" s="141"/>
      <c r="B61" s="61" t="s">
        <v>1504</v>
      </c>
      <c r="C61" s="57" t="s">
        <v>279</v>
      </c>
      <c r="D61" s="61" t="s">
        <v>858</v>
      </c>
      <c r="E61" s="11" t="str">
        <f>HYPERLINK("https://youtu.be/Gt8f0Lpcrbw?t=6661","channel 3")</f>
        <v>channel 3</v>
      </c>
    </row>
    <row r="62">
      <c r="A62" s="141"/>
      <c r="B62" s="61" t="s">
        <v>3839</v>
      </c>
      <c r="C62" s="57" t="s">
        <v>271</v>
      </c>
      <c r="D62" s="61" t="s">
        <v>3789</v>
      </c>
      <c r="E62" s="11" t="str">
        <f>HYPERLINK("https://youtu.be/qLTlyOHnbw4?t=6783","channel 4")</f>
        <v>channel 4</v>
      </c>
    </row>
    <row r="63">
      <c r="A63" s="141"/>
      <c r="B63" s="61" t="s">
        <v>3188</v>
      </c>
      <c r="C63" s="57" t="s">
        <v>208</v>
      </c>
      <c r="D63" s="61" t="s">
        <v>858</v>
      </c>
      <c r="E63" s="11" t="str">
        <f>HYPERLINK("https://youtu.be/Gt8f0Lpcrbw?t=7561","channel 3")</f>
        <v>channel 3</v>
      </c>
    </row>
    <row r="64">
      <c r="A64" s="141"/>
      <c r="B64" s="61" t="s">
        <v>3839</v>
      </c>
      <c r="C64" s="57" t="s">
        <v>517</v>
      </c>
      <c r="D64" s="61" t="s">
        <v>1504</v>
      </c>
      <c r="E64" s="11" t="str">
        <f>HYPERLINK("https://youtu.be/qLTlyOHnbw4?t=7735","channel 4")</f>
        <v>channel 4</v>
      </c>
    </row>
    <row r="65">
      <c r="A65" s="141"/>
      <c r="B65" s="61" t="s">
        <v>3789</v>
      </c>
      <c r="C65" s="57" t="s">
        <v>23</v>
      </c>
      <c r="D65" s="61" t="s">
        <v>858</v>
      </c>
      <c r="E65" s="11" t="str">
        <f>HYPERLINK("https://youtu.be/Gt8f0Lpcrbw?t=8479","channel 3")</f>
        <v>channel 3</v>
      </c>
    </row>
    <row r="66">
      <c r="A66" s="141"/>
      <c r="B66" s="61" t="s">
        <v>3188</v>
      </c>
      <c r="C66" s="57" t="s">
        <v>1590</v>
      </c>
      <c r="D66" s="61" t="s">
        <v>1504</v>
      </c>
      <c r="E66" s="11" t="str">
        <f>HYPERLINK("https://youtu.be/qLTlyOHnbw4?t=8640","channel 4")</f>
        <v>channel 4</v>
      </c>
    </row>
    <row r="67">
      <c r="A67" s="141"/>
      <c r="B67" s="1" t="s">
        <v>2650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3840</v>
      </c>
      <c r="C69" s="57" t="s">
        <v>979</v>
      </c>
      <c r="D69" s="61" t="s">
        <v>3841</v>
      </c>
      <c r="E69" s="11" t="str">
        <f>HYPERLINK("https://youtu.be/roERpTpNTcY","channel 3")</f>
        <v>channel 3</v>
      </c>
    </row>
    <row r="70">
      <c r="A70" s="141"/>
      <c r="B70" s="61" t="s">
        <v>3614</v>
      </c>
      <c r="C70" s="57" t="s">
        <v>155</v>
      </c>
      <c r="D70" s="61" t="s">
        <v>3389</v>
      </c>
      <c r="E70" s="11" t="str">
        <f>HYPERLINK("https://youtu.be/SvOxPTo70v4","channel 4")</f>
        <v>channel 4</v>
      </c>
    </row>
    <row r="71">
      <c r="A71" s="141"/>
      <c r="B71" s="61" t="s">
        <v>3842</v>
      </c>
      <c r="C71" s="57" t="s">
        <v>158</v>
      </c>
      <c r="D71" s="61" t="s">
        <v>3840</v>
      </c>
      <c r="E71" s="11" t="str">
        <f>HYPERLINK("https://youtu.be/roERpTpNTcY?t=899","channel 3")</f>
        <v>channel 3</v>
      </c>
    </row>
    <row r="72">
      <c r="A72" s="141"/>
      <c r="B72" s="61" t="s">
        <v>3614</v>
      </c>
      <c r="C72" s="57" t="s">
        <v>302</v>
      </c>
      <c r="D72" s="61" t="s">
        <v>3841</v>
      </c>
      <c r="E72" s="11" t="str">
        <f>HYPERLINK("https://youtu.be/SvOxPTo70v4?t=1745","channel 4")</f>
        <v>channel 4</v>
      </c>
    </row>
    <row r="73">
      <c r="A73" s="141"/>
      <c r="B73" s="61" t="s">
        <v>3842</v>
      </c>
      <c r="C73" s="57" t="s">
        <v>225</v>
      </c>
      <c r="D73" s="61" t="s">
        <v>3389</v>
      </c>
      <c r="E73" s="11" t="str">
        <f>HYPERLINK("https://youtu.be/roERpTpNTcY?t=1771","channel 3")</f>
        <v>channel 3</v>
      </c>
    </row>
    <row r="74">
      <c r="A74" s="141"/>
      <c r="B74" s="61" t="s">
        <v>3614</v>
      </c>
      <c r="C74" s="57" t="s">
        <v>507</v>
      </c>
      <c r="D74" s="61" t="s">
        <v>3840</v>
      </c>
      <c r="E74" s="11" t="str">
        <f>HYPERLINK("https://youtu.be/SvOxPTo70v4?t=1933","channel 4")</f>
        <v>channel 4</v>
      </c>
    </row>
    <row r="75">
      <c r="A75" s="141"/>
      <c r="B75" s="61" t="s">
        <v>3842</v>
      </c>
      <c r="C75" s="57" t="s">
        <v>302</v>
      </c>
      <c r="D75" s="61" t="s">
        <v>3841</v>
      </c>
      <c r="E75" s="11" t="str">
        <f>HYPERLINK("https://youtu.be/roERpTpNTcY?t=2685","channel 3")</f>
        <v>channel 3</v>
      </c>
    </row>
    <row r="76">
      <c r="A76" s="141"/>
      <c r="B76" s="61" t="s">
        <v>3389</v>
      </c>
      <c r="C76" s="57" t="s">
        <v>326</v>
      </c>
      <c r="D76" s="61" t="s">
        <v>3840</v>
      </c>
      <c r="E76" s="11" t="str">
        <f>HYPERLINK("https://youtu.be/SvOxPTo70v4?t=2906","channel 4")</f>
        <v>channel 4</v>
      </c>
    </row>
    <row r="77">
      <c r="A77" s="141"/>
      <c r="B77" s="61" t="s">
        <v>3842</v>
      </c>
      <c r="C77" s="57" t="s">
        <v>291</v>
      </c>
      <c r="D77" s="61" t="s">
        <v>3614</v>
      </c>
      <c r="E77" s="11" t="str">
        <f>HYPERLINK("https://youtu.be/roERpTpNTcY?t=3602","channel 3")</f>
        <v>channel 3</v>
      </c>
    </row>
    <row r="78">
      <c r="A78" s="141"/>
      <c r="B78" s="61" t="s">
        <v>3389</v>
      </c>
      <c r="C78" s="57" t="s">
        <v>205</v>
      </c>
      <c r="D78" s="61" t="s">
        <v>3841</v>
      </c>
      <c r="E78" s="11" t="str">
        <f>HYPERLINK("https://youtu.be/SvOxPTo70v4?t=3843","channel 4")</f>
        <v>channel 4</v>
      </c>
    </row>
    <row r="79">
      <c r="A79" s="141"/>
      <c r="B79" s="61" t="s">
        <v>3841</v>
      </c>
      <c r="C79" s="57" t="s">
        <v>2064</v>
      </c>
      <c r="D79" s="61" t="s">
        <v>3840</v>
      </c>
      <c r="E79" s="11" t="str">
        <f>HYPERLINK("https://youtu.be/roERpTpNTcY?t=4609","channel 3")</f>
        <v>channel 3</v>
      </c>
    </row>
    <row r="80">
      <c r="A80" s="141"/>
      <c r="B80" s="61" t="s">
        <v>3389</v>
      </c>
      <c r="C80" s="57" t="s">
        <v>43</v>
      </c>
      <c r="D80" s="61" t="s">
        <v>3614</v>
      </c>
      <c r="E80" s="11" t="str">
        <f>HYPERLINK("https://youtu.be/SvOxPTo70v4?t=4701","channel 4")</f>
        <v>channel 4</v>
      </c>
    </row>
    <row r="81">
      <c r="A81" s="141"/>
      <c r="B81" s="61" t="s">
        <v>3840</v>
      </c>
      <c r="C81" s="57" t="s">
        <v>316</v>
      </c>
      <c r="D81" s="61" t="s">
        <v>3842</v>
      </c>
      <c r="E81" s="11" t="str">
        <f>HYPERLINK("https://youtu.be/roERpTpNTcY?t=5501","channel 3")</f>
        <v>channel 3</v>
      </c>
    </row>
    <row r="82">
      <c r="A82" s="141"/>
      <c r="B82" s="61" t="s">
        <v>3841</v>
      </c>
      <c r="C82" s="57" t="s">
        <v>14</v>
      </c>
      <c r="D82" s="61" t="s">
        <v>3614</v>
      </c>
      <c r="E82" s="11" t="str">
        <f>HYPERLINK("https://youtu.be/SvOxPTo70v4?t=5546","channel 4")</f>
        <v>channel 4</v>
      </c>
    </row>
    <row r="83">
      <c r="A83" s="141"/>
      <c r="B83" s="61" t="s">
        <v>3389</v>
      </c>
      <c r="C83" s="57" t="s">
        <v>43</v>
      </c>
      <c r="D83" s="61" t="s">
        <v>3842</v>
      </c>
      <c r="E83" s="11" t="str">
        <f>HYPERLINK("https://youtu.be/roERpTpNTcY?t=6438","channel 3")</f>
        <v>channel 3</v>
      </c>
    </row>
    <row r="84">
      <c r="A84" s="141"/>
      <c r="B84" s="61" t="s">
        <v>3840</v>
      </c>
      <c r="C84" s="57" t="s">
        <v>1123</v>
      </c>
      <c r="D84" s="61" t="s">
        <v>3614</v>
      </c>
      <c r="E84" s="11" t="str">
        <f>HYPERLINK("https://youtu.be/SvOxPTo70v4?t=6461","channel 4")</f>
        <v>channel 4</v>
      </c>
    </row>
    <row r="85">
      <c r="A85" s="141"/>
      <c r="B85" s="61" t="s">
        <v>3841</v>
      </c>
      <c r="C85" s="57" t="s">
        <v>36</v>
      </c>
      <c r="D85" s="61" t="s">
        <v>3842</v>
      </c>
      <c r="E85" s="11" t="str">
        <f>HYPERLINK("https://youtu.be/roERpTpNTcY?t=7333","channel 3")</f>
        <v>channel 3</v>
      </c>
    </row>
    <row r="86">
      <c r="A86" s="141"/>
      <c r="B86" s="61" t="s">
        <v>3840</v>
      </c>
      <c r="C86" s="57" t="s">
        <v>209</v>
      </c>
      <c r="D86" s="61" t="s">
        <v>3389</v>
      </c>
      <c r="E86" s="11" t="str">
        <f>HYPERLINK("https://youtu.be/SvOxPTo70v4?t=7471","channel 4")</f>
        <v>channel 4</v>
      </c>
    </row>
    <row r="87">
      <c r="A87" s="141"/>
      <c r="B87" s="61" t="s">
        <v>3614</v>
      </c>
      <c r="C87" s="57" t="s">
        <v>198</v>
      </c>
      <c r="D87" s="61" t="s">
        <v>3842</v>
      </c>
      <c r="E87" s="11" t="str">
        <f>HYPERLINK("https://youtu.be/roERpTpNTcY?t=8240","channel 3")</f>
        <v>channel 3</v>
      </c>
    </row>
    <row r="88">
      <c r="A88" s="141"/>
      <c r="B88" s="61" t="s">
        <v>3841</v>
      </c>
      <c r="C88" s="57" t="s">
        <v>184</v>
      </c>
      <c r="D88" s="61" t="s">
        <v>3389</v>
      </c>
      <c r="E88" s="11" t="str">
        <f>HYPERLINK("https://youtu.be/SvOxPTo70v4?t=8674","channel 4")</f>
        <v>channel 4</v>
      </c>
    </row>
    <row r="89">
      <c r="A89" s="141"/>
      <c r="B89" s="1" t="s">
        <v>2653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61" t="s">
        <v>3843</v>
      </c>
      <c r="C91" s="57" t="s">
        <v>233</v>
      </c>
      <c r="D91" s="61" t="s">
        <v>3844</v>
      </c>
      <c r="E91" s="11" t="str">
        <f>HYPERLINK("https://youtu.be/rbP9hcNcK10","channel 1")</f>
        <v>channel 1</v>
      </c>
    </row>
    <row r="92">
      <c r="A92" s="141"/>
      <c r="B92" s="61" t="s">
        <v>3845</v>
      </c>
      <c r="C92" s="57" t="s">
        <v>210</v>
      </c>
      <c r="D92" s="61" t="s">
        <v>1564</v>
      </c>
      <c r="E92" s="11" t="str">
        <f>HYPERLINK("https://youtu.be/HgxKY0FFjbQ","channel 2")</f>
        <v>channel 2</v>
      </c>
    </row>
    <row r="93">
      <c r="A93" s="141"/>
      <c r="B93" s="61" t="s">
        <v>3846</v>
      </c>
      <c r="C93" s="57" t="s">
        <v>289</v>
      </c>
      <c r="D93" s="61" t="s">
        <v>3843</v>
      </c>
      <c r="E93" s="11" t="str">
        <f>HYPERLINK("https://youtu.be/rbP9hcNcK10?t=1110","channel 1")</f>
        <v>channel 1</v>
      </c>
    </row>
    <row r="94">
      <c r="A94" s="141"/>
      <c r="B94" s="61" t="s">
        <v>3845</v>
      </c>
      <c r="C94" s="57" t="s">
        <v>303</v>
      </c>
      <c r="D94" s="61" t="s">
        <v>3844</v>
      </c>
      <c r="E94" s="11" t="str">
        <f>HYPERLINK("https://youtu.be/HgxKY0FFjbQ?t=988","channel 2")</f>
        <v>channel 2</v>
      </c>
    </row>
    <row r="95">
      <c r="A95" s="141"/>
      <c r="B95" s="61" t="s">
        <v>3846</v>
      </c>
      <c r="C95" s="57" t="s">
        <v>231</v>
      </c>
      <c r="D95" s="61" t="s">
        <v>1564</v>
      </c>
      <c r="E95" s="11" t="str">
        <f>HYPERLINK("https://youtu.be/rbP9hcNcK10?t=2034","channel 1")</f>
        <v>channel 1</v>
      </c>
    </row>
    <row r="96">
      <c r="A96" s="141"/>
      <c r="B96" s="61" t="s">
        <v>3845</v>
      </c>
      <c r="C96" s="57" t="s">
        <v>291</v>
      </c>
      <c r="D96" s="61" t="s">
        <v>3843</v>
      </c>
      <c r="E96" s="11" t="str">
        <f>HYPERLINK("https://youtu.be/HgxKY0FFjbQ?t=1897","channel 2")</f>
        <v>channel 2</v>
      </c>
    </row>
    <row r="97">
      <c r="A97" s="141"/>
      <c r="B97" s="61" t="s">
        <v>3846</v>
      </c>
      <c r="C97" s="57" t="s">
        <v>17</v>
      </c>
      <c r="D97" s="61" t="s">
        <v>3844</v>
      </c>
      <c r="E97" s="11" t="str">
        <f>HYPERLINK("https://youtu.be/rbP9hcNcK10?t=3025","channel 1")</f>
        <v>channel 1</v>
      </c>
    </row>
    <row r="98">
      <c r="A98" s="141"/>
      <c r="B98" s="61" t="s">
        <v>1564</v>
      </c>
      <c r="C98" s="57" t="s">
        <v>426</v>
      </c>
      <c r="D98" s="61" t="s">
        <v>3843</v>
      </c>
      <c r="E98" s="11" t="str">
        <f>HYPERLINK("https://youtu.be/HgxKY0FFjbQ?t=2863","channel 2")</f>
        <v>channel 2</v>
      </c>
    </row>
    <row r="99">
      <c r="A99" s="141"/>
      <c r="B99" s="61" t="s">
        <v>3846</v>
      </c>
      <c r="C99" s="57" t="s">
        <v>225</v>
      </c>
      <c r="D99" s="61" t="s">
        <v>3845</v>
      </c>
      <c r="E99" s="11" t="str">
        <f>HYPERLINK("https://youtu.be/rbP9hcNcK10?t=3914","channel 1")</f>
        <v>channel 1</v>
      </c>
    </row>
    <row r="100">
      <c r="A100" s="141"/>
      <c r="B100" s="61" t="s">
        <v>1564</v>
      </c>
      <c r="C100" s="57" t="s">
        <v>352</v>
      </c>
      <c r="D100" s="61" t="s">
        <v>3844</v>
      </c>
      <c r="E100" s="11" t="str">
        <f>HYPERLINK("https://youtu.be/HgxKY0FFjbQ?t=3856","channel 2")</f>
        <v>channel 2</v>
      </c>
    </row>
    <row r="101">
      <c r="A101" s="141"/>
      <c r="B101" s="61" t="s">
        <v>3844</v>
      </c>
      <c r="C101" s="57" t="s">
        <v>2589</v>
      </c>
      <c r="D101" s="61" t="s">
        <v>3843</v>
      </c>
      <c r="E101" s="11" t="str">
        <f>HYPERLINK("https://youtu.be/rbP9hcNcK10?t=4837","channel 1")</f>
        <v>channel 1</v>
      </c>
    </row>
    <row r="102">
      <c r="A102" s="141"/>
      <c r="B102" s="61" t="s">
        <v>1564</v>
      </c>
      <c r="C102" s="57" t="s">
        <v>547</v>
      </c>
      <c r="D102" s="61" t="s">
        <v>3845</v>
      </c>
      <c r="E102" s="11" t="str">
        <f>HYPERLINK("https://youtu.be/HgxKY0FFjbQ?t=4724","channel 2")</f>
        <v>channel 2</v>
      </c>
    </row>
    <row r="103">
      <c r="A103" s="141"/>
      <c r="B103" s="61" t="s">
        <v>3843</v>
      </c>
      <c r="C103" s="57" t="s">
        <v>244</v>
      </c>
      <c r="D103" s="61" t="s">
        <v>3846</v>
      </c>
      <c r="E103" s="11" t="str">
        <f>HYPERLINK("https://youtu.be/rbP9hcNcK10?t=5755","channel 1")</f>
        <v>channel 1</v>
      </c>
    </row>
    <row r="104">
      <c r="A104" s="141"/>
      <c r="B104" s="61" t="s">
        <v>3844</v>
      </c>
      <c r="C104" s="57" t="s">
        <v>1049</v>
      </c>
      <c r="D104" s="61" t="s">
        <v>3845</v>
      </c>
      <c r="E104" s="11" t="str">
        <f>HYPERLINK("https://youtu.be/HgxKY0FFjbQ?t=5652","channel 2")</f>
        <v>channel 2</v>
      </c>
    </row>
    <row r="105">
      <c r="A105" s="141"/>
      <c r="B105" s="61" t="s">
        <v>1564</v>
      </c>
      <c r="C105" s="57" t="s">
        <v>18</v>
      </c>
      <c r="D105" s="61" t="s">
        <v>3846</v>
      </c>
      <c r="E105" s="11" t="str">
        <f>HYPERLINK("https://youtu.be/rbP9hcNcK10?t=6723","channel 1")</f>
        <v>channel 1</v>
      </c>
    </row>
    <row r="106">
      <c r="A106" s="141"/>
      <c r="B106" s="61" t="s">
        <v>3843</v>
      </c>
      <c r="C106" s="57" t="s">
        <v>43</v>
      </c>
      <c r="D106" s="61" t="s">
        <v>3845</v>
      </c>
      <c r="E106" s="11" t="str">
        <f>HYPERLINK("https://youtu.be/HgxKY0FFjbQ?t=6605","channel 2")</f>
        <v>channel 2</v>
      </c>
    </row>
    <row r="107">
      <c r="A107" s="141"/>
      <c r="B107" s="61" t="s">
        <v>3844</v>
      </c>
      <c r="C107" s="57" t="s">
        <v>256</v>
      </c>
      <c r="D107" s="61" t="s">
        <v>3846</v>
      </c>
      <c r="E107" s="11" t="str">
        <f>HYPERLINK("https://youtu.be/rbP9hcNcK10?t=7606","channel 1")</f>
        <v>channel 1</v>
      </c>
    </row>
    <row r="108">
      <c r="A108" s="141"/>
      <c r="B108" s="61" t="s">
        <v>3843</v>
      </c>
      <c r="C108" s="57" t="s">
        <v>38</v>
      </c>
      <c r="D108" s="61" t="s">
        <v>1564</v>
      </c>
      <c r="E108" s="11" t="str">
        <f>HYPERLINK("https://youtu.be/HgxKY0FFjbQ?t=7556","channel 2")</f>
        <v>channel 2</v>
      </c>
    </row>
    <row r="109">
      <c r="A109" s="141"/>
      <c r="B109" s="61" t="s">
        <v>3845</v>
      </c>
      <c r="C109" s="57" t="s">
        <v>155</v>
      </c>
      <c r="D109" s="61" t="s">
        <v>3846</v>
      </c>
      <c r="E109" s="11" t="str">
        <f>HYPERLINK("https://youtu.be/rbP9hcNcK10?t=8574","channel 1")</f>
        <v>channel 1</v>
      </c>
    </row>
    <row r="110">
      <c r="A110" s="141"/>
      <c r="B110" s="61" t="s">
        <v>3844</v>
      </c>
      <c r="C110" s="57" t="s">
        <v>751</v>
      </c>
      <c r="D110" s="61" t="s">
        <v>1564</v>
      </c>
      <c r="E110" s="11" t="str">
        <f>HYPERLINK("https://youtu.be/HgxKY0FFjbQ?t=8486","channel 2")</f>
        <v>channel 2</v>
      </c>
    </row>
    <row r="111">
      <c r="A111" s="141"/>
      <c r="B111" s="1" t="s">
        <v>3011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3847</v>
      </c>
      <c r="C113" s="57" t="s">
        <v>233</v>
      </c>
      <c r="D113" s="61" t="s">
        <v>3848</v>
      </c>
      <c r="E113" s="11" t="str">
        <f>HYPERLINK("https://youtu.be/sMkw_-wplSc","channel 1")</f>
        <v>channel 1</v>
      </c>
    </row>
    <row r="114">
      <c r="A114" s="141"/>
      <c r="B114" s="61" t="s">
        <v>3849</v>
      </c>
      <c r="C114" s="57" t="s">
        <v>375</v>
      </c>
      <c r="D114" s="61" t="s">
        <v>2645</v>
      </c>
      <c r="E114" s="11" t="str">
        <f>HYPERLINK("https://youtu.be/dKi4WzjhgAk","channel 2")</f>
        <v>channel 2</v>
      </c>
    </row>
    <row r="115">
      <c r="A115" s="141"/>
      <c r="B115" s="61" t="s">
        <v>3850</v>
      </c>
      <c r="C115" s="57" t="s">
        <v>231</v>
      </c>
      <c r="D115" s="61" t="s">
        <v>3847</v>
      </c>
      <c r="E115" s="11" t="str">
        <f>HYPERLINK("https://youtu.be/sMkw_-wplSc?t=1145","channel 1")</f>
        <v>channel 1</v>
      </c>
    </row>
    <row r="116">
      <c r="A116" s="141"/>
      <c r="B116" s="61" t="s">
        <v>3849</v>
      </c>
      <c r="C116" s="57" t="s">
        <v>43</v>
      </c>
      <c r="D116" s="61" t="s">
        <v>3848</v>
      </c>
      <c r="E116" s="11" t="str">
        <f>HYPERLINK("https://youtu.be/dKi4WzjhgAk?t=1036","channel 2")</f>
        <v>channel 2</v>
      </c>
    </row>
    <row r="117">
      <c r="A117" s="141"/>
      <c r="B117" s="61" t="s">
        <v>3850</v>
      </c>
      <c r="C117" s="57" t="s">
        <v>442</v>
      </c>
      <c r="D117" s="61" t="s">
        <v>2645</v>
      </c>
      <c r="E117" s="11" t="str">
        <f>HYPERLINK("https://youtu.be/sMkw_-wplSc?t=2170","channel 1")</f>
        <v>channel 1</v>
      </c>
    </row>
    <row r="118">
      <c r="A118" s="141"/>
      <c r="B118" s="61" t="s">
        <v>3849</v>
      </c>
      <c r="C118" s="57" t="s">
        <v>762</v>
      </c>
      <c r="D118" s="61" t="s">
        <v>3847</v>
      </c>
      <c r="E118" s="11" t="str">
        <f>HYPERLINK("https://youtu.be/dKi4WzjhgAk?t=2108","channel 2")</f>
        <v>channel 2</v>
      </c>
    </row>
    <row r="119">
      <c r="A119" s="141"/>
      <c r="B119" s="61" t="s">
        <v>3850</v>
      </c>
      <c r="C119" s="57" t="s">
        <v>19</v>
      </c>
      <c r="D119" s="61" t="s">
        <v>3848</v>
      </c>
      <c r="E119" s="11" t="str">
        <f>HYPERLINK("https://youtu.be/sMkw_-wplSc?t=3161","channel 1")</f>
        <v>channel 1</v>
      </c>
    </row>
    <row r="120">
      <c r="A120" s="141"/>
      <c r="B120" s="61" t="s">
        <v>2645</v>
      </c>
      <c r="C120" s="57" t="s">
        <v>163</v>
      </c>
      <c r="D120" s="61" t="s">
        <v>3847</v>
      </c>
      <c r="E120" s="11" t="str">
        <f>HYPERLINK("https://youtu.be/dKi4WzjhgAk?t=3048","channel 2")</f>
        <v>channel 2</v>
      </c>
    </row>
    <row r="121">
      <c r="A121" s="141"/>
      <c r="B121" s="61" t="s">
        <v>3850</v>
      </c>
      <c r="C121" s="57" t="s">
        <v>744</v>
      </c>
      <c r="D121" s="61" t="s">
        <v>3849</v>
      </c>
      <c r="E121" s="11" t="str">
        <f>HYPERLINK("https://youtu.be/sMkw_-wplSc?t=3950","channel 1")</f>
        <v>channel 1</v>
      </c>
    </row>
    <row r="122">
      <c r="A122" s="141"/>
      <c r="B122" s="61" t="s">
        <v>2645</v>
      </c>
      <c r="C122" s="57" t="s">
        <v>173</v>
      </c>
      <c r="D122" s="61" t="s">
        <v>3848</v>
      </c>
      <c r="E122" s="11" t="str">
        <f>HYPERLINK("https://youtu.be/dKi4WzjhgAk?t=3954","channel 2")</f>
        <v>channel 2</v>
      </c>
    </row>
    <row r="123">
      <c r="A123" s="141"/>
      <c r="B123" s="61" t="s">
        <v>3848</v>
      </c>
      <c r="C123" s="57" t="s">
        <v>513</v>
      </c>
      <c r="D123" s="61" t="s">
        <v>3847</v>
      </c>
      <c r="E123" s="11" t="str">
        <f>HYPERLINK("https://youtu.be/sMkw_-wplSc?t=4858","channel 1")</f>
        <v>channel 1</v>
      </c>
    </row>
    <row r="124">
      <c r="A124" s="141"/>
      <c r="B124" s="61" t="s">
        <v>2645</v>
      </c>
      <c r="C124" s="57" t="s">
        <v>38</v>
      </c>
      <c r="D124" s="61" t="s">
        <v>3849</v>
      </c>
      <c r="E124" s="11" t="str">
        <f>HYPERLINK("https://youtu.be/dKi4WzjhgAk?t=4912","channel 2")</f>
        <v>channel 2</v>
      </c>
    </row>
    <row r="125">
      <c r="A125" s="141"/>
      <c r="B125" s="61" t="s">
        <v>3847</v>
      </c>
      <c r="C125" s="57" t="s">
        <v>7</v>
      </c>
      <c r="D125" s="61" t="s">
        <v>3850</v>
      </c>
      <c r="E125" s="11" t="str">
        <f>HYPERLINK("https://youtu.be/sMkw_-wplSc?t=5791","channel 1")</f>
        <v>channel 1</v>
      </c>
    </row>
    <row r="126">
      <c r="A126" s="141"/>
      <c r="B126" s="61" t="s">
        <v>3848</v>
      </c>
      <c r="C126" s="57" t="s">
        <v>38</v>
      </c>
      <c r="D126" s="61" t="s">
        <v>3849</v>
      </c>
      <c r="E126" s="11" t="str">
        <f>HYPERLINK("https://youtu.be/dKi4WzjhgAk?t=5848","channel 2")</f>
        <v>channel 2</v>
      </c>
    </row>
    <row r="127">
      <c r="A127" s="141"/>
      <c r="B127" s="61" t="s">
        <v>2645</v>
      </c>
      <c r="C127" s="57" t="s">
        <v>291</v>
      </c>
      <c r="D127" s="61" t="s">
        <v>3850</v>
      </c>
      <c r="E127" s="11" t="str">
        <f>HYPERLINK("https://youtu.be/sMkw_-wplSc?t=6772","channel 1")</f>
        <v>channel 1</v>
      </c>
    </row>
    <row r="128">
      <c r="A128" s="141"/>
      <c r="B128" s="61" t="s">
        <v>3847</v>
      </c>
      <c r="C128" s="57" t="s">
        <v>189</v>
      </c>
      <c r="D128" s="61" t="s">
        <v>3849</v>
      </c>
      <c r="E128" s="11" t="str">
        <f>HYPERLINK("https://youtu.be/dKi4WzjhgAk?t=6766","channel 2")</f>
        <v>channel 2</v>
      </c>
    </row>
    <row r="129">
      <c r="A129" s="141"/>
      <c r="B129" s="61" t="s">
        <v>3848</v>
      </c>
      <c r="C129" s="57" t="s">
        <v>165</v>
      </c>
      <c r="D129" s="61" t="s">
        <v>3850</v>
      </c>
      <c r="E129" s="11" t="str">
        <f>HYPERLINK("https://youtu.be/sMkw_-wplSc?t=7692","channel 1")</f>
        <v>channel 1</v>
      </c>
    </row>
    <row r="130">
      <c r="A130" s="141"/>
      <c r="B130" s="61" t="s">
        <v>3847</v>
      </c>
      <c r="C130" s="57" t="s">
        <v>554</v>
      </c>
      <c r="D130" s="61" t="s">
        <v>2645</v>
      </c>
      <c r="E130" s="11" t="str">
        <f>HYPERLINK("https://youtu.be/dKi4WzjhgAk?t=7728","channel 2")</f>
        <v>channel 2</v>
      </c>
    </row>
    <row r="131">
      <c r="A131" s="141"/>
      <c r="B131" s="61" t="s">
        <v>3849</v>
      </c>
      <c r="C131" s="57" t="s">
        <v>2118</v>
      </c>
      <c r="D131" s="61" t="s">
        <v>3850</v>
      </c>
      <c r="E131" s="11" t="str">
        <f>HYPERLINK("https://youtu.be/sMkw_-wplSc?t=8559","channel 1")</f>
        <v>channel 1</v>
      </c>
    </row>
    <row r="132">
      <c r="A132" s="145"/>
      <c r="B132" s="61" t="s">
        <v>3848</v>
      </c>
      <c r="C132" s="57" t="s">
        <v>1186</v>
      </c>
      <c r="D132" s="61" t="s">
        <v>2645</v>
      </c>
      <c r="E132" s="11" t="str">
        <f>HYPERLINK("https://youtu.be/dKi4WzjhgAk?t=8659","channel 2")</f>
        <v>channel 2</v>
      </c>
    </row>
    <row r="133">
      <c r="B133" s="52" t="s">
        <v>2666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3851</v>
      </c>
      <c r="C135" s="57" t="s">
        <v>219</v>
      </c>
      <c r="D135" s="62" t="s">
        <v>2833</v>
      </c>
      <c r="E135" s="11" t="str">
        <f>HYPERLINK("https://youtu.be/LDYZ6snU15I","channel 3")</f>
        <v>channel 3</v>
      </c>
    </row>
    <row r="136">
      <c r="B136" s="62" t="s">
        <v>3852</v>
      </c>
      <c r="C136" s="57" t="s">
        <v>183</v>
      </c>
      <c r="D136" s="62" t="s">
        <v>1274</v>
      </c>
      <c r="E136" s="11" t="str">
        <f>HYPERLINK("https://youtu.be/2Wz-Lsr6EYM","channel 4")</f>
        <v>channel 4</v>
      </c>
    </row>
    <row r="137">
      <c r="B137" s="62" t="s">
        <v>1967</v>
      </c>
      <c r="C137" s="57" t="s">
        <v>193</v>
      </c>
      <c r="D137" s="62" t="s">
        <v>3851</v>
      </c>
      <c r="E137" s="11" t="str">
        <f>HYPERLINK("https://youtu.be/LDYZ6snU15I?t=895","channel 3")</f>
        <v>channel 3</v>
      </c>
    </row>
    <row r="138">
      <c r="B138" s="62" t="s">
        <v>3852</v>
      </c>
      <c r="C138" s="57" t="s">
        <v>193</v>
      </c>
      <c r="D138" s="62" t="s">
        <v>2833</v>
      </c>
      <c r="E138" s="11" t="str">
        <f>HYPERLINK("https://youtu.be/2Wz-Lsr6EYM?t=1329","channel 4")</f>
        <v>channel 4</v>
      </c>
    </row>
    <row r="139">
      <c r="B139" s="62" t="s">
        <v>1967</v>
      </c>
      <c r="C139" s="57" t="s">
        <v>324</v>
      </c>
      <c r="D139" s="62" t="s">
        <v>1274</v>
      </c>
      <c r="E139" s="11" t="str">
        <f>HYPERLINK("https://youtu.be/LDYZ6snU15I?t=1839","channel 3")</f>
        <v>channel 3</v>
      </c>
    </row>
    <row r="140">
      <c r="B140" s="62" t="s">
        <v>3852</v>
      </c>
      <c r="C140" s="57" t="s">
        <v>335</v>
      </c>
      <c r="D140" s="62" t="s">
        <v>3851</v>
      </c>
      <c r="E140" s="11" t="str">
        <f>HYPERLINK("https://youtu.be/2Wz-Lsr6EYM?t=2196","channel 4")</f>
        <v>channel 4</v>
      </c>
    </row>
    <row r="141">
      <c r="B141" s="62" t="s">
        <v>1967</v>
      </c>
      <c r="C141" s="57" t="s">
        <v>218</v>
      </c>
      <c r="D141" s="62" t="s">
        <v>2833</v>
      </c>
      <c r="E141" s="11" t="str">
        <f>HYPERLINK("https://youtu.be/LDYZ6snU15I?t=2743","channel 3")</f>
        <v>channel 3</v>
      </c>
    </row>
    <row r="142">
      <c r="B142" s="62" t="s">
        <v>1274</v>
      </c>
      <c r="C142" s="57" t="s">
        <v>342</v>
      </c>
      <c r="D142" s="62" t="s">
        <v>3851</v>
      </c>
      <c r="E142" s="11" t="str">
        <f>HYPERLINK("https://youtu.be/2Wz-Lsr6EYM?t=3080","channel 4")</f>
        <v>channel 4</v>
      </c>
    </row>
    <row r="143">
      <c r="B143" s="62" t="s">
        <v>1967</v>
      </c>
      <c r="C143" s="57" t="s">
        <v>23</v>
      </c>
      <c r="D143" s="62" t="s">
        <v>3852</v>
      </c>
      <c r="E143" s="11" t="str">
        <f>HYPERLINK("https://youtu.be/LDYZ6snU15I?t=3886","channel 3")</f>
        <v>channel 3</v>
      </c>
    </row>
    <row r="144">
      <c r="B144" s="62" t="s">
        <v>1274</v>
      </c>
      <c r="C144" s="57" t="s">
        <v>301</v>
      </c>
      <c r="D144" s="62" t="s">
        <v>2833</v>
      </c>
      <c r="E144" s="11" t="str">
        <f>HYPERLINK("https://youtu.be/2Wz-Lsr6EYM?t=3929","channel 4")</f>
        <v>channel 4</v>
      </c>
    </row>
    <row r="145">
      <c r="B145" s="62" t="s">
        <v>2833</v>
      </c>
      <c r="C145" s="57" t="s">
        <v>549</v>
      </c>
      <c r="D145" s="62" t="s">
        <v>3851</v>
      </c>
      <c r="E145" s="11" t="str">
        <f>HYPERLINK("https://youtu.be/LDYZ6snU15I?t=4957","channel 3")</f>
        <v>channel 3</v>
      </c>
    </row>
    <row r="146">
      <c r="B146" s="62" t="s">
        <v>1274</v>
      </c>
      <c r="C146" s="57" t="s">
        <v>19</v>
      </c>
      <c r="D146" s="62" t="s">
        <v>3852</v>
      </c>
      <c r="E146" s="11" t="str">
        <f>HYPERLINK("https://youtu.be/2Wz-Lsr6EYM?t=4952","channel 4")</f>
        <v>channel 4</v>
      </c>
    </row>
    <row r="147">
      <c r="B147" s="62" t="s">
        <v>3851</v>
      </c>
      <c r="C147" s="57" t="s">
        <v>159</v>
      </c>
      <c r="D147" s="62" t="s">
        <v>1967</v>
      </c>
      <c r="E147" s="11" t="str">
        <f>HYPERLINK("https://youtu.be/LDYZ6snU15I?t=5861","channel 3")</f>
        <v>channel 3</v>
      </c>
    </row>
    <row r="148">
      <c r="B148" s="62" t="s">
        <v>2833</v>
      </c>
      <c r="C148" s="57" t="s">
        <v>181</v>
      </c>
      <c r="D148" s="62" t="s">
        <v>3852</v>
      </c>
      <c r="E148" s="11" t="str">
        <f>HYPERLINK("https://youtu.be/2Wz-Lsr6EYM?t=5843","channel 4")</f>
        <v>channel 4</v>
      </c>
    </row>
    <row r="149">
      <c r="B149" s="62" t="s">
        <v>1274</v>
      </c>
      <c r="C149" s="57" t="s">
        <v>157</v>
      </c>
      <c r="D149" s="62" t="s">
        <v>1967</v>
      </c>
      <c r="E149" s="11" t="str">
        <f>HYPERLINK("https://youtu.be/LDYZ6snU15I?t=6775","channel 3")</f>
        <v>channel 3</v>
      </c>
    </row>
    <row r="150">
      <c r="B150" s="62" t="s">
        <v>3851</v>
      </c>
      <c r="C150" s="57" t="s">
        <v>302</v>
      </c>
      <c r="D150" s="62" t="s">
        <v>3852</v>
      </c>
      <c r="E150" s="11" t="str">
        <f>HYPERLINK("https://youtu.be/2Wz-Lsr6EYM?t=5843","channel 4")</f>
        <v>channel 4</v>
      </c>
    </row>
    <row r="151">
      <c r="B151" s="62" t="s">
        <v>2833</v>
      </c>
      <c r="C151" s="57" t="s">
        <v>157</v>
      </c>
      <c r="D151" s="62" t="s">
        <v>1967</v>
      </c>
      <c r="E151" s="11" t="str">
        <f>HYPERLINK("https://youtu.be/LDYZ6snU15I?t=7644","channel 3")</f>
        <v>channel 3</v>
      </c>
    </row>
    <row r="152">
      <c r="B152" s="62" t="s">
        <v>3851</v>
      </c>
      <c r="C152" s="57" t="s">
        <v>354</v>
      </c>
      <c r="D152" s="62" t="s">
        <v>1274</v>
      </c>
      <c r="E152" s="11" t="str">
        <f>HYPERLINK("https://youtu.be/2Wz-Lsr6EYM?t=7693","channel 4")</f>
        <v>channel 4</v>
      </c>
    </row>
    <row r="153">
      <c r="B153" s="62" t="s">
        <v>3852</v>
      </c>
      <c r="C153" s="57" t="s">
        <v>38</v>
      </c>
      <c r="D153" s="62" t="s">
        <v>1967</v>
      </c>
      <c r="E153" s="11" t="str">
        <f>HYPERLINK("https://youtu.be/LDYZ6snU15I?t=8499","channel 3")</f>
        <v>channel 3</v>
      </c>
    </row>
    <row r="154">
      <c r="B154" s="62" t="s">
        <v>2833</v>
      </c>
      <c r="C154" s="57" t="s">
        <v>41</v>
      </c>
      <c r="D154" s="62" t="s">
        <v>1274</v>
      </c>
      <c r="E154" s="11" t="str">
        <f>HYPERLINK("https://youtu.be/2Wz-Lsr6EYM?t=8559","channel 4")</f>
        <v>channel 4</v>
      </c>
    </row>
    <row r="155">
      <c r="B155" s="52" t="s">
        <v>2862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3853</v>
      </c>
      <c r="C157" s="57" t="s">
        <v>301</v>
      </c>
      <c r="D157" s="62" t="s">
        <v>2840</v>
      </c>
      <c r="E157" s="11" t="str">
        <f>HYPERLINK("https://youtu.be/STNgUVQg8J8","channel 3")</f>
        <v>channel 3</v>
      </c>
    </row>
    <row r="158">
      <c r="B158" s="62" t="s">
        <v>3854</v>
      </c>
      <c r="C158" s="57" t="s">
        <v>354</v>
      </c>
      <c r="D158" s="62" t="s">
        <v>1683</v>
      </c>
      <c r="E158" s="11" t="str">
        <f>HYPERLINK("https://youtu.be/wZ0aM98ah1Q","channel 4")</f>
        <v>channel 4</v>
      </c>
    </row>
    <row r="159">
      <c r="B159" s="62" t="s">
        <v>629</v>
      </c>
      <c r="C159" s="57" t="s">
        <v>20</v>
      </c>
      <c r="D159" s="62" t="s">
        <v>3853</v>
      </c>
      <c r="E159" s="11" t="str">
        <f>HYPERLINK("https://youtu.be/STNgUVQg8J8?t=959","channel 3")</f>
        <v>channel 3</v>
      </c>
    </row>
    <row r="160">
      <c r="B160" s="62" t="s">
        <v>3854</v>
      </c>
      <c r="C160" s="57" t="s">
        <v>301</v>
      </c>
      <c r="D160" s="62" t="s">
        <v>2840</v>
      </c>
      <c r="E160" s="11" t="str">
        <f>HYPERLINK("https://youtu.be/wZ0aM98ah1Q?t=972","channel 4")</f>
        <v>channel 4</v>
      </c>
    </row>
    <row r="161">
      <c r="B161" s="62" t="s">
        <v>629</v>
      </c>
      <c r="C161" s="57" t="s">
        <v>302</v>
      </c>
      <c r="D161" s="62" t="s">
        <v>1683</v>
      </c>
      <c r="E161" s="11" t="str">
        <f>HYPERLINK("https://youtu.be/STNgUVQg8J8?t=1882","channel 3")</f>
        <v>channel 3</v>
      </c>
    </row>
    <row r="162">
      <c r="B162" s="62" t="s">
        <v>3854</v>
      </c>
      <c r="C162" s="57" t="s">
        <v>245</v>
      </c>
      <c r="D162" s="62" t="s">
        <v>3853</v>
      </c>
      <c r="E162" s="11" t="str">
        <f>HYPERLINK("https://youtu.be/wZ0aM98ah1Q?t=1884","channel 4")</f>
        <v>channel 4</v>
      </c>
    </row>
    <row r="163">
      <c r="B163" s="62" t="s">
        <v>629</v>
      </c>
      <c r="C163" s="57" t="s">
        <v>237</v>
      </c>
      <c r="D163" s="62" t="s">
        <v>2840</v>
      </c>
      <c r="E163" s="11" t="str">
        <f>HYPERLINK("https://youtu.be/STNgUVQg8J8?t=2793","channel 3")</f>
        <v>channel 3</v>
      </c>
    </row>
    <row r="164">
      <c r="B164" s="62" t="s">
        <v>1683</v>
      </c>
      <c r="C164" s="57" t="s">
        <v>177</v>
      </c>
      <c r="D164" s="62" t="s">
        <v>3853</v>
      </c>
      <c r="E164" s="11" t="str">
        <f>HYPERLINK("https://youtu.be/wZ0aM98ah1Q?t=2786","channel 4")</f>
        <v>channel 4</v>
      </c>
    </row>
    <row r="165">
      <c r="B165" s="62" t="s">
        <v>629</v>
      </c>
      <c r="C165" s="57" t="s">
        <v>158</v>
      </c>
      <c r="D165" s="62" t="s">
        <v>3854</v>
      </c>
      <c r="E165" s="11" t="str">
        <f>HYPERLINK("https://youtu.be/STNgUVQg8J8?t=3702","channel 3")</f>
        <v>channel 3</v>
      </c>
    </row>
    <row r="166">
      <c r="B166" s="62" t="s">
        <v>1683</v>
      </c>
      <c r="C166" s="57" t="s">
        <v>16</v>
      </c>
      <c r="D166" s="62" t="s">
        <v>2840</v>
      </c>
      <c r="E166" s="11" t="str">
        <f>HYPERLINK("https://youtu.be/wZ0aM98ah1Q?t=3685","channel 4")</f>
        <v>channel 4</v>
      </c>
    </row>
    <row r="167">
      <c r="B167" s="62" t="s">
        <v>2840</v>
      </c>
      <c r="C167" s="57" t="s">
        <v>357</v>
      </c>
      <c r="D167" s="62" t="s">
        <v>3853</v>
      </c>
      <c r="E167" s="11" t="str">
        <f>HYPERLINK("https://youtu.be/STNgUVQg8J8?t=4696","channel 3")</f>
        <v>channel 3</v>
      </c>
    </row>
    <row r="168">
      <c r="B168" s="62" t="s">
        <v>1683</v>
      </c>
      <c r="C168" s="57" t="s">
        <v>20</v>
      </c>
      <c r="D168" s="62" t="s">
        <v>3854</v>
      </c>
      <c r="E168" s="11" t="str">
        <f>HYPERLINK("https://youtu.be/wZ0aM98ah1Q?t=4660","channel 4")</f>
        <v>channel 4</v>
      </c>
    </row>
    <row r="169">
      <c r="B169" s="62" t="s">
        <v>3853</v>
      </c>
      <c r="C169" s="57" t="s">
        <v>219</v>
      </c>
      <c r="D169" s="62" t="s">
        <v>629</v>
      </c>
      <c r="E169" s="11" t="str">
        <f>HYPERLINK("https://youtu.be/STNgUVQg8J8?t=5692","channel 3")</f>
        <v>channel 3</v>
      </c>
    </row>
    <row r="170">
      <c r="B170" s="62" t="s">
        <v>2840</v>
      </c>
      <c r="C170" s="57" t="s">
        <v>18</v>
      </c>
      <c r="D170" s="62" t="s">
        <v>3854</v>
      </c>
      <c r="E170" s="11" t="str">
        <f>HYPERLINK("https://youtu.be/wZ0aM98ah1Q?t=5641","channel 4")</f>
        <v>channel 4</v>
      </c>
    </row>
    <row r="171">
      <c r="B171" s="62" t="s">
        <v>1683</v>
      </c>
      <c r="C171" s="57" t="s">
        <v>19</v>
      </c>
      <c r="D171" s="62" t="s">
        <v>629</v>
      </c>
      <c r="E171" s="11" t="str">
        <f>HYPERLINK("https://youtu.be/STNgUVQg8J8?t=6763","channel 3")</f>
        <v>channel 3</v>
      </c>
    </row>
    <row r="172">
      <c r="B172" s="62" t="s">
        <v>3853</v>
      </c>
      <c r="C172" s="57" t="s">
        <v>17</v>
      </c>
      <c r="D172" s="62" t="s">
        <v>3854</v>
      </c>
      <c r="E172" s="11" t="str">
        <f>HYPERLINK("https://youtu.be/wZ0aM98ah1Q?t=6658","channel 4")</f>
        <v>channel 4</v>
      </c>
    </row>
    <row r="173">
      <c r="B173" s="62" t="s">
        <v>2840</v>
      </c>
      <c r="C173" s="57" t="s">
        <v>220</v>
      </c>
      <c r="D173" s="62" t="s">
        <v>629</v>
      </c>
      <c r="E173" s="11" t="str">
        <f>HYPERLINK("https://youtu.be/STNgUVQg8J8?t=7709","channel 3")</f>
        <v>channel 3</v>
      </c>
    </row>
    <row r="174">
      <c r="B174" s="62" t="s">
        <v>3853</v>
      </c>
      <c r="C174" s="57" t="s">
        <v>419</v>
      </c>
      <c r="D174" s="62" t="s">
        <v>1683</v>
      </c>
      <c r="E174" s="11" t="str">
        <f>HYPERLINK("https://youtu.be/wZ0aM98ah1Q?t=7721","channel 4")</f>
        <v>channel 4</v>
      </c>
    </row>
    <row r="175">
      <c r="B175" s="62" t="s">
        <v>3854</v>
      </c>
      <c r="C175" s="57" t="s">
        <v>43</v>
      </c>
      <c r="D175" s="62" t="s">
        <v>629</v>
      </c>
      <c r="E175" s="11" t="str">
        <f>HYPERLINK("https://youtu.be/STNgUVQg8J8?t=8679","channel 3")</f>
        <v>channel 3</v>
      </c>
    </row>
    <row r="176">
      <c r="B176" s="62" t="s">
        <v>2840</v>
      </c>
      <c r="C176" s="57" t="s">
        <v>184</v>
      </c>
      <c r="D176" s="62" t="s">
        <v>1683</v>
      </c>
      <c r="E176" s="11" t="str">
        <f>HYPERLINK("https://youtu.be/wZ0aM98ah1Q?t=8694","channel 4")</f>
        <v>channel 4</v>
      </c>
    </row>
    <row r="177">
      <c r="B177" s="52" t="s">
        <v>2828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3698</v>
      </c>
      <c r="C179" s="57" t="s">
        <v>517</v>
      </c>
      <c r="D179" s="62" t="s">
        <v>3855</v>
      </c>
      <c r="E179" s="11" t="str">
        <f>HYPERLINK("https://youtu.be/EdMwpWVfid4","channel 1")</f>
        <v>channel 1</v>
      </c>
    </row>
    <row r="180">
      <c r="B180" s="62" t="s">
        <v>2115</v>
      </c>
      <c r="C180" s="57" t="s">
        <v>181</v>
      </c>
      <c r="D180" s="62" t="s">
        <v>3856</v>
      </c>
      <c r="E180" s="11" t="str">
        <f>HYPERLINK("https://youtu.be/6384diPPYU4","channel 2")</f>
        <v>channel 2</v>
      </c>
    </row>
    <row r="181">
      <c r="B181" s="62" t="s">
        <v>3674</v>
      </c>
      <c r="C181" s="57" t="s">
        <v>44</v>
      </c>
      <c r="D181" s="62" t="s">
        <v>3698</v>
      </c>
      <c r="E181" s="11" t="str">
        <f>HYPERLINK("https://youtu.be/EdMwpWVfid4?t=2466","channel 1")</f>
        <v>channel 1</v>
      </c>
    </row>
    <row r="182">
      <c r="B182" s="62" t="s">
        <v>2115</v>
      </c>
      <c r="C182" s="57" t="s">
        <v>251</v>
      </c>
      <c r="D182" s="62" t="s">
        <v>3855</v>
      </c>
      <c r="E182" s="11" t="str">
        <f>HYPERLINK("https://youtu.be/6384diPPYU4?t=2319","channel 2")</f>
        <v>channel 2</v>
      </c>
    </row>
    <row r="183">
      <c r="B183" s="62" t="s">
        <v>3674</v>
      </c>
      <c r="C183" s="57" t="s">
        <v>21</v>
      </c>
      <c r="D183" s="62" t="s">
        <v>3856</v>
      </c>
      <c r="E183" s="11" t="str">
        <f>HYPERLINK("https://youtu.be/EdMwpWVfid4?t=3329","channel 1")</f>
        <v>channel 1</v>
      </c>
    </row>
    <row r="184">
      <c r="B184" s="62" t="s">
        <v>2115</v>
      </c>
      <c r="C184" s="57" t="s">
        <v>193</v>
      </c>
      <c r="D184" s="62" t="s">
        <v>3698</v>
      </c>
      <c r="E184" s="11" t="str">
        <f>HYPERLINK("https://youtu.be/6384diPPYU4?t=3271","channel 2")</f>
        <v>channel 2</v>
      </c>
    </row>
    <row r="185">
      <c r="B185" s="62" t="s">
        <v>3674</v>
      </c>
      <c r="C185" s="57" t="s">
        <v>2360</v>
      </c>
      <c r="D185" s="62" t="s">
        <v>3855</v>
      </c>
      <c r="E185" s="11" t="str">
        <f>HYPERLINK("https://youtu.be/EdMwpWVfid4?t=4198","channel 1")</f>
        <v>channel 1</v>
      </c>
    </row>
    <row r="186">
      <c r="B186" s="62" t="s">
        <v>3856</v>
      </c>
      <c r="C186" s="57" t="s">
        <v>344</v>
      </c>
      <c r="D186" s="62" t="s">
        <v>3698</v>
      </c>
      <c r="E186" s="11" t="str">
        <f>HYPERLINK("https://youtu.be/6384diPPYU4?t=4147","channel 2")</f>
        <v>channel 2</v>
      </c>
    </row>
    <row r="187">
      <c r="B187" s="62" t="s">
        <v>3674</v>
      </c>
      <c r="C187" s="57" t="s">
        <v>159</v>
      </c>
      <c r="D187" s="62" t="s">
        <v>2115</v>
      </c>
      <c r="E187" s="11" t="str">
        <f>HYPERLINK("https://youtu.be/EdMwpWVfid4?t=5113","channel 1")</f>
        <v>channel 1</v>
      </c>
    </row>
    <row r="188">
      <c r="B188" s="62" t="s">
        <v>3856</v>
      </c>
      <c r="C188" s="57" t="s">
        <v>354</v>
      </c>
      <c r="D188" s="62" t="s">
        <v>3855</v>
      </c>
      <c r="E188" s="11" t="str">
        <f>HYPERLINK("https://youtu.be/6384diPPYU4?t=5092","channel 2")</f>
        <v>channel 2</v>
      </c>
    </row>
    <row r="189">
      <c r="B189" s="133" t="s">
        <v>3855</v>
      </c>
      <c r="C189" s="94" t="s">
        <v>17</v>
      </c>
      <c r="D189" s="133" t="s">
        <v>3698</v>
      </c>
      <c r="E189" s="11" t="str">
        <f>HYPERLINK("https://youtu.be/EdMwpWVfid4?t=1476","channel 1")</f>
        <v>channel 1</v>
      </c>
    </row>
    <row r="190">
      <c r="B190" s="133" t="s">
        <v>3856</v>
      </c>
      <c r="C190" s="94" t="s">
        <v>17</v>
      </c>
      <c r="D190" s="133" t="s">
        <v>2115</v>
      </c>
      <c r="E190" s="11" t="str">
        <f>HYPERLINK("https://youtu.be/6384diPPYU4?t=1466","channel 2")</f>
        <v>channel 2</v>
      </c>
    </row>
    <row r="191">
      <c r="B191" s="62" t="s">
        <v>3698</v>
      </c>
      <c r="C191" s="57" t="s">
        <v>34</v>
      </c>
      <c r="D191" s="62" t="s">
        <v>3674</v>
      </c>
      <c r="E191" s="11" t="str">
        <f>HYPERLINK("https://youtu.be/EdMwpWVfid4?t=6015","channel 1")</f>
        <v>channel 1</v>
      </c>
    </row>
    <row r="192">
      <c r="B192" s="62" t="s">
        <v>3855</v>
      </c>
      <c r="C192" s="57" t="s">
        <v>22</v>
      </c>
      <c r="D192" s="62" t="s">
        <v>2115</v>
      </c>
      <c r="E192" s="11" t="str">
        <f>HYPERLINK("https://youtu.be/6384diPPYU4?t=5983","channel 2")</f>
        <v>channel 2</v>
      </c>
    </row>
    <row r="193">
      <c r="B193" s="62" t="s">
        <v>3856</v>
      </c>
      <c r="C193" s="57" t="s">
        <v>171</v>
      </c>
      <c r="D193" s="62" t="s">
        <v>3674</v>
      </c>
      <c r="E193" s="11" t="str">
        <f>HYPERLINK("https://youtu.be/EdMwpWVfid4?t=6903","channel 1")</f>
        <v>channel 1</v>
      </c>
    </row>
    <row r="194">
      <c r="B194" s="62" t="s">
        <v>3698</v>
      </c>
      <c r="C194" s="57" t="s">
        <v>181</v>
      </c>
      <c r="D194" s="62" t="s">
        <v>2115</v>
      </c>
      <c r="E194" s="11" t="str">
        <f>HYPERLINK("https://youtu.be/6384diPPYU4?t=6887","channel 2")</f>
        <v>channel 2</v>
      </c>
    </row>
    <row r="195">
      <c r="B195" s="62" t="s">
        <v>3855</v>
      </c>
      <c r="C195" s="57" t="s">
        <v>570</v>
      </c>
      <c r="D195" s="62" t="s">
        <v>3674</v>
      </c>
      <c r="E195" s="11" t="str">
        <f>HYPERLINK("https://youtu.be/EdMwpWVfid4?t=7777","channel 1")</f>
        <v>channel 1</v>
      </c>
    </row>
    <row r="196">
      <c r="B196" s="62" t="s">
        <v>3698</v>
      </c>
      <c r="C196" s="57" t="s">
        <v>21</v>
      </c>
      <c r="D196" s="62" t="s">
        <v>3856</v>
      </c>
      <c r="E196" s="11" t="str">
        <f>HYPERLINK("https://youtu.be/6384diPPYU4?t=7792","channel 2")</f>
        <v>channel 2</v>
      </c>
    </row>
    <row r="197">
      <c r="B197" s="62" t="s">
        <v>2115</v>
      </c>
      <c r="C197" s="57" t="s">
        <v>41</v>
      </c>
      <c r="D197" s="62" t="s">
        <v>3674</v>
      </c>
      <c r="E197" s="11" t="str">
        <f>HYPERLINK("https://youtu.be/EdMwpWVfid4?t=8702","channel 1")</f>
        <v>channel 1</v>
      </c>
    </row>
    <row r="198">
      <c r="B198" s="62" t="s">
        <v>3855</v>
      </c>
      <c r="C198" s="57" t="s">
        <v>195</v>
      </c>
      <c r="D198" s="62" t="s">
        <v>3856</v>
      </c>
      <c r="E198" s="11" t="str">
        <f>HYPERLINK("https://youtu.be/6384diPPYU4?t=8636","channel 2")</f>
        <v>channel 2</v>
      </c>
    </row>
    <row r="199">
      <c r="B199" s="52" t="s">
        <v>3637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3835</v>
      </c>
      <c r="C201" s="57" t="s">
        <v>41</v>
      </c>
      <c r="D201" s="62" t="s">
        <v>3639</v>
      </c>
      <c r="E201" s="11" t="str">
        <f>HYPERLINK("https://youtu.be/SBJzbW8JpWM","channel 1")</f>
        <v>channel 1</v>
      </c>
    </row>
    <row r="202">
      <c r="B202" s="62" t="s">
        <v>3222</v>
      </c>
      <c r="C202" s="57" t="s">
        <v>23</v>
      </c>
      <c r="D202" s="62" t="s">
        <v>3857</v>
      </c>
      <c r="E202" s="11" t="str">
        <f>HYPERLINK("https://youtu.be/LF0sMJ51470","channel 2")</f>
        <v>channel 2</v>
      </c>
    </row>
    <row r="203">
      <c r="B203" s="62" t="s">
        <v>3677</v>
      </c>
      <c r="C203" s="57" t="s">
        <v>203</v>
      </c>
      <c r="D203" s="62" t="s">
        <v>3835</v>
      </c>
      <c r="E203" s="11" t="str">
        <f>HYPERLINK("https://youtu.be/SBJzbW8JpWM?t=1135","channel 1")</f>
        <v>channel 1</v>
      </c>
    </row>
    <row r="204">
      <c r="B204" s="62" t="s">
        <v>3222</v>
      </c>
      <c r="C204" s="57" t="s">
        <v>7</v>
      </c>
      <c r="D204" s="62" t="s">
        <v>3639</v>
      </c>
      <c r="E204" s="11" t="str">
        <f>HYPERLINK("https://youtu.be/LF0sMJ51470?t=1048","channel 2")</f>
        <v>channel 2</v>
      </c>
    </row>
    <row r="205">
      <c r="B205" s="62" t="s">
        <v>3677</v>
      </c>
      <c r="C205" s="57" t="s">
        <v>573</v>
      </c>
      <c r="D205" s="62" t="s">
        <v>3857</v>
      </c>
      <c r="E205" s="11" t="str">
        <f>HYPERLINK("https://youtu.be/SBJzbW8JpWM?t=2071","channel 1")</f>
        <v>channel 1</v>
      </c>
    </row>
    <row r="206">
      <c r="B206" s="62" t="s">
        <v>3222</v>
      </c>
      <c r="C206" s="57" t="s">
        <v>184</v>
      </c>
      <c r="D206" s="62" t="s">
        <v>3835</v>
      </c>
      <c r="E206" s="11" t="str">
        <f>HYPERLINK("https://youtu.be/LF0sMJ51470?t=2052","channel 2")</f>
        <v>channel 2</v>
      </c>
    </row>
    <row r="207">
      <c r="B207" s="62" t="s">
        <v>3677</v>
      </c>
      <c r="C207" s="57" t="s">
        <v>17</v>
      </c>
      <c r="D207" s="62" t="s">
        <v>3639</v>
      </c>
      <c r="E207" s="11" t="str">
        <f>HYPERLINK("https://youtu.be/SBJzbW8JpWM?t=3078","channel 1")</f>
        <v>channel 1</v>
      </c>
    </row>
    <row r="208">
      <c r="B208" s="62" t="s">
        <v>3857</v>
      </c>
      <c r="C208" s="57" t="s">
        <v>464</v>
      </c>
      <c r="D208" s="62" t="s">
        <v>3835</v>
      </c>
      <c r="E208" s="11" t="str">
        <f>HYPERLINK("https://youtu.be/LF0sMJ51470?t=3045","channel 2")</f>
        <v>channel 2</v>
      </c>
    </row>
    <row r="209">
      <c r="B209" s="62" t="s">
        <v>3677</v>
      </c>
      <c r="C209" s="57" t="s">
        <v>298</v>
      </c>
      <c r="D209" s="62" t="s">
        <v>3222</v>
      </c>
      <c r="E209" s="11" t="str">
        <f>HYPERLINK("https://youtu.be/SBJzbW8JpWM?t=3987","channel 1")</f>
        <v>channel 1</v>
      </c>
    </row>
    <row r="210">
      <c r="B210" s="62" t="s">
        <v>3857</v>
      </c>
      <c r="C210" s="57" t="s">
        <v>1472</v>
      </c>
      <c r="D210" s="62" t="s">
        <v>3639</v>
      </c>
      <c r="E210" s="11" t="str">
        <f>HYPERLINK("https://youtu.be/LF0sMJ51470?t=3955","channel 2")</f>
        <v>channel 2</v>
      </c>
    </row>
    <row r="211">
      <c r="B211" s="62" t="s">
        <v>3639</v>
      </c>
      <c r="C211" s="57" t="s">
        <v>185</v>
      </c>
      <c r="D211" s="62" t="s">
        <v>3835</v>
      </c>
      <c r="E211" s="11" t="str">
        <f>HYPERLINK("https://youtu.be/SBJzbW8JpWM?t=4946","channel 1")</f>
        <v>channel 1</v>
      </c>
    </row>
    <row r="212">
      <c r="B212" s="62" t="s">
        <v>3857</v>
      </c>
      <c r="C212" s="57" t="s">
        <v>37</v>
      </c>
      <c r="D212" s="62" t="s">
        <v>3222</v>
      </c>
      <c r="E212" s="11" t="str">
        <f>HYPERLINK("https://youtu.be/LF0sMJ51470?t=4893","channel 2")</f>
        <v>channel 2</v>
      </c>
    </row>
    <row r="213">
      <c r="B213" s="62" t="s">
        <v>3835</v>
      </c>
      <c r="C213" s="57" t="s">
        <v>376</v>
      </c>
      <c r="D213" s="62" t="s">
        <v>3677</v>
      </c>
      <c r="E213" s="11" t="str">
        <f>HYPERLINK("https://youtu.be/SBJzbW8JpWM?t=5876","channel 1")</f>
        <v>channel 1</v>
      </c>
    </row>
    <row r="214">
      <c r="B214" s="62" t="s">
        <v>3639</v>
      </c>
      <c r="C214" s="57" t="s">
        <v>41</v>
      </c>
      <c r="D214" s="62" t="s">
        <v>3222</v>
      </c>
      <c r="E214" s="11" t="str">
        <f>HYPERLINK("https://youtu.be/LF0sMJ51470?t=5817","channel 2")</f>
        <v>channel 2</v>
      </c>
    </row>
    <row r="215">
      <c r="B215" s="62" t="s">
        <v>3857</v>
      </c>
      <c r="C215" s="57" t="s">
        <v>196</v>
      </c>
      <c r="D215" s="62" t="s">
        <v>3677</v>
      </c>
      <c r="E215" s="11" t="str">
        <f>HYPERLINK("https://youtu.be/SBJzbW8JpWM?t=6825","channel 1")</f>
        <v>channel 1</v>
      </c>
    </row>
    <row r="216">
      <c r="B216" s="62" t="s">
        <v>3835</v>
      </c>
      <c r="C216" s="57" t="s">
        <v>348</v>
      </c>
      <c r="D216" s="62" t="s">
        <v>3222</v>
      </c>
      <c r="E216" s="11" t="str">
        <f>HYPERLINK("https://youtu.be/LF0sMJ51470?t=6803","channel 2")</f>
        <v>channel 2</v>
      </c>
    </row>
    <row r="217">
      <c r="B217" s="62" t="s">
        <v>3639</v>
      </c>
      <c r="C217" s="57" t="s">
        <v>36</v>
      </c>
      <c r="D217" s="62" t="s">
        <v>3677</v>
      </c>
      <c r="E217" s="11" t="str">
        <f>HYPERLINK("https://youtu.be/SBJzbW8JpWM?t=7797","channel 1")</f>
        <v>channel 1</v>
      </c>
    </row>
    <row r="218">
      <c r="B218" s="62" t="s">
        <v>3835</v>
      </c>
      <c r="C218" s="57" t="s">
        <v>545</v>
      </c>
      <c r="D218" s="62" t="s">
        <v>3857</v>
      </c>
      <c r="E218" s="11" t="str">
        <f>HYPERLINK("https://youtu.be/LF0sMJ51470?t=7765","channel 2")</f>
        <v>channel 2</v>
      </c>
    </row>
    <row r="219">
      <c r="B219" s="62" t="s">
        <v>3222</v>
      </c>
      <c r="C219" s="57" t="s">
        <v>451</v>
      </c>
      <c r="D219" s="62" t="s">
        <v>3677</v>
      </c>
      <c r="E219" s="11" t="str">
        <f>HYPERLINK("https://youtu.be/SBJzbW8JpWM?t=8686","channel 1")</f>
        <v>channel 1</v>
      </c>
    </row>
    <row r="220">
      <c r="B220" s="62" t="s">
        <v>3639</v>
      </c>
      <c r="C220" s="57" t="s">
        <v>2427</v>
      </c>
      <c r="D220" s="62" t="s">
        <v>3857</v>
      </c>
      <c r="E220" s="11" t="str">
        <f>HYPERLINK("https://youtu.be/LF0sMJ51470?t=8640","channel 2")</f>
        <v>channel 2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1" t="s">
        <v>2260</v>
      </c>
      <c r="C1" s="2"/>
      <c r="D1" s="3"/>
      <c r="E1" s="18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61" t="s">
        <v>1010</v>
      </c>
      <c r="C3" s="57" t="s">
        <v>163</v>
      </c>
      <c r="D3" s="61" t="s">
        <v>3507</v>
      </c>
      <c r="E3" s="69" t="str">
        <f>HYPERLINK("https://youtu.be/CxdFOwTQ9ko","channel 2")</f>
        <v>channel 2</v>
      </c>
    </row>
    <row r="4">
      <c r="A4" s="141"/>
      <c r="B4" s="61" t="s">
        <v>927</v>
      </c>
      <c r="C4" s="57" t="s">
        <v>248</v>
      </c>
      <c r="D4" s="61" t="s">
        <v>3109</v>
      </c>
      <c r="E4" s="69" t="str">
        <f>HYPERLINK("https://youtu.be/p5r7HgIDNHo","channel 4")</f>
        <v>channel 4</v>
      </c>
    </row>
    <row r="5">
      <c r="A5" s="141"/>
      <c r="B5" s="61" t="s">
        <v>3846</v>
      </c>
      <c r="C5" s="57" t="s">
        <v>718</v>
      </c>
      <c r="D5" s="61" t="s">
        <v>1010</v>
      </c>
      <c r="E5" s="69" t="str">
        <f>HYPERLINK("https://youtu.be/CxdFOwTQ9ko?t=1106","channel 2")</f>
        <v>channel 2</v>
      </c>
    </row>
    <row r="6">
      <c r="A6" s="141"/>
      <c r="B6" s="61" t="s">
        <v>927</v>
      </c>
      <c r="C6" s="57" t="s">
        <v>17</v>
      </c>
      <c r="D6" s="61" t="s">
        <v>3507</v>
      </c>
      <c r="E6" s="69" t="str">
        <f>HYPERLINK("https://youtu.be/p5r7HgIDNHo?t=1332","channel 4")</f>
        <v>channel 4</v>
      </c>
    </row>
    <row r="7">
      <c r="A7" s="141"/>
      <c r="B7" s="61" t="s">
        <v>3846</v>
      </c>
      <c r="C7" s="57" t="s">
        <v>210</v>
      </c>
      <c r="D7" s="61" t="s">
        <v>3109</v>
      </c>
      <c r="E7" s="69" t="str">
        <f>HYPERLINK("https://youtu.be/CxdFOwTQ9ko?t=2101","channel 2")</f>
        <v>channel 2</v>
      </c>
    </row>
    <row r="8">
      <c r="A8" s="141"/>
      <c r="B8" s="61" t="s">
        <v>927</v>
      </c>
      <c r="C8" s="57" t="s">
        <v>196</v>
      </c>
      <c r="D8" s="61" t="s">
        <v>1010</v>
      </c>
      <c r="E8" s="69" t="str">
        <f>HYPERLINK("https://youtu.be/p5r7HgIDNHo?t=2147","channel 4")</f>
        <v>channel 4</v>
      </c>
    </row>
    <row r="9">
      <c r="A9" s="141"/>
      <c r="B9" s="61" t="s">
        <v>3846</v>
      </c>
      <c r="C9" s="57" t="s">
        <v>366</v>
      </c>
      <c r="D9" s="61" t="s">
        <v>3507</v>
      </c>
      <c r="E9" s="69" t="str">
        <f>HYPERLINK("https://youtu.be/CxdFOwTQ9ko?t=3026","channel 2")</f>
        <v>channel 2</v>
      </c>
    </row>
    <row r="10">
      <c r="A10" s="141"/>
      <c r="B10" s="61" t="s">
        <v>3109</v>
      </c>
      <c r="C10" s="57" t="s">
        <v>449</v>
      </c>
      <c r="D10" s="61" t="s">
        <v>1010</v>
      </c>
      <c r="E10" s="69" t="str">
        <f>HYPERLINK("https://youtu.be/p5r7HgIDNHo?t=3168","channel 4")</f>
        <v>channel 4</v>
      </c>
    </row>
    <row r="11">
      <c r="A11" s="141"/>
      <c r="B11" s="61" t="s">
        <v>3846</v>
      </c>
      <c r="C11" s="57" t="s">
        <v>203</v>
      </c>
      <c r="D11" s="61" t="s">
        <v>927</v>
      </c>
      <c r="E11" s="69" t="str">
        <f>HYPERLINK("https://youtu.be/CxdFOwTQ9ko?t=3932","channel 2")</f>
        <v>channel 2</v>
      </c>
    </row>
    <row r="12">
      <c r="A12" s="141"/>
      <c r="B12" s="61" t="s">
        <v>3109</v>
      </c>
      <c r="C12" s="57" t="s">
        <v>290</v>
      </c>
      <c r="D12" s="61" t="s">
        <v>3507</v>
      </c>
      <c r="E12" s="69" t="str">
        <f>HYPERLINK("https://youtu.be/p5r7HgIDNHo?t=4167","channel 4")</f>
        <v>channel 4</v>
      </c>
    </row>
    <row r="13">
      <c r="A13" s="141"/>
      <c r="B13" s="61" t="s">
        <v>3507</v>
      </c>
      <c r="C13" s="57" t="s">
        <v>205</v>
      </c>
      <c r="D13" s="61" t="s">
        <v>1010</v>
      </c>
      <c r="E13" s="69" t="str">
        <f>HYPERLINK("https://youtu.be/CxdFOwTQ9ko?t=4864","channel 2")</f>
        <v>channel 2</v>
      </c>
    </row>
    <row r="14">
      <c r="A14" s="141"/>
      <c r="B14" s="61" t="s">
        <v>3109</v>
      </c>
      <c r="C14" s="45" t="s">
        <v>17</v>
      </c>
      <c r="D14" s="61" t="s">
        <v>927</v>
      </c>
      <c r="E14" s="69" t="str">
        <f>HYPERLINK("https://youtu.be/p5r7HgIDNHo?t=5089","channel 4")</f>
        <v>channel 4</v>
      </c>
    </row>
    <row r="15">
      <c r="A15" s="141"/>
      <c r="B15" s="61" t="s">
        <v>1010</v>
      </c>
      <c r="C15" s="45" t="s">
        <v>34</v>
      </c>
      <c r="D15" s="61" t="s">
        <v>3846</v>
      </c>
      <c r="E15" s="69" t="str">
        <f>HYPERLINK("https://youtu.be/CxdFOwTQ9ko?t=5765","channel 2")</f>
        <v>channel 2</v>
      </c>
    </row>
    <row r="16">
      <c r="A16" s="141"/>
      <c r="B16" s="61" t="s">
        <v>3507</v>
      </c>
      <c r="C16" s="57" t="s">
        <v>507</v>
      </c>
      <c r="D16" s="61" t="s">
        <v>927</v>
      </c>
      <c r="E16" s="69" t="str">
        <f>HYPERLINK("https://youtu.be/p5r7HgIDNHo?t=5934","channel 4")</f>
        <v>channel 4</v>
      </c>
    </row>
    <row r="17">
      <c r="A17" s="141"/>
      <c r="B17" s="61" t="s">
        <v>3109</v>
      </c>
      <c r="C17" s="57" t="s">
        <v>24</v>
      </c>
      <c r="D17" s="61" t="s">
        <v>3846</v>
      </c>
      <c r="E17" s="69" t="str">
        <f>HYPERLINK("https://youtu.be/CxdFOwTQ9ko?t=6754","channel 2")</f>
        <v>channel 2</v>
      </c>
    </row>
    <row r="18">
      <c r="A18" s="141"/>
      <c r="B18" s="61" t="s">
        <v>1010</v>
      </c>
      <c r="C18" s="57" t="s">
        <v>751</v>
      </c>
      <c r="D18" s="61" t="s">
        <v>927</v>
      </c>
      <c r="E18" s="69" t="str">
        <f>HYPERLINK("https://youtu.be/p5r7HgIDNHo?t=6932","channel 4")</f>
        <v>channel 4</v>
      </c>
    </row>
    <row r="19">
      <c r="A19" s="141"/>
      <c r="B19" s="61" t="s">
        <v>3507</v>
      </c>
      <c r="C19" s="57" t="s">
        <v>162</v>
      </c>
      <c r="D19" s="61" t="s">
        <v>3846</v>
      </c>
      <c r="E19" s="69" t="str">
        <f>HYPERLINK("https://youtu.be/CxdFOwTQ9ko?t=7721","channel 2")</f>
        <v>channel 2</v>
      </c>
    </row>
    <row r="20">
      <c r="A20" s="141"/>
      <c r="B20" s="61" t="s">
        <v>1010</v>
      </c>
      <c r="C20" s="57" t="s">
        <v>301</v>
      </c>
      <c r="D20" s="61" t="s">
        <v>3109</v>
      </c>
      <c r="E20" s="69" t="str">
        <f>HYPERLINK("https://youtu.be/p5r7HgIDNHo?t=7931","channel 4")</f>
        <v>channel 4</v>
      </c>
    </row>
    <row r="21">
      <c r="A21" s="141"/>
      <c r="B21" s="61" t="s">
        <v>927</v>
      </c>
      <c r="C21" s="57" t="s">
        <v>344</v>
      </c>
      <c r="D21" s="61" t="s">
        <v>3846</v>
      </c>
      <c r="E21" s="69" t="str">
        <f>HYPERLINK("https://youtu.be/CxdFOwTQ9ko?t=8612","channel 2")</f>
        <v>channel 2</v>
      </c>
    </row>
    <row r="22">
      <c r="A22" s="141"/>
      <c r="B22" s="61" t="s">
        <v>3507</v>
      </c>
      <c r="C22" s="57" t="s">
        <v>158</v>
      </c>
      <c r="D22" s="61" t="s">
        <v>3109</v>
      </c>
      <c r="E22" s="69" t="str">
        <f>HYPERLINK("https://youtu.be/p5r7HgIDNHo?t=8860","channel 4")</f>
        <v>channel 4</v>
      </c>
    </row>
    <row r="23">
      <c r="A23" s="141"/>
      <c r="B23" s="1" t="s">
        <v>2266</v>
      </c>
      <c r="C23" s="2"/>
      <c r="D23" s="3"/>
      <c r="E23" s="4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61" t="s">
        <v>3475</v>
      </c>
      <c r="C25" s="57" t="s">
        <v>186</v>
      </c>
      <c r="D25" s="61" t="s">
        <v>3628</v>
      </c>
      <c r="E25" s="69" t="str">
        <f>HYPERLINK("https://youtu.be/bJjnVicPwTM","channel 2")</f>
        <v>channel 2</v>
      </c>
    </row>
    <row r="26">
      <c r="A26" s="141"/>
      <c r="B26" s="61" t="s">
        <v>3858</v>
      </c>
      <c r="C26" s="57" t="s">
        <v>257</v>
      </c>
      <c r="D26" s="61" t="s">
        <v>3859</v>
      </c>
      <c r="E26" s="69" t="str">
        <f>HYPERLINK("https://youtu.be/3EHvFl2LS1E","channel 4")</f>
        <v>channel 4</v>
      </c>
    </row>
    <row r="27">
      <c r="A27" s="141"/>
      <c r="B27" s="61" t="s">
        <v>3860</v>
      </c>
      <c r="C27" s="57" t="s">
        <v>41</v>
      </c>
      <c r="D27" s="61" t="s">
        <v>3475</v>
      </c>
      <c r="E27" s="69" t="str">
        <f>HYPERLINK("https://youtu.be/bJjnVicPwTM?t=1133","channel 2")</f>
        <v>channel 2</v>
      </c>
    </row>
    <row r="28">
      <c r="A28" s="141"/>
      <c r="B28" s="61" t="s">
        <v>3858</v>
      </c>
      <c r="C28" s="57" t="s">
        <v>195</v>
      </c>
      <c r="D28" s="61" t="s">
        <v>3628</v>
      </c>
      <c r="E28" s="69" t="str">
        <f>HYPERLINK("https://youtu.be/3EHvFl2LS1E?t=952","channel 4")</f>
        <v>channel 4</v>
      </c>
    </row>
    <row r="29">
      <c r="A29" s="141"/>
      <c r="B29" s="61" t="s">
        <v>3860</v>
      </c>
      <c r="C29" s="57" t="s">
        <v>376</v>
      </c>
      <c r="D29" s="61" t="s">
        <v>3859</v>
      </c>
      <c r="E29" s="69" t="str">
        <f>HYPERLINK("https://youtu.be/bJjnVicPwTM?t=2151","channel 2")</f>
        <v>channel 2</v>
      </c>
    </row>
    <row r="30">
      <c r="A30" s="141"/>
      <c r="B30" s="61" t="s">
        <v>3858</v>
      </c>
      <c r="C30" s="57" t="s">
        <v>43</v>
      </c>
      <c r="D30" s="61" t="s">
        <v>3475</v>
      </c>
      <c r="E30" s="69" t="str">
        <f>HYPERLINK("https://youtu.be/3EHvFl2LS1E?t=1964","channel 4")</f>
        <v>channel 4</v>
      </c>
    </row>
    <row r="31">
      <c r="A31" s="141"/>
      <c r="B31" s="61" t="s">
        <v>3860</v>
      </c>
      <c r="C31" s="57" t="s">
        <v>218</v>
      </c>
      <c r="D31" s="61" t="s">
        <v>3628</v>
      </c>
      <c r="E31" s="69" t="str">
        <f>HYPERLINK("https://youtu.be/bJjnVicPwTM?t=3062","channel 2")</f>
        <v>channel 2</v>
      </c>
    </row>
    <row r="32">
      <c r="A32" s="141"/>
      <c r="B32" s="61" t="s">
        <v>3859</v>
      </c>
      <c r="C32" s="57" t="s">
        <v>20</v>
      </c>
      <c r="D32" s="61" t="s">
        <v>3475</v>
      </c>
      <c r="E32" s="69" t="str">
        <f>HYPERLINK("https://youtu.be/3EHvFl2LS1E?t=3157","channel 4")</f>
        <v>channel 4</v>
      </c>
    </row>
    <row r="33">
      <c r="A33" s="141"/>
      <c r="B33" s="61" t="s">
        <v>3860</v>
      </c>
      <c r="C33" s="57" t="s">
        <v>162</v>
      </c>
      <c r="D33" s="61" t="s">
        <v>3858</v>
      </c>
      <c r="E33" s="69" t="str">
        <f>HYPERLINK("https://youtu.be/bJjnVicPwTM?t=4046","channel 2")</f>
        <v>channel 2</v>
      </c>
    </row>
    <row r="34">
      <c r="A34" s="141"/>
      <c r="B34" s="61" t="s">
        <v>3859</v>
      </c>
      <c r="C34" s="57" t="s">
        <v>357</v>
      </c>
      <c r="D34" s="61" t="s">
        <v>3628</v>
      </c>
      <c r="E34" s="69" t="str">
        <f>HYPERLINK("https://youtu.be/3EHvFl2LS1E?t=4083","channel 4")</f>
        <v>channel 4</v>
      </c>
    </row>
    <row r="35">
      <c r="A35" s="141"/>
      <c r="B35" s="61" t="s">
        <v>3628</v>
      </c>
      <c r="C35" s="57" t="s">
        <v>418</v>
      </c>
      <c r="D35" s="61" t="s">
        <v>3475</v>
      </c>
      <c r="E35" s="69" t="str">
        <f>HYPERLINK("https://youtu.be/bJjnVicPwTM?t=4904","channel 2")</f>
        <v>channel 2</v>
      </c>
    </row>
    <row r="36">
      <c r="A36" s="141"/>
      <c r="B36" s="61" t="s">
        <v>3859</v>
      </c>
      <c r="C36" s="57" t="s">
        <v>762</v>
      </c>
      <c r="D36" s="61" t="s">
        <v>3858</v>
      </c>
      <c r="E36" s="69" t="str">
        <f>HYPERLINK("https://youtu.be/3EHvFl2LS1E?t=5088","channel 4")</f>
        <v>channel 4</v>
      </c>
    </row>
    <row r="37">
      <c r="A37" s="141"/>
      <c r="B37" s="61" t="s">
        <v>3475</v>
      </c>
      <c r="C37" s="57" t="s">
        <v>219</v>
      </c>
      <c r="D37" s="61" t="s">
        <v>3860</v>
      </c>
      <c r="E37" s="69" t="str">
        <f>HYPERLINK("https://youtu.be/bJjnVicPwTM?t=5871","channel 2")</f>
        <v>channel 2</v>
      </c>
    </row>
    <row r="38">
      <c r="A38" s="141"/>
      <c r="B38" s="61" t="s">
        <v>3628</v>
      </c>
      <c r="C38" s="57" t="s">
        <v>640</v>
      </c>
      <c r="D38" s="61" t="s">
        <v>3858</v>
      </c>
      <c r="E38" s="69" t="str">
        <f>HYPERLINK("https://youtu.be/3EHvFl2LS1E?t=5923","channel 4")</f>
        <v>channel 4</v>
      </c>
    </row>
    <row r="39">
      <c r="A39" s="141"/>
      <c r="B39" s="61" t="s">
        <v>3859</v>
      </c>
      <c r="C39" s="45" t="s">
        <v>289</v>
      </c>
      <c r="D39" s="61" t="s">
        <v>3860</v>
      </c>
      <c r="E39" s="69" t="str">
        <f>HYPERLINK("https://youtu.be/bJjnVicPwTM?t=6693","channel 2")</f>
        <v>channel 2</v>
      </c>
    </row>
    <row r="40">
      <c r="A40" s="141"/>
      <c r="B40" s="61" t="s">
        <v>3475</v>
      </c>
      <c r="C40" s="57" t="s">
        <v>640</v>
      </c>
      <c r="D40" s="61" t="s">
        <v>3858</v>
      </c>
      <c r="E40" s="69" t="str">
        <f>HYPERLINK("https://youtu.be/3EHvFl2LS1E?t=6887","channel 4")</f>
        <v>channel 4</v>
      </c>
    </row>
    <row r="41">
      <c r="A41" s="141"/>
      <c r="B41" s="61" t="s">
        <v>3628</v>
      </c>
      <c r="C41" s="57" t="s">
        <v>233</v>
      </c>
      <c r="D41" s="61" t="s">
        <v>3860</v>
      </c>
      <c r="E41" s="69" t="str">
        <f>HYPERLINK("https://youtu.be/bJjnVicPwTM?t=7542","channel 2")</f>
        <v>channel 2</v>
      </c>
    </row>
    <row r="42">
      <c r="A42" s="141"/>
      <c r="B42" s="61" t="s">
        <v>3475</v>
      </c>
      <c r="C42" s="57" t="s">
        <v>763</v>
      </c>
      <c r="D42" s="61" t="s">
        <v>3859</v>
      </c>
      <c r="E42" s="69" t="str">
        <f>HYPERLINK("https://youtu.be/3EHvFl2LS1E?t=7745","channel 4")</f>
        <v>channel 4</v>
      </c>
    </row>
    <row r="43">
      <c r="A43" s="141"/>
      <c r="B43" s="61" t="s">
        <v>3858</v>
      </c>
      <c r="C43" s="57" t="s">
        <v>290</v>
      </c>
      <c r="D43" s="61" t="s">
        <v>3860</v>
      </c>
      <c r="E43" s="69" t="str">
        <f>HYPERLINK("https://youtu.be/bJjnVicPwTM?t=8464","channel 2")</f>
        <v>channel 2</v>
      </c>
    </row>
    <row r="44">
      <c r="A44" s="141"/>
      <c r="B44" s="61" t="s">
        <v>3628</v>
      </c>
      <c r="C44" s="57" t="s">
        <v>610</v>
      </c>
      <c r="D44" s="61" t="s">
        <v>3859</v>
      </c>
      <c r="E44" s="69" t="str">
        <f>HYPERLINK("https://youtu.be/3EHvFl2LS1E?t=8716","channel 4")</f>
        <v>channel 4</v>
      </c>
    </row>
    <row r="45">
      <c r="A45" s="141"/>
      <c r="B45" s="1" t="s">
        <v>3293</v>
      </c>
      <c r="C45" s="2"/>
      <c r="D45" s="3"/>
      <c r="E45" s="4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3861</v>
      </c>
      <c r="C47" s="57" t="s">
        <v>327</v>
      </c>
      <c r="D47" s="61" t="s">
        <v>833</v>
      </c>
      <c r="E47" s="11" t="str">
        <f>HYPERLINK("https://youtu.be/ClZvPxeQX6A","channel 1")</f>
        <v>channel 1</v>
      </c>
    </row>
    <row r="48">
      <c r="A48" s="141"/>
      <c r="B48" s="61" t="s">
        <v>3862</v>
      </c>
      <c r="C48" s="57" t="s">
        <v>42</v>
      </c>
      <c r="D48" s="61" t="s">
        <v>2969</v>
      </c>
      <c r="E48" s="11" t="str">
        <f>HYPERLINK("https://youtu.be/EYolK-HdoS8","channel 3")</f>
        <v>channel 3</v>
      </c>
    </row>
    <row r="49">
      <c r="A49" s="141"/>
      <c r="B49" s="61" t="s">
        <v>2501</v>
      </c>
      <c r="C49" s="57" t="s">
        <v>2396</v>
      </c>
      <c r="D49" s="61" t="s">
        <v>3861</v>
      </c>
      <c r="E49" s="11" t="str">
        <f>HYPERLINK("https://youtu.be/ClZvPxeQX6A?t=1502","channel 1")</f>
        <v>channel 1</v>
      </c>
    </row>
    <row r="50">
      <c r="A50" s="141"/>
      <c r="B50" s="61" t="s">
        <v>3862</v>
      </c>
      <c r="C50" s="57" t="s">
        <v>27</v>
      </c>
      <c r="D50" s="61" t="s">
        <v>833</v>
      </c>
      <c r="E50" s="11" t="str">
        <f>HYPERLINK("https://youtu.be/EYolK-HdoS8?t=1275","channel 3")</f>
        <v>channel 3</v>
      </c>
    </row>
    <row r="51">
      <c r="A51" s="141"/>
      <c r="B51" s="61" t="s">
        <v>2501</v>
      </c>
      <c r="C51" s="57" t="s">
        <v>3863</v>
      </c>
      <c r="D51" s="61" t="s">
        <v>2969</v>
      </c>
      <c r="E51" s="11" t="str">
        <f>HYPERLINK("https://youtu.be/ClZvPxeQX6A?t=2707","channel 1")</f>
        <v>channel 1</v>
      </c>
    </row>
    <row r="52">
      <c r="A52" s="141"/>
      <c r="B52" s="61" t="s">
        <v>3862</v>
      </c>
      <c r="C52" s="57" t="s">
        <v>36</v>
      </c>
      <c r="D52" s="61" t="s">
        <v>3861</v>
      </c>
      <c r="E52" s="11" t="str">
        <f>HYPERLINK("https://youtu.be/EYolK-HdoS8?t=2456","channel 3")</f>
        <v>channel 3</v>
      </c>
    </row>
    <row r="53">
      <c r="A53" s="141"/>
      <c r="B53" s="61" t="s">
        <v>2501</v>
      </c>
      <c r="C53" s="57" t="s">
        <v>369</v>
      </c>
      <c r="D53" s="61" t="s">
        <v>833</v>
      </c>
      <c r="E53" s="11" t="str">
        <f>HYPERLINK("https://youtu.be/ClZvPxeQX6A?t=3731","channel 1")</f>
        <v>channel 1</v>
      </c>
    </row>
    <row r="54">
      <c r="A54" s="141"/>
      <c r="B54" s="61" t="s">
        <v>2969</v>
      </c>
      <c r="C54" s="57" t="s">
        <v>421</v>
      </c>
      <c r="D54" s="61" t="s">
        <v>3861</v>
      </c>
      <c r="E54" s="11" t="str">
        <f>HYPERLINK("https://youtu.be/EYolK-HdoS8?t=3399","channel 3")</f>
        <v>channel 3</v>
      </c>
    </row>
    <row r="55">
      <c r="A55" s="141"/>
      <c r="B55" s="61" t="s">
        <v>2501</v>
      </c>
      <c r="C55" s="57" t="s">
        <v>181</v>
      </c>
      <c r="D55" s="61" t="s">
        <v>3862</v>
      </c>
      <c r="E55" s="11" t="str">
        <f>HYPERLINK("https://youtu.be/ClZvPxeQX6A?t=4707","channel 1")</f>
        <v>channel 1</v>
      </c>
    </row>
    <row r="56">
      <c r="A56" s="141"/>
      <c r="B56" s="61" t="s">
        <v>2969</v>
      </c>
      <c r="C56" s="57" t="s">
        <v>184</v>
      </c>
      <c r="D56" s="61" t="s">
        <v>833</v>
      </c>
      <c r="E56" s="11" t="str">
        <f>HYPERLINK("https://youtu.be/EYolK-HdoS8?t=4478","channel 3")</f>
        <v>channel 3</v>
      </c>
    </row>
    <row r="57">
      <c r="A57" s="141"/>
      <c r="B57" s="61" t="s">
        <v>833</v>
      </c>
      <c r="C57" s="57" t="s">
        <v>547</v>
      </c>
      <c r="D57" s="61" t="s">
        <v>3861</v>
      </c>
      <c r="E57" s="11" t="str">
        <f>HYPERLINK("https://youtu.be/ClZvPxeQX6A?t=5664","channel 1")</f>
        <v>channel 1</v>
      </c>
    </row>
    <row r="58">
      <c r="A58" s="141"/>
      <c r="B58" s="61" t="s">
        <v>2969</v>
      </c>
      <c r="C58" s="57" t="s">
        <v>18</v>
      </c>
      <c r="D58" s="61" t="s">
        <v>3862</v>
      </c>
      <c r="E58" s="11" t="str">
        <f>HYPERLINK("https://youtu.be/EYolK-HdoS8?t=5611","channel 3")</f>
        <v>channel 3</v>
      </c>
    </row>
    <row r="59">
      <c r="A59" s="141"/>
      <c r="B59" s="61" t="s">
        <v>3861</v>
      </c>
      <c r="C59" s="57" t="s">
        <v>180</v>
      </c>
      <c r="D59" s="61" t="s">
        <v>2501</v>
      </c>
      <c r="E59" s="11" t="str">
        <f>HYPERLINK("https://youtu.be/ClZvPxeQX6A?t=6597","channel 1")</f>
        <v>channel 1</v>
      </c>
    </row>
    <row r="60">
      <c r="A60" s="141"/>
      <c r="B60" s="61" t="s">
        <v>833</v>
      </c>
      <c r="C60" s="57" t="s">
        <v>193</v>
      </c>
      <c r="D60" s="61" t="s">
        <v>3862</v>
      </c>
      <c r="E60" s="11" t="str">
        <f>HYPERLINK("https://youtu.be/EYolK-HdoS8?t=6507","channel 3")</f>
        <v>channel 3</v>
      </c>
    </row>
    <row r="61">
      <c r="A61" s="141"/>
      <c r="B61" s="61" t="s">
        <v>2969</v>
      </c>
      <c r="C61" s="57" t="s">
        <v>342</v>
      </c>
      <c r="D61" s="61" t="s">
        <v>2501</v>
      </c>
      <c r="E61" s="11" t="str">
        <f>HYPERLINK("https://youtu.be/ClZvPxeQX6A?t=7557","channel 1")</f>
        <v>channel 1</v>
      </c>
    </row>
    <row r="62">
      <c r="A62" s="141"/>
      <c r="B62" s="61" t="s">
        <v>3861</v>
      </c>
      <c r="C62" s="45" t="s">
        <v>155</v>
      </c>
      <c r="D62" s="61" t="s">
        <v>3862</v>
      </c>
      <c r="E62" s="11" t="str">
        <f>HYPERLINK("https://youtu.be/EYolK-HdoS8?t=7448","channel 3")</f>
        <v>channel 3</v>
      </c>
    </row>
    <row r="63">
      <c r="A63" s="141"/>
      <c r="B63" s="61" t="s">
        <v>833</v>
      </c>
      <c r="C63" s="57" t="s">
        <v>181</v>
      </c>
      <c r="D63" s="61" t="s">
        <v>2501</v>
      </c>
      <c r="E63" s="11" t="str">
        <f>HYPERLINK("https://youtu.be/ClZvPxeQX6A?t=8518","channel 1")</f>
        <v>channel 1</v>
      </c>
    </row>
    <row r="64">
      <c r="A64" s="141"/>
      <c r="B64" s="61" t="s">
        <v>3861</v>
      </c>
      <c r="C64" s="57" t="s">
        <v>227</v>
      </c>
      <c r="D64" s="61" t="s">
        <v>2969</v>
      </c>
      <c r="E64" s="11" t="str">
        <f>HYPERLINK("https://youtu.be/EYolK-HdoS8?t=8404","channel 3")</f>
        <v>channel 3</v>
      </c>
    </row>
    <row r="65">
      <c r="A65" s="141"/>
      <c r="B65" s="61" t="s">
        <v>3862</v>
      </c>
      <c r="C65" s="57" t="s">
        <v>344</v>
      </c>
      <c r="D65" s="61" t="s">
        <v>2501</v>
      </c>
      <c r="E65" s="11" t="str">
        <f>HYPERLINK("https://youtu.be/ClZvPxeQX6A?t=9468","channel 1")</f>
        <v>channel 1</v>
      </c>
    </row>
    <row r="66">
      <c r="A66" s="141"/>
      <c r="B66" s="61" t="s">
        <v>833</v>
      </c>
      <c r="C66" s="57" t="s">
        <v>227</v>
      </c>
      <c r="D66" s="61" t="s">
        <v>2969</v>
      </c>
      <c r="E66" s="11" t="str">
        <f>HYPERLINK("https://youtu.be/EYolK-HdoS8?t=9307","channel 3")</f>
        <v>channel 3</v>
      </c>
    </row>
    <row r="67">
      <c r="A67" s="141"/>
      <c r="B67" s="1" t="s">
        <v>2741</v>
      </c>
      <c r="C67" s="2"/>
      <c r="D67" s="3"/>
      <c r="E67" s="4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3864</v>
      </c>
      <c r="C69" s="57" t="s">
        <v>362</v>
      </c>
      <c r="D69" s="61" t="s">
        <v>3865</v>
      </c>
      <c r="E69" s="11" t="str">
        <f>HYPERLINK("https://youtu.be/27k5fdJnOFs","channel 1")</f>
        <v>channel 1</v>
      </c>
    </row>
    <row r="70">
      <c r="A70" s="141"/>
      <c r="B70" s="61" t="s">
        <v>3238</v>
      </c>
      <c r="C70" s="57" t="s">
        <v>380</v>
      </c>
      <c r="D70" s="61" t="s">
        <v>3782</v>
      </c>
      <c r="E70" s="11" t="str">
        <f>HYPERLINK("https://youtu.be/O-br6qm_RpY","channel 3")</f>
        <v>channel 3</v>
      </c>
    </row>
    <row r="71">
      <c r="A71" s="141"/>
      <c r="B71" s="61" t="s">
        <v>2027</v>
      </c>
      <c r="C71" s="57" t="s">
        <v>383</v>
      </c>
      <c r="D71" s="61" t="s">
        <v>3864</v>
      </c>
      <c r="E71" s="11" t="str">
        <f>HYPERLINK("https://youtu.be/27k5fdJnOFs?t=877","channel 1")</f>
        <v>channel 1</v>
      </c>
    </row>
    <row r="72">
      <c r="A72" s="141"/>
      <c r="B72" s="61" t="s">
        <v>3238</v>
      </c>
      <c r="C72" s="57" t="s">
        <v>193</v>
      </c>
      <c r="D72" s="61" t="s">
        <v>3865</v>
      </c>
      <c r="E72" s="11" t="str">
        <f>HYPERLINK("https://youtu.be/O-br6qm_RpY?t=954","channel 3")</f>
        <v>channel 3</v>
      </c>
    </row>
    <row r="73">
      <c r="A73" s="141"/>
      <c r="B73" s="61" t="s">
        <v>2027</v>
      </c>
      <c r="C73" s="57" t="s">
        <v>344</v>
      </c>
      <c r="D73" s="61" t="s">
        <v>3782</v>
      </c>
      <c r="E73" s="11" t="str">
        <f>HYPERLINK("https://youtu.be/27k5fdJnOFs?t=1849","channel 1")</f>
        <v>channel 1</v>
      </c>
    </row>
    <row r="74">
      <c r="A74" s="141"/>
      <c r="B74" s="61" t="s">
        <v>3238</v>
      </c>
      <c r="C74" s="57" t="s">
        <v>198</v>
      </c>
      <c r="D74" s="61" t="s">
        <v>3864</v>
      </c>
      <c r="E74" s="11" t="str">
        <f>HYPERLINK("https://youtu.be/O-br6qm_RpY?t=1931","channel 3")</f>
        <v>channel 3</v>
      </c>
    </row>
    <row r="75">
      <c r="A75" s="141"/>
      <c r="B75" s="61" t="s">
        <v>2027</v>
      </c>
      <c r="C75" s="57" t="s">
        <v>177</v>
      </c>
      <c r="D75" s="61" t="s">
        <v>3865</v>
      </c>
      <c r="E75" s="11" t="str">
        <f>HYPERLINK("https://youtu.be/27k5fdJnOFs?t=2839","channel 1")</f>
        <v>channel 1</v>
      </c>
    </row>
    <row r="76">
      <c r="A76" s="141"/>
      <c r="B76" s="61" t="s">
        <v>3782</v>
      </c>
      <c r="C76" s="57" t="s">
        <v>303</v>
      </c>
      <c r="D76" s="61" t="s">
        <v>3864</v>
      </c>
      <c r="E76" s="11" t="str">
        <f>HYPERLINK("https://youtu.be/O-br6qm_RpY?t=3095","channel 3")</f>
        <v>channel 3</v>
      </c>
    </row>
    <row r="77">
      <c r="A77" s="141"/>
      <c r="B77" s="61" t="s">
        <v>2027</v>
      </c>
      <c r="C77" s="57" t="s">
        <v>184</v>
      </c>
      <c r="D77" s="61" t="s">
        <v>3238</v>
      </c>
      <c r="E77" s="11" t="str">
        <f>HYPERLINK("https://youtu.be/27k5fdJnOFs?t=3790","сhannel 1")</f>
        <v>сhannel 1</v>
      </c>
    </row>
    <row r="78">
      <c r="A78" s="141"/>
      <c r="B78" s="61" t="s">
        <v>3782</v>
      </c>
      <c r="C78" s="57" t="s">
        <v>247</v>
      </c>
      <c r="D78" s="61" t="s">
        <v>3865</v>
      </c>
      <c r="E78" s="11" t="str">
        <f>HYPERLINK("https://youtu.be/O-br6qm_RpY?t=3974","channel 3")</f>
        <v>channel 3</v>
      </c>
    </row>
    <row r="79">
      <c r="A79" s="141"/>
      <c r="B79" s="61" t="s">
        <v>3865</v>
      </c>
      <c r="C79" s="57" t="s">
        <v>38</v>
      </c>
      <c r="D79" s="61" t="s">
        <v>3864</v>
      </c>
      <c r="E79" s="11" t="str">
        <f>HYPERLINK("https://youtu.be/27k5fdJnOFs?t=4802","channel 1")</f>
        <v>channel 1</v>
      </c>
    </row>
    <row r="80">
      <c r="A80" s="141"/>
      <c r="B80" s="61" t="s">
        <v>3782</v>
      </c>
      <c r="C80" s="57" t="s">
        <v>638</v>
      </c>
      <c r="D80" s="61" t="s">
        <v>3238</v>
      </c>
      <c r="E80" s="11" t="str">
        <f>HYPERLINK("https://youtu.be/O-br6qm_RpY?t=4914","channel 3")</f>
        <v>channel 3</v>
      </c>
    </row>
    <row r="81">
      <c r="A81" s="141"/>
      <c r="B81" s="61" t="s">
        <v>3864</v>
      </c>
      <c r="C81" s="57" t="s">
        <v>209</v>
      </c>
      <c r="D81" s="61" t="s">
        <v>2027</v>
      </c>
      <c r="E81" s="11" t="str">
        <f>HYPERLINK("https://youtu.be/27k5fdJnOFs?t=5767","channel 1")</f>
        <v>channel 1</v>
      </c>
    </row>
    <row r="82">
      <c r="A82" s="141"/>
      <c r="B82" s="61" t="s">
        <v>3865</v>
      </c>
      <c r="C82" s="57" t="s">
        <v>16</v>
      </c>
      <c r="D82" s="61" t="s">
        <v>3238</v>
      </c>
      <c r="E82" s="11" t="str">
        <f>HYPERLINK("https://youtu.be/O-br6qm_RpY?t=5865","channel 3")</f>
        <v>channel 3</v>
      </c>
    </row>
    <row r="83">
      <c r="A83" s="141"/>
      <c r="B83" s="61" t="s">
        <v>3782</v>
      </c>
      <c r="C83" s="57" t="s">
        <v>610</v>
      </c>
      <c r="D83" s="61" t="s">
        <v>2027</v>
      </c>
      <c r="E83" s="11" t="str">
        <f>HYPERLINK("https://youtu.be/27k5fdJnOFs?t=6649","channel 1")</f>
        <v>channel 1</v>
      </c>
    </row>
    <row r="84">
      <c r="A84" s="141"/>
      <c r="B84" s="61" t="s">
        <v>3864</v>
      </c>
      <c r="C84" s="57" t="s">
        <v>16</v>
      </c>
      <c r="D84" s="61" t="s">
        <v>3238</v>
      </c>
      <c r="E84" s="11" t="str">
        <f>HYPERLINK("https://youtu.be/O-br6qm_RpY?t=7577","channel 3")</f>
        <v>channel 3</v>
      </c>
    </row>
    <row r="85">
      <c r="A85" s="141"/>
      <c r="B85" s="61" t="s">
        <v>3865</v>
      </c>
      <c r="C85" s="57" t="s">
        <v>352</v>
      </c>
      <c r="D85" s="61" t="s">
        <v>2027</v>
      </c>
      <c r="E85" s="11" t="str">
        <f>HYPERLINK("https://youtu.be/27k5fdJnOFs?t=7674","channel 1")</f>
        <v>channel 1</v>
      </c>
    </row>
    <row r="86">
      <c r="A86" s="141"/>
      <c r="B86" s="61" t="s">
        <v>3864</v>
      </c>
      <c r="C86" s="57" t="s">
        <v>3866</v>
      </c>
      <c r="D86" s="61" t="s">
        <v>3782</v>
      </c>
      <c r="E86" s="11" t="str">
        <f>HYPERLINK("https://youtu.be/O-br6qm_RpY?t=8429","channel 3")</f>
        <v>channel 3</v>
      </c>
    </row>
    <row r="87">
      <c r="A87" s="141"/>
      <c r="B87" s="61" t="s">
        <v>3238</v>
      </c>
      <c r="C87" s="57" t="s">
        <v>477</v>
      </c>
      <c r="D87" s="61" t="s">
        <v>2027</v>
      </c>
      <c r="E87" s="11" t="str">
        <f>HYPERLINK("https://youtu.be/27k5fdJnOFs?t=8606","channel 1")</f>
        <v>channel 1</v>
      </c>
    </row>
    <row r="88">
      <c r="A88" s="141"/>
      <c r="B88" s="61" t="s">
        <v>3865</v>
      </c>
      <c r="C88" s="57" t="s">
        <v>1261</v>
      </c>
      <c r="D88" s="61" t="s">
        <v>3782</v>
      </c>
      <c r="E88" s="11" t="str">
        <f>HYPERLINK("https://youtu.be/O-br6qm_RpY?t=9302","channel 3")</f>
        <v>channel 3</v>
      </c>
    </row>
    <row r="89">
      <c r="A89" s="141"/>
      <c r="B89" s="1" t="s">
        <v>3105</v>
      </c>
      <c r="C89" s="2"/>
      <c r="D89" s="3"/>
      <c r="E89" s="4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61" t="s">
        <v>3867</v>
      </c>
      <c r="C91" s="57" t="s">
        <v>256</v>
      </c>
      <c r="D91" s="61" t="s">
        <v>3868</v>
      </c>
      <c r="E91" s="69" t="str">
        <f>HYPERLINK("https://youtu.be/hjfKe8r_o3U","channel 2")</f>
        <v>channel 2</v>
      </c>
    </row>
    <row r="92">
      <c r="A92" s="141"/>
      <c r="B92" s="61" t="s">
        <v>3869</v>
      </c>
      <c r="C92" s="57" t="s">
        <v>155</v>
      </c>
      <c r="D92" s="61" t="s">
        <v>3870</v>
      </c>
      <c r="E92" s="69" t="str">
        <f>HYPERLINK("https://youtu.be/Kqtx9N08-I8","channel 4")</f>
        <v>channel 4</v>
      </c>
    </row>
    <row r="93">
      <c r="A93" s="141"/>
      <c r="B93" s="61" t="s">
        <v>3871</v>
      </c>
      <c r="C93" s="57" t="s">
        <v>7</v>
      </c>
      <c r="D93" s="61" t="s">
        <v>3867</v>
      </c>
      <c r="E93" s="69" t="str">
        <f>HYPERLINK("https://youtu.be/hjfKe8r_o3U?t=942","channel 2")</f>
        <v>channel 2</v>
      </c>
    </row>
    <row r="94">
      <c r="A94" s="141"/>
      <c r="B94" s="61" t="s">
        <v>3869</v>
      </c>
      <c r="C94" s="57" t="s">
        <v>203</v>
      </c>
      <c r="D94" s="61" t="s">
        <v>3868</v>
      </c>
      <c r="E94" s="69" t="str">
        <f>HYPERLINK("https://youtu.be/Kqtx9N08-I8?t=1080","channel 4")</f>
        <v>channel 4</v>
      </c>
    </row>
    <row r="95">
      <c r="A95" s="141"/>
      <c r="B95" s="61" t="s">
        <v>3871</v>
      </c>
      <c r="C95" s="45" t="s">
        <v>290</v>
      </c>
      <c r="D95" s="61" t="s">
        <v>3870</v>
      </c>
      <c r="E95" s="69" t="str">
        <f>HYPERLINK("https://youtu.be/hjfKe8r_o3U?t=1870","channel 2")</f>
        <v>channel 2</v>
      </c>
    </row>
    <row r="96">
      <c r="A96" s="141"/>
      <c r="B96" s="61" t="s">
        <v>3869</v>
      </c>
      <c r="C96" s="57" t="s">
        <v>158</v>
      </c>
      <c r="D96" s="61" t="s">
        <v>3867</v>
      </c>
      <c r="E96" s="69" t="str">
        <f>HYPERLINK("https://youtu.be/Kqtx9N08-I8?t=1972","channel 4")</f>
        <v>channel 4</v>
      </c>
    </row>
    <row r="97">
      <c r="A97" s="141"/>
      <c r="B97" s="61" t="s">
        <v>3871</v>
      </c>
      <c r="C97" s="57" t="s">
        <v>292</v>
      </c>
      <c r="D97" s="61" t="s">
        <v>3868</v>
      </c>
      <c r="E97" s="69" t="str">
        <f>HYPERLINK("https://youtu.be/hjfKe8r_o3U?t=2907","channel 2")</f>
        <v>channel 2</v>
      </c>
    </row>
    <row r="98">
      <c r="A98" s="141"/>
      <c r="B98" s="61" t="s">
        <v>3870</v>
      </c>
      <c r="C98" s="57" t="s">
        <v>160</v>
      </c>
      <c r="D98" s="61" t="s">
        <v>3867</v>
      </c>
      <c r="E98" s="69" t="str">
        <f>HYPERLINK("https://youtu.be/Kqtx9N08-I8?t=1972","channel 4")</f>
        <v>channel 4</v>
      </c>
    </row>
    <row r="99">
      <c r="A99" s="141"/>
      <c r="B99" s="61" t="s">
        <v>3871</v>
      </c>
      <c r="C99" s="57" t="s">
        <v>14</v>
      </c>
      <c r="D99" s="61" t="s">
        <v>3869</v>
      </c>
      <c r="E99" s="69" t="str">
        <f>HYPERLINK("https://youtu.be/hjfKe8r_o3U?t=3841","channel 2")</f>
        <v>channel 2</v>
      </c>
    </row>
    <row r="100">
      <c r="A100" s="141"/>
      <c r="B100" s="61" t="s">
        <v>3870</v>
      </c>
      <c r="C100" s="57" t="s">
        <v>301</v>
      </c>
      <c r="D100" s="61" t="s">
        <v>3868</v>
      </c>
      <c r="E100" s="69" t="str">
        <f>HYPERLINK("https://youtu.be/Kqtx9N08-I8?t=4061","channel 4")</f>
        <v>channel 4</v>
      </c>
    </row>
    <row r="101">
      <c r="A101" s="141"/>
      <c r="B101" s="61" t="s">
        <v>3868</v>
      </c>
      <c r="C101" s="57" t="s">
        <v>222</v>
      </c>
      <c r="D101" s="61" t="s">
        <v>3867</v>
      </c>
      <c r="E101" s="69" t="str">
        <f>HYPERLINK("https://youtu.be/hjfKe8r_o3U?t=4798","channel 2")</f>
        <v>channel 2</v>
      </c>
    </row>
    <row r="102">
      <c r="A102" s="141"/>
      <c r="B102" s="61" t="s">
        <v>3870</v>
      </c>
      <c r="C102" s="57" t="s">
        <v>43</v>
      </c>
      <c r="D102" s="61" t="s">
        <v>3869</v>
      </c>
      <c r="E102" s="69" t="str">
        <f>HYPERLINK("https://youtu.be/Kqtx9N08-I8?t=4991","channel 4")</f>
        <v>channel 4</v>
      </c>
    </row>
    <row r="103">
      <c r="A103" s="141"/>
      <c r="B103" s="61" t="s">
        <v>3867</v>
      </c>
      <c r="C103" s="57" t="s">
        <v>575</v>
      </c>
      <c r="D103" s="61" t="s">
        <v>3871</v>
      </c>
      <c r="E103" s="69" t="str">
        <f>HYPERLINK("https://youtu.be/hjfKe8r_o3U?t=4798","channel 2")</f>
        <v>channel 2</v>
      </c>
    </row>
    <row r="104">
      <c r="A104" s="141"/>
      <c r="B104" s="61" t="s">
        <v>3868</v>
      </c>
      <c r="C104" s="57" t="s">
        <v>22</v>
      </c>
      <c r="D104" s="61" t="s">
        <v>3869</v>
      </c>
      <c r="E104" s="69" t="str">
        <f>HYPERLINK("https://youtu.be/Kqtx9N08-I8?t=5919","channel 4")</f>
        <v>channel 4</v>
      </c>
    </row>
    <row r="105">
      <c r="A105" s="141"/>
      <c r="B105" s="61" t="s">
        <v>3870</v>
      </c>
      <c r="C105" s="57" t="s">
        <v>16</v>
      </c>
      <c r="D105" s="61" t="s">
        <v>3871</v>
      </c>
      <c r="E105" s="69" t="str">
        <f>HYPERLINK("https://youtu.be/hjfKe8r_o3U?t=6686","channel 2")</f>
        <v>channel 2</v>
      </c>
    </row>
    <row r="106">
      <c r="A106" s="141"/>
      <c r="B106" s="61" t="s">
        <v>3867</v>
      </c>
      <c r="C106" s="57" t="s">
        <v>250</v>
      </c>
      <c r="D106" s="61" t="s">
        <v>3869</v>
      </c>
      <c r="E106" s="69" t="str">
        <f>HYPERLINK("https://youtu.be/Kqtx9N08-I8?t=6839","channel 4")</f>
        <v>channel 4</v>
      </c>
    </row>
    <row r="107">
      <c r="A107" s="141"/>
      <c r="B107" s="61" t="s">
        <v>3868</v>
      </c>
      <c r="C107" s="57" t="s">
        <v>41</v>
      </c>
      <c r="D107" s="61" t="s">
        <v>3871</v>
      </c>
      <c r="E107" s="69" t="str">
        <f>HYPERLINK("https://youtu.be/hjfKe8r_o3U?t=7647","channel 2")</f>
        <v>channel 2</v>
      </c>
    </row>
    <row r="108">
      <c r="A108" s="141"/>
      <c r="B108" s="61" t="s">
        <v>3867</v>
      </c>
      <c r="C108" s="57" t="s">
        <v>19</v>
      </c>
      <c r="D108" s="61" t="s">
        <v>3870</v>
      </c>
      <c r="E108" s="69" t="str">
        <f>HYPERLINK("https://youtu.be/Kqtx9N08-I8?t=7818","channel 4")</f>
        <v>channel 4</v>
      </c>
    </row>
    <row r="109">
      <c r="A109" s="141"/>
      <c r="B109" s="61" t="s">
        <v>3869</v>
      </c>
      <c r="C109" s="57" t="s">
        <v>256</v>
      </c>
      <c r="D109" s="61" t="s">
        <v>3871</v>
      </c>
      <c r="E109" s="69" t="str">
        <f>HYPERLINK("https://youtu.be/hjfKe8r_o3U?t=8634","channel 2")</f>
        <v>channel 2</v>
      </c>
    </row>
    <row r="110">
      <c r="A110" s="141"/>
      <c r="B110" s="61" t="s">
        <v>3868</v>
      </c>
      <c r="C110" s="57" t="s">
        <v>43</v>
      </c>
      <c r="D110" s="61" t="s">
        <v>3870</v>
      </c>
      <c r="E110" s="69" t="str">
        <f>HYPERLINK("https://youtu.be/Kqtx9N08-I8?t=8750","channel 4")</f>
        <v>channel 4</v>
      </c>
    </row>
    <row r="111">
      <c r="A111" s="141"/>
      <c r="B111" s="1" t="s">
        <v>2659</v>
      </c>
      <c r="C111" s="2"/>
      <c r="D111" s="3"/>
      <c r="E111" s="4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3872</v>
      </c>
      <c r="C113" s="57" t="s">
        <v>2589</v>
      </c>
      <c r="D113" s="61" t="s">
        <v>3873</v>
      </c>
      <c r="E113" s="69" t="str">
        <f>HYPERLINK("https://youtu.be/ijwe3Zcbd0E","channel 2")</f>
        <v>channel 2</v>
      </c>
    </row>
    <row r="114">
      <c r="A114" s="141"/>
      <c r="B114" s="61" t="s">
        <v>3874</v>
      </c>
      <c r="C114" s="57" t="s">
        <v>16</v>
      </c>
      <c r="D114" s="61" t="s">
        <v>3875</v>
      </c>
      <c r="E114" s="69" t="str">
        <f>HYPERLINK("https://youtu.be/ZuHF86NXxt8","channel 4")</f>
        <v>channel 4</v>
      </c>
    </row>
    <row r="115">
      <c r="A115" s="141"/>
      <c r="B115" s="61" t="s">
        <v>3876</v>
      </c>
      <c r="C115" s="57" t="s">
        <v>554</v>
      </c>
      <c r="D115" s="61" t="s">
        <v>3872</v>
      </c>
      <c r="E115" s="69" t="str">
        <f>HYPERLINK("https://youtu.be/ijwe3Zcbd0E?t=1003","channel 2")</f>
        <v>channel 2</v>
      </c>
    </row>
    <row r="116">
      <c r="A116" s="141"/>
      <c r="B116" s="61" t="s">
        <v>3874</v>
      </c>
      <c r="C116" s="57" t="s">
        <v>160</v>
      </c>
      <c r="D116" s="61" t="s">
        <v>3873</v>
      </c>
      <c r="E116" s="69" t="str">
        <f>HYPERLINK("https://youtu.be/ZuHF86NXxt8?t=1175","channel 4")</f>
        <v>channel 4</v>
      </c>
    </row>
    <row r="117">
      <c r="A117" s="141"/>
      <c r="B117" s="61" t="s">
        <v>3876</v>
      </c>
      <c r="C117" s="57" t="s">
        <v>14</v>
      </c>
      <c r="D117" s="61" t="s">
        <v>3875</v>
      </c>
      <c r="E117" s="69" t="str">
        <f>HYPERLINK("https://youtu.be/ijwe3Zcbd0E?t=1986","channel 2")</f>
        <v>channel 2</v>
      </c>
    </row>
    <row r="118">
      <c r="A118" s="141"/>
      <c r="B118" s="61" t="s">
        <v>3874</v>
      </c>
      <c r="C118" s="57" t="s">
        <v>311</v>
      </c>
      <c r="D118" s="61" t="s">
        <v>3872</v>
      </c>
      <c r="E118" s="69" t="str">
        <f>HYPERLINK("https://youtu.be/ZuHF86NXxt8?t=2124","channel 4")</f>
        <v>channel 4</v>
      </c>
    </row>
    <row r="119">
      <c r="A119" s="141"/>
      <c r="B119" s="61" t="s">
        <v>3876</v>
      </c>
      <c r="C119" s="57" t="s">
        <v>334</v>
      </c>
      <c r="D119" s="61" t="s">
        <v>3873</v>
      </c>
      <c r="E119" s="69" t="str">
        <f>HYPERLINK("https://youtu.be/ijwe3Zcbd0E?t=2972","channel 2")</f>
        <v>channel 2</v>
      </c>
    </row>
    <row r="120">
      <c r="A120" s="141"/>
      <c r="B120" s="61" t="s">
        <v>3875</v>
      </c>
      <c r="C120" s="57" t="s">
        <v>449</v>
      </c>
      <c r="D120" s="61" t="s">
        <v>3872</v>
      </c>
      <c r="E120" s="69" t="str">
        <f>HYPERLINK("https://youtu.be/ZuHF86NXxt8?t=3056","channel 4")</f>
        <v>channel 4</v>
      </c>
    </row>
    <row r="121">
      <c r="A121" s="141"/>
      <c r="B121" s="61" t="s">
        <v>3876</v>
      </c>
      <c r="C121" s="57" t="s">
        <v>230</v>
      </c>
      <c r="D121" s="61" t="s">
        <v>3874</v>
      </c>
      <c r="E121" s="69" t="str">
        <f>HYPERLINK("https://youtu.be/ijwe3Zcbd0E?t=3942","channel 2")</f>
        <v>channel 2</v>
      </c>
    </row>
    <row r="122">
      <c r="A122" s="141"/>
      <c r="B122" s="61" t="s">
        <v>3875</v>
      </c>
      <c r="C122" s="57" t="s">
        <v>202</v>
      </c>
      <c r="D122" s="61" t="s">
        <v>3873</v>
      </c>
      <c r="E122" s="69" t="str">
        <f>HYPERLINK("https://youtu.be/ZuHF86NXxt8?t=4202","channel 4")</f>
        <v>channel 4</v>
      </c>
    </row>
    <row r="123">
      <c r="A123" s="141"/>
      <c r="B123" s="61" t="s">
        <v>3873</v>
      </c>
      <c r="C123" s="57" t="s">
        <v>268</v>
      </c>
      <c r="D123" s="61" t="s">
        <v>3872</v>
      </c>
      <c r="E123" s="69" t="str">
        <f>HYPERLINK("https://youtu.be/ijwe3Zcbd0E?t=4966","channel 2")</f>
        <v>channel 2</v>
      </c>
    </row>
    <row r="124">
      <c r="A124" s="141"/>
      <c r="B124" s="61" t="s">
        <v>3875</v>
      </c>
      <c r="C124" s="57" t="s">
        <v>3877</v>
      </c>
      <c r="D124" s="61" t="s">
        <v>3874</v>
      </c>
      <c r="E124" s="69" t="str">
        <f>HYPERLINK("https://youtu.be/ZuHF86NXxt8?t=5103","channel 4")</f>
        <v>channel 4</v>
      </c>
    </row>
    <row r="125">
      <c r="A125" s="141"/>
      <c r="B125" s="61" t="s">
        <v>3872</v>
      </c>
      <c r="C125" s="57" t="s">
        <v>554</v>
      </c>
      <c r="D125" s="61" t="s">
        <v>3876</v>
      </c>
      <c r="E125" s="69" t="str">
        <f>HYPERLINK("https://youtu.be/ijwe3Zcbd0E?t=5970","channel 2")</f>
        <v>channel 2</v>
      </c>
    </row>
    <row r="126">
      <c r="A126" s="141"/>
      <c r="B126" s="61" t="s">
        <v>3873</v>
      </c>
      <c r="C126" s="57" t="s">
        <v>313</v>
      </c>
      <c r="D126" s="61" t="s">
        <v>3874</v>
      </c>
      <c r="E126" s="69" t="str">
        <f>HYPERLINK("https://youtu.be/ZuHF86NXxt8?t=6075","channel 4")</f>
        <v>channel 4</v>
      </c>
    </row>
    <row r="127">
      <c r="A127" s="141"/>
      <c r="B127" s="61" t="s">
        <v>3875</v>
      </c>
      <c r="C127" s="57" t="s">
        <v>334</v>
      </c>
      <c r="D127" s="61" t="s">
        <v>3876</v>
      </c>
      <c r="E127" s="69" t="str">
        <f>HYPERLINK("https://youtu.be/ijwe3Zcbd0E?t=6917","channel 2")</f>
        <v>channel 2</v>
      </c>
    </row>
    <row r="128">
      <c r="A128" s="141"/>
      <c r="B128" s="61" t="s">
        <v>3872</v>
      </c>
      <c r="C128" s="57" t="s">
        <v>311</v>
      </c>
      <c r="D128" s="61" t="s">
        <v>3874</v>
      </c>
      <c r="E128" s="69" t="str">
        <f>HYPERLINK("https://youtu.be/ZuHF86NXxt8?t=6950","channel 4")</f>
        <v>channel 4</v>
      </c>
    </row>
    <row r="129">
      <c r="A129" s="141"/>
      <c r="B129" s="61" t="s">
        <v>3873</v>
      </c>
      <c r="C129" s="57" t="s">
        <v>417</v>
      </c>
      <c r="D129" s="61" t="s">
        <v>3876</v>
      </c>
      <c r="E129" s="69" t="str">
        <f>HYPERLINK("https://youtu.be/ijwe3Zcbd0E?t=7906","channel 2")</f>
        <v>channel 2</v>
      </c>
    </row>
    <row r="130">
      <c r="A130" s="141"/>
      <c r="B130" s="61" t="s">
        <v>3872</v>
      </c>
      <c r="C130" s="57" t="s">
        <v>743</v>
      </c>
      <c r="D130" s="61" t="s">
        <v>3875</v>
      </c>
      <c r="E130" s="69" t="str">
        <f>HYPERLINK("https://youtu.be/ZuHF86NXxt8?t=7953","channel 4")</f>
        <v>channel 4</v>
      </c>
    </row>
    <row r="131">
      <c r="A131" s="141"/>
      <c r="B131" s="61" t="s">
        <v>3874</v>
      </c>
      <c r="C131" s="57" t="s">
        <v>2293</v>
      </c>
      <c r="D131" s="61" t="s">
        <v>3876</v>
      </c>
      <c r="E131" s="69" t="str">
        <f>HYPERLINK("https://youtu.be/ijwe3Zcbd0E?t=8842","channel 2")</f>
        <v>channel 2</v>
      </c>
    </row>
    <row r="132">
      <c r="A132" s="145"/>
      <c r="B132" s="61" t="s">
        <v>3873</v>
      </c>
      <c r="C132" s="57" t="s">
        <v>20</v>
      </c>
      <c r="D132" s="61" t="s">
        <v>3875</v>
      </c>
      <c r="E132" s="69" t="str">
        <f>HYPERLINK("https://youtu.be/ZuHF86NXxt8?t=8827","channel 4")</f>
        <v>channel 4</v>
      </c>
    </row>
    <row r="133">
      <c r="B133" s="52" t="s">
        <v>2666</v>
      </c>
      <c r="C133" s="2"/>
      <c r="D133" s="3"/>
      <c r="E133" s="53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62" t="s">
        <v>3878</v>
      </c>
      <c r="C135" s="45" t="s">
        <v>248</v>
      </c>
      <c r="D135" s="62" t="s">
        <v>1633</v>
      </c>
      <c r="E135" s="11" t="str">
        <f>HYPERLINK("https://youtu.be/mBxpLoFPu7c","channel 1")</f>
        <v>channel 1</v>
      </c>
    </row>
    <row r="136">
      <c r="B136" s="62" t="s">
        <v>3879</v>
      </c>
      <c r="C136" s="45" t="s">
        <v>674</v>
      </c>
      <c r="D136" s="62" t="s">
        <v>2798</v>
      </c>
      <c r="E136" s="11" t="str">
        <f>HYPERLINK("https://youtu.be/yVuEmyhyqiI","channel 3")</f>
        <v>channel 3</v>
      </c>
    </row>
    <row r="137">
      <c r="B137" s="62" t="s">
        <v>3184</v>
      </c>
      <c r="C137" s="45" t="s">
        <v>464</v>
      </c>
      <c r="D137" s="62" t="s">
        <v>3878</v>
      </c>
      <c r="E137" s="11" t="str">
        <f>HYPERLINK("https://youtu.be/mBxpLoFPu7c?t=1085","channel 1")</f>
        <v>channel 1</v>
      </c>
    </row>
    <row r="138">
      <c r="B138" s="62" t="s">
        <v>3879</v>
      </c>
      <c r="C138" s="45" t="s">
        <v>162</v>
      </c>
      <c r="D138" s="62" t="s">
        <v>1633</v>
      </c>
      <c r="E138" s="11" t="str">
        <f>HYPERLINK("https://youtu.be/yVuEmyhyqiI?t=1018","channel 3")</f>
        <v>channel 3</v>
      </c>
    </row>
    <row r="139">
      <c r="B139" s="62" t="s">
        <v>3184</v>
      </c>
      <c r="C139" s="45" t="s">
        <v>357</v>
      </c>
      <c r="D139" s="62" t="s">
        <v>2798</v>
      </c>
      <c r="E139" s="11" t="str">
        <f>HYPERLINK("https://youtu.be/mBxpLoFPu7c?t=1959","channel 1")</f>
        <v>channel 1</v>
      </c>
    </row>
    <row r="140">
      <c r="B140" s="62" t="s">
        <v>3879</v>
      </c>
      <c r="C140" s="45" t="s">
        <v>185</v>
      </c>
      <c r="D140" s="62" t="s">
        <v>3878</v>
      </c>
      <c r="E140" s="11" t="str">
        <f>HYPERLINK("https://youtu.be/yVuEmyhyqiI?t=1965","channel 3")</f>
        <v>channel 3</v>
      </c>
    </row>
    <row r="141">
      <c r="B141" s="62" t="s">
        <v>3184</v>
      </c>
      <c r="C141" s="45" t="s">
        <v>18</v>
      </c>
      <c r="D141" s="62" t="s">
        <v>1633</v>
      </c>
      <c r="E141" s="11" t="str">
        <f>HYPERLINK("https://youtu.be/mBxpLoFPu7c?t=2833","channel 1")</f>
        <v>channel 1</v>
      </c>
    </row>
    <row r="142">
      <c r="B142" s="62" t="s">
        <v>2798</v>
      </c>
      <c r="C142" s="45" t="s">
        <v>232</v>
      </c>
      <c r="D142" s="62" t="s">
        <v>3878</v>
      </c>
      <c r="E142" s="11" t="str">
        <f>HYPERLINK("https://youtu.be/yVuEmyhyqiI?t=2957","channel 3")</f>
        <v>channel 3</v>
      </c>
    </row>
    <row r="143">
      <c r="B143" s="62" t="s">
        <v>3184</v>
      </c>
      <c r="C143" s="45" t="s">
        <v>185</v>
      </c>
      <c r="D143" s="62" t="s">
        <v>3879</v>
      </c>
      <c r="E143" s="11" t="str">
        <f>HYPERLINK("https://youtu.be/mBxpLoFPu7c?t=3785","channel 1")</f>
        <v>channel 1</v>
      </c>
    </row>
    <row r="144">
      <c r="B144" s="62" t="s">
        <v>2798</v>
      </c>
      <c r="C144" s="45" t="s">
        <v>18</v>
      </c>
      <c r="D144" s="62" t="s">
        <v>1633</v>
      </c>
      <c r="E144" s="11" t="str">
        <f>HYPERLINK("https://youtu.be/yVuEmyhyqiI?t=3892","channel 3")</f>
        <v>channel 3</v>
      </c>
    </row>
    <row r="145">
      <c r="B145" s="62" t="s">
        <v>1633</v>
      </c>
      <c r="C145" s="45" t="s">
        <v>216</v>
      </c>
      <c r="D145" s="62" t="s">
        <v>3878</v>
      </c>
      <c r="E145" s="11" t="str">
        <f>HYPERLINK("https://youtu.be/mBxpLoFPu7c?t=4851","channel 1")</f>
        <v>channel 1</v>
      </c>
    </row>
    <row r="146">
      <c r="B146" s="62" t="s">
        <v>2798</v>
      </c>
      <c r="C146" s="45" t="s">
        <v>38</v>
      </c>
      <c r="D146" s="62" t="s">
        <v>3879</v>
      </c>
      <c r="E146" s="11" t="str">
        <f>HYPERLINK("https://youtu.be/yVuEmyhyqiI?t=4835","channel 3")</f>
        <v>channel 3</v>
      </c>
    </row>
    <row r="147">
      <c r="B147" s="62" t="s">
        <v>3878</v>
      </c>
      <c r="C147" s="45" t="s">
        <v>163</v>
      </c>
      <c r="D147" s="62" t="s">
        <v>3184</v>
      </c>
      <c r="E147" s="11" t="str">
        <f>HYPERLINK("https://youtu.be/mBxpLoFPu7c?t=5836","channel 1")</f>
        <v>channel 1</v>
      </c>
    </row>
    <row r="148">
      <c r="B148" s="62" t="s">
        <v>1633</v>
      </c>
      <c r="C148" s="45" t="s">
        <v>155</v>
      </c>
      <c r="D148" s="62" t="s">
        <v>3879</v>
      </c>
      <c r="E148" s="11" t="str">
        <f>HYPERLINK("https://youtu.be/yVuEmyhyqiI?t=5807","channel 3")</f>
        <v>channel 3</v>
      </c>
    </row>
    <row r="149">
      <c r="B149" s="62" t="s">
        <v>2798</v>
      </c>
      <c r="C149" s="45" t="s">
        <v>910</v>
      </c>
      <c r="D149" s="62" t="s">
        <v>3184</v>
      </c>
      <c r="E149" s="11" t="str">
        <f>HYPERLINK("https://youtu.be/mBxpLoFPu7c?t=6764","channel 1")</f>
        <v>channel 1</v>
      </c>
    </row>
    <row r="150">
      <c r="B150" s="62" t="s">
        <v>3878</v>
      </c>
      <c r="C150" s="45" t="s">
        <v>354</v>
      </c>
      <c r="D150" s="62" t="s">
        <v>3879</v>
      </c>
      <c r="E150" s="11" t="str">
        <f>HYPERLINK("https://youtu.be/yVuEmyhyqiI?t=6727","channel 3")</f>
        <v>channel 3</v>
      </c>
    </row>
    <row r="151">
      <c r="B151" s="62" t="s">
        <v>1633</v>
      </c>
      <c r="C151" s="45" t="s">
        <v>3880</v>
      </c>
      <c r="D151" s="62" t="s">
        <v>3184</v>
      </c>
      <c r="E151" s="11" t="str">
        <f>HYPERLINK("https://youtu.be/mBxpLoFPu7c?t=7658","channel 1")</f>
        <v>channel 1</v>
      </c>
    </row>
    <row r="152">
      <c r="B152" s="62" t="s">
        <v>3878</v>
      </c>
      <c r="C152" s="45" t="s">
        <v>1016</v>
      </c>
      <c r="D152" s="62" t="s">
        <v>2798</v>
      </c>
      <c r="E152" s="11" t="str">
        <f>HYPERLINK("https://youtu.be/yVuEmyhyqiI?t=7647","channel 3")</f>
        <v>channel 3</v>
      </c>
    </row>
    <row r="153">
      <c r="B153" s="62" t="s">
        <v>3879</v>
      </c>
      <c r="C153" s="45" t="s">
        <v>159</v>
      </c>
      <c r="D153" s="62" t="s">
        <v>3184</v>
      </c>
      <c r="E153" s="11" t="str">
        <f>HYPERLINK("https://youtu.be/mBxpLoFPu7c?t=8599","channel 1")</f>
        <v>channel 1</v>
      </c>
    </row>
    <row r="154">
      <c r="B154" s="62" t="s">
        <v>1633</v>
      </c>
      <c r="C154" s="45" t="s">
        <v>751</v>
      </c>
      <c r="D154" s="62" t="s">
        <v>2798</v>
      </c>
      <c r="E154" s="11" t="str">
        <f>HYPERLINK("https://youtu.be/yVuEmyhyqiI?t=8608","channel 3")</f>
        <v>channel 3</v>
      </c>
    </row>
    <row r="155">
      <c r="B155" s="52" t="s">
        <v>3085</v>
      </c>
      <c r="C155" s="2"/>
      <c r="D155" s="3"/>
      <c r="E155" s="53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62" t="s">
        <v>3881</v>
      </c>
      <c r="C157" s="45" t="s">
        <v>271</v>
      </c>
      <c r="D157" s="62" t="s">
        <v>2022</v>
      </c>
      <c r="E157" s="122" t="s">
        <v>9</v>
      </c>
    </row>
    <row r="158">
      <c r="B158" s="62" t="s">
        <v>3649</v>
      </c>
      <c r="C158" s="45" t="s">
        <v>211</v>
      </c>
      <c r="D158" s="62" t="s">
        <v>2997</v>
      </c>
      <c r="E158" s="11" t="str">
        <f>HYPERLINK("https://youtu.be/-ZRexXFb3eY","channel 3")</f>
        <v>channel 3</v>
      </c>
    </row>
    <row r="159">
      <c r="B159" s="62" t="s">
        <v>1697</v>
      </c>
      <c r="C159" s="45" t="s">
        <v>448</v>
      </c>
      <c r="D159" s="62" t="s">
        <v>3881</v>
      </c>
      <c r="E159" s="122" t="s">
        <v>9</v>
      </c>
    </row>
    <row r="160">
      <c r="B160" s="62" t="s">
        <v>3649</v>
      </c>
      <c r="C160" s="45" t="s">
        <v>20</v>
      </c>
      <c r="D160" s="62" t="s">
        <v>2022</v>
      </c>
      <c r="E160" s="11" t="str">
        <f>HYPERLINK("https://youtu.be/-ZRexXFb3eY?t=960","channel 3")</f>
        <v>channel 3</v>
      </c>
    </row>
    <row r="161">
      <c r="B161" s="62" t="s">
        <v>1697</v>
      </c>
      <c r="C161" s="45" t="s">
        <v>3882</v>
      </c>
      <c r="D161" s="62" t="s">
        <v>2997</v>
      </c>
      <c r="E161" s="122" t="s">
        <v>9</v>
      </c>
    </row>
    <row r="162">
      <c r="B162" s="62" t="s">
        <v>3649</v>
      </c>
      <c r="C162" s="45" t="s">
        <v>198</v>
      </c>
      <c r="D162" s="62" t="s">
        <v>3881</v>
      </c>
      <c r="E162" s="11" t="str">
        <f>HYPERLINK("https://youtu.be/-ZRexXFb3eY?t=1922","channel 3")</f>
        <v>channel 3</v>
      </c>
    </row>
    <row r="163">
      <c r="B163" s="62" t="s">
        <v>1697</v>
      </c>
      <c r="C163" s="45" t="s">
        <v>218</v>
      </c>
      <c r="D163" s="62" t="s">
        <v>2022</v>
      </c>
      <c r="E163" s="122" t="s">
        <v>9</v>
      </c>
    </row>
    <row r="164">
      <c r="B164" s="62" t="s">
        <v>2997</v>
      </c>
      <c r="C164" s="45" t="s">
        <v>657</v>
      </c>
      <c r="D164" s="62" t="s">
        <v>3881</v>
      </c>
      <c r="E164" s="11" t="str">
        <f>HYPERLINK("https://youtu.be/-ZRexXFb3eY?t=2937","channel 3")</f>
        <v>channel 3</v>
      </c>
    </row>
    <row r="165">
      <c r="B165" s="62" t="s">
        <v>1697</v>
      </c>
      <c r="C165" s="45" t="s">
        <v>3883</v>
      </c>
      <c r="D165" s="62" t="s">
        <v>3649</v>
      </c>
      <c r="E165" s="122" t="s">
        <v>9</v>
      </c>
    </row>
    <row r="166">
      <c r="B166" s="62" t="s">
        <v>2997</v>
      </c>
      <c r="C166" s="45" t="s">
        <v>187</v>
      </c>
      <c r="D166" s="62" t="s">
        <v>2022</v>
      </c>
      <c r="E166" s="11" t="str">
        <f>HYPERLINK("https://youtu.be/-ZRexXFb3eY?t=3858","channel 3")</f>
        <v>channel 3</v>
      </c>
    </row>
    <row r="167">
      <c r="B167" s="62" t="s">
        <v>2022</v>
      </c>
      <c r="C167" s="45" t="s">
        <v>38</v>
      </c>
      <c r="D167" s="62" t="s">
        <v>3881</v>
      </c>
      <c r="E167" s="122" t="s">
        <v>9</v>
      </c>
    </row>
    <row r="168">
      <c r="B168" s="62" t="s">
        <v>2997</v>
      </c>
      <c r="C168" s="45" t="s">
        <v>502</v>
      </c>
      <c r="D168" s="62" t="s">
        <v>3649</v>
      </c>
      <c r="E168" s="11" t="str">
        <f>HYPERLINK("https://youtu.be/-ZRexXFb3eY?t=4770","channel 3")</f>
        <v>channel 3</v>
      </c>
    </row>
    <row r="169">
      <c r="B169" s="62" t="s">
        <v>3881</v>
      </c>
      <c r="C169" s="45" t="s">
        <v>3688</v>
      </c>
      <c r="D169" s="62" t="s">
        <v>1697</v>
      </c>
      <c r="E169" s="122" t="s">
        <v>9</v>
      </c>
    </row>
    <row r="170">
      <c r="B170" s="62" t="s">
        <v>2022</v>
      </c>
      <c r="C170" s="45" t="s">
        <v>289</v>
      </c>
      <c r="D170" s="62" t="s">
        <v>3649</v>
      </c>
      <c r="E170" s="11" t="str">
        <f>HYPERLINK("https://youtu.be/-ZRexXFb3eY?t=5744","channel 3")</f>
        <v>channel 3</v>
      </c>
    </row>
    <row r="171">
      <c r="B171" s="62" t="s">
        <v>2997</v>
      </c>
      <c r="C171" s="45" t="s">
        <v>168</v>
      </c>
      <c r="D171" s="62" t="s">
        <v>1697</v>
      </c>
      <c r="E171" s="122" t="s">
        <v>9</v>
      </c>
    </row>
    <row r="172">
      <c r="B172" s="62" t="s">
        <v>3881</v>
      </c>
      <c r="C172" s="45" t="s">
        <v>42</v>
      </c>
      <c r="D172" s="62" t="s">
        <v>3649</v>
      </c>
      <c r="E172" s="11" t="str">
        <f>HYPERLINK("https://youtu.be/-ZRexXFb3eY?t=6678","channel 3")</f>
        <v>channel 3</v>
      </c>
    </row>
    <row r="173">
      <c r="B173" s="62" t="s">
        <v>2022</v>
      </c>
      <c r="C173" s="45" t="s">
        <v>264</v>
      </c>
      <c r="D173" s="62" t="s">
        <v>1697</v>
      </c>
      <c r="E173" s="122" t="s">
        <v>9</v>
      </c>
    </row>
    <row r="174">
      <c r="B174" s="62" t="s">
        <v>3881</v>
      </c>
      <c r="C174" s="45" t="s">
        <v>517</v>
      </c>
      <c r="D174" s="62" t="s">
        <v>2997</v>
      </c>
      <c r="E174" s="11" t="str">
        <f>HYPERLINK("https://youtu.be/-ZRexXFb3eY?t=7607","channel 3")</f>
        <v>channel 3</v>
      </c>
    </row>
    <row r="175">
      <c r="B175" s="62" t="s">
        <v>3649</v>
      </c>
      <c r="C175" s="45" t="s">
        <v>3884</v>
      </c>
      <c r="D175" s="62" t="s">
        <v>1697</v>
      </c>
      <c r="E175" s="122" t="s">
        <v>9</v>
      </c>
    </row>
    <row r="176">
      <c r="B176" s="62" t="s">
        <v>2022</v>
      </c>
      <c r="C176" s="45" t="s">
        <v>1186</v>
      </c>
      <c r="D176" s="62" t="s">
        <v>2997</v>
      </c>
      <c r="E176" s="11" t="str">
        <f>HYPERLINK("https://youtu.be/-ZRexXFb3eY?t=8527","channel 3")</f>
        <v>channel 3</v>
      </c>
    </row>
    <row r="177">
      <c r="B177" s="52" t="s">
        <v>1566</v>
      </c>
      <c r="C177" s="2"/>
      <c r="D177" s="3"/>
      <c r="E177" s="53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62" t="s">
        <v>3885</v>
      </c>
      <c r="C179" s="45" t="s">
        <v>610</v>
      </c>
      <c r="D179" s="62" t="s">
        <v>1810</v>
      </c>
      <c r="E179" s="69" t="str">
        <f>HYPERLINK("https://youtu.be/uJGSShBvxmM","channel 2")</f>
        <v>channel 2</v>
      </c>
    </row>
    <row r="180">
      <c r="B180" s="62" t="s">
        <v>3096</v>
      </c>
      <c r="C180" s="45" t="s">
        <v>164</v>
      </c>
      <c r="D180" s="62" t="s">
        <v>3059</v>
      </c>
      <c r="E180" s="69" t="str">
        <f>HYPERLINK("https://youtu.be/sCzcNw4wL6o","channel 4")</f>
        <v>channel 4</v>
      </c>
    </row>
    <row r="181">
      <c r="B181" s="62" t="s">
        <v>3886</v>
      </c>
      <c r="C181" s="45" t="s">
        <v>220</v>
      </c>
      <c r="D181" s="62" t="s">
        <v>3885</v>
      </c>
      <c r="E181" s="69" t="str">
        <f>HYPERLINK("https://youtu.be/uJGSShBvxmM?t=882","channel 2")</f>
        <v>channel 2</v>
      </c>
    </row>
    <row r="182">
      <c r="B182" s="62" t="s">
        <v>3096</v>
      </c>
      <c r="C182" s="45" t="s">
        <v>41</v>
      </c>
      <c r="D182" s="62" t="s">
        <v>1810</v>
      </c>
      <c r="E182" s="69" t="str">
        <f>HYPERLINK("https://youtu.be/sCzcNw4wL6o?t=933","channel 4")</f>
        <v>channel 4</v>
      </c>
    </row>
    <row r="183">
      <c r="B183" s="62" t="s">
        <v>3886</v>
      </c>
      <c r="C183" s="45" t="s">
        <v>36</v>
      </c>
      <c r="D183" s="62" t="s">
        <v>3059</v>
      </c>
      <c r="E183" s="69" t="str">
        <f>HYPERLINK("https://youtu.be/uJGSShBvxmM?t=1832","channel 2")</f>
        <v>channel 2</v>
      </c>
    </row>
    <row r="184">
      <c r="B184" s="62" t="s">
        <v>3096</v>
      </c>
      <c r="C184" s="45" t="s">
        <v>196</v>
      </c>
      <c r="D184" s="62" t="s">
        <v>3885</v>
      </c>
      <c r="E184" s="69" t="str">
        <f>HYPERLINK("https://youtu.be/sCzcNw4wL6o?t=1861","channel 4")</f>
        <v>channel 4</v>
      </c>
    </row>
    <row r="185">
      <c r="B185" s="62" t="s">
        <v>3886</v>
      </c>
      <c r="C185" s="45" t="s">
        <v>195</v>
      </c>
      <c r="D185" s="62" t="s">
        <v>1810</v>
      </c>
      <c r="E185" s="69" t="str">
        <f>HYPERLINK("https://youtu.be/uJGSShBvxmM?t=2715","channel 2")</f>
        <v>channel 2</v>
      </c>
    </row>
    <row r="186">
      <c r="B186" s="62" t="s">
        <v>3059</v>
      </c>
      <c r="C186" s="45" t="s">
        <v>209</v>
      </c>
      <c r="D186" s="62" t="s">
        <v>3885</v>
      </c>
      <c r="E186" s="69" t="str">
        <f>HYPERLINK("https://youtu.be/sCzcNw4wL6o?t=2810","channel 4")</f>
        <v>channel 4</v>
      </c>
    </row>
    <row r="187">
      <c r="B187" s="62" t="s">
        <v>3886</v>
      </c>
      <c r="C187" s="45" t="s">
        <v>210</v>
      </c>
      <c r="D187" s="62" t="s">
        <v>3096</v>
      </c>
      <c r="E187" s="69" t="str">
        <f>HYPERLINK("https://youtu.be/uJGSShBvxmM?t=3607","channel 2")</f>
        <v>channel 2</v>
      </c>
    </row>
    <row r="188">
      <c r="B188" s="62" t="s">
        <v>3059</v>
      </c>
      <c r="C188" s="45" t="s">
        <v>323</v>
      </c>
      <c r="D188" s="62" t="s">
        <v>1810</v>
      </c>
      <c r="E188" s="69" t="str">
        <f>HYPERLINK("https://youtu.be/sCzcNw4wL6o?t=3649","channel 4")</f>
        <v>channel 4</v>
      </c>
    </row>
    <row r="189">
      <c r="B189" s="62" t="s">
        <v>1810</v>
      </c>
      <c r="C189" s="45" t="s">
        <v>1590</v>
      </c>
      <c r="D189" s="62" t="s">
        <v>3885</v>
      </c>
      <c r="E189" s="69" t="str">
        <f>HYPERLINK("https://youtu.be/uJGSShBvxmM?t=4554","channel 2")</f>
        <v>channel 2</v>
      </c>
    </row>
    <row r="190">
      <c r="B190" s="62" t="s">
        <v>3059</v>
      </c>
      <c r="C190" s="45" t="s">
        <v>193</v>
      </c>
      <c r="D190" s="62" t="s">
        <v>3096</v>
      </c>
      <c r="E190" s="69" t="str">
        <f>HYPERLINK("https://youtu.be/sCzcNw4wL6o?t=4566","channel 4")</f>
        <v>channel 4</v>
      </c>
    </row>
    <row r="191">
      <c r="B191" s="62" t="s">
        <v>3885</v>
      </c>
      <c r="C191" s="45" t="s">
        <v>225</v>
      </c>
      <c r="D191" s="62" t="s">
        <v>3886</v>
      </c>
      <c r="E191" s="69" t="str">
        <f>HYPERLINK("https://youtu.be/uJGSShBvxmM?t=5467","channel 2")</f>
        <v>channel 2</v>
      </c>
    </row>
    <row r="192">
      <c r="B192" s="62" t="s">
        <v>1810</v>
      </c>
      <c r="C192" s="45" t="s">
        <v>357</v>
      </c>
      <c r="D192" s="62" t="s">
        <v>3096</v>
      </c>
      <c r="E192" s="69" t="str">
        <f>HYPERLINK("https://youtu.be/sCzcNw4wL6o?t=5482","channel 4")</f>
        <v>channel 4</v>
      </c>
    </row>
    <row r="193">
      <c r="B193" s="62" t="s">
        <v>3059</v>
      </c>
      <c r="C193" s="45" t="s">
        <v>271</v>
      </c>
      <c r="D193" s="62" t="s">
        <v>3886</v>
      </c>
      <c r="E193" s="69" t="str">
        <f>HYPERLINK("https://youtu.be/uJGSShBvxmM?t=6356","channel 2")</f>
        <v>channel 2</v>
      </c>
    </row>
    <row r="194">
      <c r="B194" s="62" t="s">
        <v>3885</v>
      </c>
      <c r="C194" s="45" t="s">
        <v>258</v>
      </c>
      <c r="D194" s="62" t="s">
        <v>3096</v>
      </c>
      <c r="E194" s="69" t="str">
        <f>HYPERLINK("https://youtu.be/sCzcNw4wL6o?t=6423","channel 4")</f>
        <v>channel 4</v>
      </c>
    </row>
    <row r="195">
      <c r="B195" s="62" t="s">
        <v>1810</v>
      </c>
      <c r="C195" s="45" t="s">
        <v>751</v>
      </c>
      <c r="D195" s="62" t="s">
        <v>3886</v>
      </c>
      <c r="E195" s="69" t="str">
        <f>HYPERLINK("https://youtu.be/uJGSShBvxmM?t=7226","channel 2")</f>
        <v>channel 2</v>
      </c>
    </row>
    <row r="196">
      <c r="B196" s="62" t="s">
        <v>3885</v>
      </c>
      <c r="C196" s="45" t="s">
        <v>7</v>
      </c>
      <c r="D196" s="62" t="s">
        <v>3059</v>
      </c>
      <c r="E196" s="69" t="str">
        <f>HYPERLINK("https://youtu.be/sCzcNw4wL6o?t=7332","channel 4")</f>
        <v>channel 4</v>
      </c>
    </row>
    <row r="197">
      <c r="B197" s="62" t="s">
        <v>3096</v>
      </c>
      <c r="C197" s="45" t="s">
        <v>227</v>
      </c>
      <c r="D197" s="62" t="s">
        <v>3886</v>
      </c>
      <c r="E197" s="69" t="str">
        <f>HYPERLINK("https://youtu.be/uJGSShBvxmM?t=8114","channel 2")</f>
        <v>channel 2</v>
      </c>
    </row>
    <row r="198">
      <c r="B198" s="62" t="s">
        <v>1810</v>
      </c>
      <c r="C198" s="45" t="s">
        <v>17</v>
      </c>
      <c r="D198" s="62" t="s">
        <v>3059</v>
      </c>
      <c r="E198" s="69" t="str">
        <f>HYPERLINK("https://youtu.be/sCzcNw4wL6o?t=8207","channel 4")</f>
        <v>channel 4</v>
      </c>
    </row>
    <row r="199">
      <c r="B199" s="52" t="s">
        <v>2304</v>
      </c>
      <c r="C199" s="2"/>
      <c r="D199" s="3"/>
      <c r="E199" s="53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62" t="s">
        <v>3887</v>
      </c>
      <c r="C201" s="45" t="s">
        <v>344</v>
      </c>
      <c r="D201" s="62" t="s">
        <v>3514</v>
      </c>
      <c r="E201" s="69" t="str">
        <f>HYPERLINK("https://youtu.be/EzAouMX1Yzc","channel 2")</f>
        <v>channel 2</v>
      </c>
    </row>
    <row r="202">
      <c r="B202" s="62" t="s">
        <v>2173</v>
      </c>
      <c r="C202" s="45" t="s">
        <v>433</v>
      </c>
      <c r="D202" s="62" t="s">
        <v>2681</v>
      </c>
      <c r="E202" s="69" t="str">
        <f>HYPERLINK("https://youtu.be/rGs45dSxR9A","channel 4")</f>
        <v>channel 4</v>
      </c>
    </row>
    <row r="203">
      <c r="B203" s="62" t="s">
        <v>3888</v>
      </c>
      <c r="C203" s="45" t="s">
        <v>256</v>
      </c>
      <c r="D203" s="62" t="s">
        <v>3887</v>
      </c>
      <c r="E203" s="69" t="str">
        <f>HYPERLINK("https://youtu.be/EzAouMX1Yzc?t=1079","channel 2")</f>
        <v>channel 2</v>
      </c>
    </row>
    <row r="204">
      <c r="B204" s="62" t="s">
        <v>2173</v>
      </c>
      <c r="C204" s="45" t="s">
        <v>219</v>
      </c>
      <c r="D204" s="62" t="s">
        <v>3514</v>
      </c>
      <c r="E204" s="69" t="str">
        <f>HYPERLINK("https://youtu.be/rGs45dSxR9A?t=1175","channel 4")</f>
        <v>channel 4</v>
      </c>
    </row>
    <row r="205">
      <c r="B205" s="62" t="s">
        <v>3888</v>
      </c>
      <c r="C205" s="45" t="s">
        <v>20</v>
      </c>
      <c r="D205" s="62" t="s">
        <v>2681</v>
      </c>
      <c r="E205" s="69" t="str">
        <f>HYPERLINK("https://youtu.be/EzAouMX1Yzc?t=1986","channel 2")</f>
        <v>channel 2</v>
      </c>
    </row>
    <row r="206">
      <c r="B206" s="62" t="s">
        <v>2173</v>
      </c>
      <c r="C206" s="45" t="s">
        <v>193</v>
      </c>
      <c r="D206" s="62" t="s">
        <v>3887</v>
      </c>
      <c r="E206" s="69" t="str">
        <f>HYPERLINK("https://youtu.be/rGs45dSxR9A?t=2012","channel 4")</f>
        <v>channel 4</v>
      </c>
    </row>
    <row r="207">
      <c r="B207" s="62" t="s">
        <v>3888</v>
      </c>
      <c r="C207" s="45" t="s">
        <v>14</v>
      </c>
      <c r="D207" s="62" t="s">
        <v>3514</v>
      </c>
      <c r="E207" s="69" t="str">
        <f>HYPERLINK("https://youtu.be/EzAouMX1Yzc?t=2844","channel 2")</f>
        <v>channel 2</v>
      </c>
    </row>
    <row r="208">
      <c r="B208" s="62" t="s">
        <v>2681</v>
      </c>
      <c r="C208" s="45" t="s">
        <v>463</v>
      </c>
      <c r="D208" s="62" t="s">
        <v>3887</v>
      </c>
      <c r="E208" s="69" t="str">
        <f>HYPERLINK("https://youtu.be/rGs45dSxR9A?t=2916","channel 4")</f>
        <v>channel 4</v>
      </c>
    </row>
    <row r="209">
      <c r="B209" s="62" t="s">
        <v>3888</v>
      </c>
      <c r="C209" s="45" t="s">
        <v>184</v>
      </c>
      <c r="D209" s="62" t="s">
        <v>2173</v>
      </c>
      <c r="E209" s="69" t="str">
        <f>HYPERLINK("https://youtu.be/EzAouMX1Yzc?t=3731","channel 2")</f>
        <v>channel 2</v>
      </c>
    </row>
    <row r="210">
      <c r="B210" s="62" t="s">
        <v>2681</v>
      </c>
      <c r="C210" s="45" t="s">
        <v>209</v>
      </c>
      <c r="D210" s="62" t="s">
        <v>3514</v>
      </c>
      <c r="E210" s="69" t="str">
        <f>HYPERLINK("https://youtu.be/rGs45dSxR9A?t=3798","channel 4")</f>
        <v>channel 4</v>
      </c>
    </row>
    <row r="211">
      <c r="B211" s="62" t="s">
        <v>3514</v>
      </c>
      <c r="C211" s="45" t="s">
        <v>181</v>
      </c>
      <c r="D211" s="62" t="s">
        <v>3887</v>
      </c>
      <c r="E211" s="69" t="str">
        <f>HYPERLINK("https://youtu.be/EzAouMX1Yzc?t=4658","channel 2")</f>
        <v>channel 2</v>
      </c>
    </row>
    <row r="212">
      <c r="B212" s="62" t="s">
        <v>2681</v>
      </c>
      <c r="C212" s="45" t="s">
        <v>17</v>
      </c>
      <c r="D212" s="62" t="s">
        <v>2173</v>
      </c>
      <c r="E212" s="69" t="str">
        <f>HYPERLINK("https://youtu.be/rGs45dSxR9A?t=4695","channel 4")</f>
        <v>channel 4</v>
      </c>
    </row>
    <row r="213">
      <c r="B213" s="62" t="s">
        <v>3887</v>
      </c>
      <c r="C213" s="45" t="s">
        <v>2379</v>
      </c>
      <c r="D213" s="62" t="s">
        <v>3888</v>
      </c>
      <c r="E213" s="69" t="str">
        <f>HYPERLINK("https://youtu.be/EzAouMX1Yzc?t=5560","channel 2")</f>
        <v>channel 2</v>
      </c>
    </row>
    <row r="214">
      <c r="B214" s="62" t="s">
        <v>3514</v>
      </c>
      <c r="C214" s="45" t="s">
        <v>23</v>
      </c>
      <c r="D214" s="62" t="s">
        <v>2173</v>
      </c>
      <c r="E214" s="69" t="str">
        <f>HYPERLINK("https://youtu.be/rGs45dSxR9A?t=5648","channel 4")</f>
        <v>channel 4</v>
      </c>
    </row>
    <row r="215">
      <c r="B215" s="62" t="s">
        <v>2681</v>
      </c>
      <c r="C215" s="45" t="s">
        <v>354</v>
      </c>
      <c r="D215" s="62" t="s">
        <v>3888</v>
      </c>
      <c r="E215" s="69" t="str">
        <f>HYPERLINK("https://youtu.be/EzAouMX1Yzc?t=6639","channel 2")</f>
        <v>channel 2</v>
      </c>
    </row>
    <row r="216">
      <c r="B216" s="62" t="s">
        <v>3887</v>
      </c>
      <c r="C216" s="45" t="s">
        <v>158</v>
      </c>
      <c r="D216" s="62" t="s">
        <v>2173</v>
      </c>
      <c r="E216" s="69" t="str">
        <f>HYPERLINK("https://youtu.be/rGs45dSxR9A?t=6673","channel 4")</f>
        <v>channel 4</v>
      </c>
    </row>
    <row r="217">
      <c r="B217" s="62" t="s">
        <v>3514</v>
      </c>
      <c r="C217" s="45" t="s">
        <v>357</v>
      </c>
      <c r="D217" s="62" t="s">
        <v>3888</v>
      </c>
      <c r="E217" s="69" t="str">
        <f>HYPERLINK("https://youtu.be/EzAouMX1Yzc?t=7548","channel 2")</f>
        <v>channel 2</v>
      </c>
    </row>
    <row r="218">
      <c r="B218" s="62" t="s">
        <v>3887</v>
      </c>
      <c r="C218" s="45" t="s">
        <v>357</v>
      </c>
      <c r="D218" s="62" t="s">
        <v>2681</v>
      </c>
      <c r="E218" s="69" t="str">
        <f>HYPERLINK("https://youtu.be/rGs45dSxR9A?t=7639","channel 4")</f>
        <v>channel 4</v>
      </c>
    </row>
    <row r="219">
      <c r="B219" s="62" t="s">
        <v>2173</v>
      </c>
      <c r="C219" s="45" t="s">
        <v>219</v>
      </c>
      <c r="D219" s="62" t="s">
        <v>3888</v>
      </c>
      <c r="E219" s="69" t="str">
        <f>HYPERLINK("https://youtu.be/EzAouMX1Yzc?t=8494","channel 2")</f>
        <v>channel 2</v>
      </c>
    </row>
    <row r="220">
      <c r="B220" s="62" t="s">
        <v>3514</v>
      </c>
      <c r="C220" s="45" t="s">
        <v>185</v>
      </c>
      <c r="D220" s="62" t="s">
        <v>2681</v>
      </c>
      <c r="E220" s="69" t="str">
        <f>HYPERLINK("https://youtu.be/rGs45dSxR9A?t=8573","channel 4")</f>
        <v>channel 4</v>
      </c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  <c r="E949" s="42"/>
    </row>
    <row r="950">
      <c r="B950" s="42"/>
      <c r="C950" s="42"/>
      <c r="D950" s="42"/>
      <c r="E950" s="42"/>
    </row>
    <row r="951">
      <c r="B951" s="42"/>
      <c r="C951" s="42"/>
      <c r="D951" s="42"/>
      <c r="E951" s="42"/>
    </row>
    <row r="952">
      <c r="B952" s="42"/>
      <c r="C952" s="42"/>
      <c r="D952" s="42"/>
      <c r="E952" s="42"/>
    </row>
    <row r="953">
      <c r="B953" s="42"/>
      <c r="C953" s="42"/>
      <c r="D953" s="42"/>
      <c r="E953" s="42"/>
    </row>
    <row r="954">
      <c r="B954" s="42"/>
      <c r="C954" s="42"/>
      <c r="D954" s="42"/>
      <c r="E954" s="42"/>
    </row>
    <row r="955">
      <c r="B955" s="42"/>
      <c r="C955" s="42"/>
      <c r="D955" s="42"/>
      <c r="E955" s="42"/>
    </row>
    <row r="956">
      <c r="B956" s="42"/>
      <c r="C956" s="42"/>
      <c r="D956" s="42"/>
      <c r="E956" s="42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1526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3853</v>
      </c>
      <c r="C3" s="57" t="s">
        <v>218</v>
      </c>
      <c r="D3" s="56" t="s">
        <v>3010</v>
      </c>
      <c r="E3" s="158" t="str">
        <f>HYPERLINK("https://youtu.be/PcKiCgUNb6s","channel 2")</f>
        <v>channel 2</v>
      </c>
    </row>
    <row r="4">
      <c r="A4" s="141"/>
      <c r="B4" s="56" t="s">
        <v>3889</v>
      </c>
      <c r="C4" s="84" t="s">
        <v>181</v>
      </c>
      <c r="D4" s="56" t="s">
        <v>3890</v>
      </c>
      <c r="E4" s="11" t="str">
        <f>HYPERLINK("https://youtu.be/jPrkTzjeYtE","channel 4")</f>
        <v>channel 4</v>
      </c>
    </row>
    <row r="5">
      <c r="A5" s="141"/>
      <c r="B5" s="56" t="s">
        <v>3862</v>
      </c>
      <c r="C5" s="57" t="s">
        <v>196</v>
      </c>
      <c r="D5" s="56" t="s">
        <v>3853</v>
      </c>
      <c r="E5" s="158" t="str">
        <f>HYPERLINK("https://youtu.be/PcKiCgUNb6s?t=967","channel 2")</f>
        <v>channel 2</v>
      </c>
    </row>
    <row r="6">
      <c r="A6" s="141"/>
      <c r="B6" s="56" t="s">
        <v>3889</v>
      </c>
      <c r="C6" s="57" t="s">
        <v>21</v>
      </c>
      <c r="D6" s="56" t="s">
        <v>3010</v>
      </c>
      <c r="E6" s="11" t="str">
        <f>HYPERLINK("https://youtu.be/jPrkTzjeYtE?t=989","channel 4")</f>
        <v>channel 4</v>
      </c>
    </row>
    <row r="7">
      <c r="A7" s="141"/>
      <c r="B7" s="56" t="s">
        <v>3862</v>
      </c>
      <c r="C7" s="57" t="s">
        <v>162</v>
      </c>
      <c r="D7" s="56" t="s">
        <v>3890</v>
      </c>
      <c r="E7" s="158" t="str">
        <f>HYPERLINK("https://youtu.be/PcKiCgUNb6s?t=1921","channel 2")</f>
        <v>channel 2</v>
      </c>
    </row>
    <row r="8">
      <c r="A8" s="141"/>
      <c r="B8" s="56" t="s">
        <v>3889</v>
      </c>
      <c r="C8" s="57" t="s">
        <v>279</v>
      </c>
      <c r="D8" s="56" t="s">
        <v>3853</v>
      </c>
      <c r="E8" s="11" t="str">
        <f>HYPERLINK("https://youtu.be/jPrkTzjeYtE?t=2015","channel 4")</f>
        <v>channel 4</v>
      </c>
    </row>
    <row r="9">
      <c r="A9" s="141"/>
      <c r="B9" s="56" t="s">
        <v>3862</v>
      </c>
      <c r="C9" s="57" t="s">
        <v>177</v>
      </c>
      <c r="D9" s="56" t="s">
        <v>3010</v>
      </c>
      <c r="E9" s="158" t="str">
        <f>HYPERLINK("https://youtu.be/PcKiCgUNb6s?t=2967","channel 2")</f>
        <v>channel 2</v>
      </c>
    </row>
    <row r="10">
      <c r="A10" s="141"/>
      <c r="B10" s="56" t="s">
        <v>3890</v>
      </c>
      <c r="C10" s="57" t="s">
        <v>18</v>
      </c>
      <c r="D10" s="56" t="s">
        <v>3853</v>
      </c>
      <c r="E10" s="11" t="str">
        <f>HYPERLINK("https://youtu.be/jPrkTzjeYtE?t=3030","channel 4")</f>
        <v>channel 4</v>
      </c>
    </row>
    <row r="11">
      <c r="A11" s="141"/>
      <c r="B11" s="56" t="s">
        <v>3862</v>
      </c>
      <c r="C11" s="57" t="s">
        <v>194</v>
      </c>
      <c r="D11" s="56" t="s">
        <v>3889</v>
      </c>
      <c r="E11" s="158" t="str">
        <f>HYPERLINK("https://youtu.be/PcKiCgUNb6s?t=3930","channel 2")</f>
        <v>channel 2</v>
      </c>
    </row>
    <row r="12">
      <c r="A12" s="141"/>
      <c r="B12" s="56" t="s">
        <v>3890</v>
      </c>
      <c r="C12" s="57" t="s">
        <v>574</v>
      </c>
      <c r="D12" s="56" t="s">
        <v>3010</v>
      </c>
      <c r="E12" s="11" t="str">
        <f>HYPERLINK("https://youtu.be/jPrkTzjeYtE?t=3954","channel 4")</f>
        <v>channel 4</v>
      </c>
    </row>
    <row r="13">
      <c r="A13" s="141"/>
      <c r="B13" s="56" t="s">
        <v>3010</v>
      </c>
      <c r="C13" s="57" t="s">
        <v>18</v>
      </c>
      <c r="D13" s="56" t="s">
        <v>3853</v>
      </c>
      <c r="E13" s="158" t="str">
        <f>HYPERLINK("https://youtu.be/PcKiCgUNb6s?t=4911","channel 2")</f>
        <v>channel 2</v>
      </c>
    </row>
    <row r="14">
      <c r="A14" s="141"/>
      <c r="B14" s="56" t="s">
        <v>3890</v>
      </c>
      <c r="C14" s="159" t="s">
        <v>171</v>
      </c>
      <c r="D14" s="56" t="s">
        <v>3889</v>
      </c>
      <c r="E14" s="11" t="str">
        <f>HYPERLINK("https://youtu.be/jPrkTzjeYtE?t=4937","channel 4")</f>
        <v>channel 4</v>
      </c>
    </row>
    <row r="15">
      <c r="A15" s="141"/>
      <c r="B15" s="56" t="s">
        <v>3853</v>
      </c>
      <c r="C15" s="159" t="s">
        <v>41</v>
      </c>
      <c r="D15" s="56" t="s">
        <v>3862</v>
      </c>
      <c r="E15" s="158" t="str">
        <f>HYPERLINK("https://youtu.be/PcKiCgUNb6s?t=5872","channel 2")</f>
        <v>channel 2</v>
      </c>
    </row>
    <row r="16">
      <c r="A16" s="141"/>
      <c r="B16" s="56" t="s">
        <v>3010</v>
      </c>
      <c r="C16" s="57" t="s">
        <v>316</v>
      </c>
      <c r="D16" s="56" t="s">
        <v>3889</v>
      </c>
      <c r="E16" s="11" t="str">
        <f>HYPERLINK("https://youtu.be/jPrkTzjeYtE?t=5899","channel 4")</f>
        <v>channel 4</v>
      </c>
    </row>
    <row r="17">
      <c r="A17" s="141"/>
      <c r="B17" s="56" t="s">
        <v>3890</v>
      </c>
      <c r="C17" s="57" t="s">
        <v>18</v>
      </c>
      <c r="D17" s="56" t="s">
        <v>3862</v>
      </c>
      <c r="E17" s="158" t="str">
        <f>HYPERLINK("https://youtu.be/PcKiCgUNb6s?t=6820","channel 2")</f>
        <v>channel 2</v>
      </c>
    </row>
    <row r="18">
      <c r="A18" s="141"/>
      <c r="B18" s="56" t="s">
        <v>3853</v>
      </c>
      <c r="C18" s="57" t="s">
        <v>225</v>
      </c>
      <c r="D18" s="56" t="s">
        <v>3889</v>
      </c>
      <c r="E18" s="11" t="str">
        <f>HYPERLINK("https://youtu.be/jPrkTzjeYtE?t=6882","channel 4")</f>
        <v>channel 4</v>
      </c>
    </row>
    <row r="19">
      <c r="A19" s="141"/>
      <c r="B19" s="56" t="s">
        <v>3010</v>
      </c>
      <c r="C19" s="57" t="s">
        <v>165</v>
      </c>
      <c r="D19" s="56" t="s">
        <v>3862</v>
      </c>
      <c r="E19" s="158" t="str">
        <f>HYPERLINK("https://youtu.be/PcKiCgUNb6s?t=7763","channel 2")</f>
        <v>channel 2</v>
      </c>
    </row>
    <row r="20">
      <c r="A20" s="141"/>
      <c r="B20" s="56" t="s">
        <v>3853</v>
      </c>
      <c r="C20" s="57" t="s">
        <v>248</v>
      </c>
      <c r="D20" s="56" t="s">
        <v>3890</v>
      </c>
      <c r="E20" s="11" t="str">
        <f>HYPERLINK("https://youtu.be/jPrkTzjeYtE?t=7778","channel 4")</f>
        <v>channel 4</v>
      </c>
    </row>
    <row r="21">
      <c r="A21" s="141"/>
      <c r="B21" s="56" t="s">
        <v>3889</v>
      </c>
      <c r="C21" s="57" t="s">
        <v>24</v>
      </c>
      <c r="D21" s="56" t="s">
        <v>3862</v>
      </c>
      <c r="E21" s="158" t="str">
        <f>HYPERLINK("https://youtu.be/PcKiCgUNb6s?t=8764","channel 2")</f>
        <v>channel 2</v>
      </c>
    </row>
    <row r="22">
      <c r="A22" s="141"/>
      <c r="B22" s="56" t="s">
        <v>3010</v>
      </c>
      <c r="C22" s="57" t="s">
        <v>304</v>
      </c>
      <c r="D22" s="56" t="s">
        <v>3890</v>
      </c>
      <c r="E22" s="11" t="str">
        <f>HYPERLINK("https://youtu.be/jPrkTzjeYtE?t=8772","channel 4")</f>
        <v>channel 4</v>
      </c>
    </row>
    <row r="23">
      <c r="A23" s="141"/>
      <c r="B23" s="96" t="s">
        <v>3891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3892</v>
      </c>
      <c r="C25" s="57" t="s">
        <v>185</v>
      </c>
      <c r="D25" s="56" t="s">
        <v>3893</v>
      </c>
      <c r="E25" s="158" t="str">
        <f>HYPERLINK("https://youtu.be/IZwRWot9qqQ","channel 2")</f>
        <v>channel 2</v>
      </c>
    </row>
    <row r="26">
      <c r="A26" s="141"/>
      <c r="B26" s="56" t="s">
        <v>3894</v>
      </c>
      <c r="C26" s="57" t="s">
        <v>1226</v>
      </c>
      <c r="D26" s="56" t="s">
        <v>788</v>
      </c>
      <c r="E26" s="11" t="str">
        <f>HYPERLINK("https://youtu.be/CSsLPA3jO8o","channel 4")</f>
        <v>channel 4</v>
      </c>
    </row>
    <row r="27">
      <c r="A27" s="141"/>
      <c r="B27" s="56" t="s">
        <v>3895</v>
      </c>
      <c r="C27" s="57" t="s">
        <v>43</v>
      </c>
      <c r="D27" s="56" t="s">
        <v>3892</v>
      </c>
      <c r="E27" s="158" t="str">
        <f>HYPERLINK("https://youtu.be/IZwRWot9qqQ?t=1010","channel 2")</f>
        <v>channel 2</v>
      </c>
    </row>
    <row r="28">
      <c r="A28" s="141"/>
      <c r="B28" s="56" t="s">
        <v>3894</v>
      </c>
      <c r="C28" s="57" t="s">
        <v>18</v>
      </c>
      <c r="D28" s="56" t="s">
        <v>3893</v>
      </c>
      <c r="E28" s="11" t="str">
        <f>HYPERLINK("https://youtu.be/CSsLPA3jO8o?t=957","channel 4")</f>
        <v>channel 4</v>
      </c>
    </row>
    <row r="29">
      <c r="A29" s="141"/>
      <c r="B29" s="56" t="s">
        <v>3895</v>
      </c>
      <c r="C29" s="57" t="s">
        <v>23</v>
      </c>
      <c r="D29" s="56" t="s">
        <v>788</v>
      </c>
      <c r="E29" s="158" t="str">
        <f>HYPERLINK("https://youtu.be/IZwRWot9qqQ?t=1954","channel 2")</f>
        <v>channel 2</v>
      </c>
    </row>
    <row r="30">
      <c r="A30" s="141"/>
      <c r="B30" s="56" t="s">
        <v>3894</v>
      </c>
      <c r="C30" s="57" t="s">
        <v>239</v>
      </c>
      <c r="D30" s="56" t="s">
        <v>3892</v>
      </c>
      <c r="E30" s="11" t="str">
        <f>HYPERLINK("https://youtu.be/CSsLPA3jO8o?t=1932","channel 4")</f>
        <v>channel 4</v>
      </c>
    </row>
    <row r="31">
      <c r="A31" s="141"/>
      <c r="B31" s="56" t="s">
        <v>3895</v>
      </c>
      <c r="C31" s="57" t="s">
        <v>18</v>
      </c>
      <c r="D31" s="56" t="s">
        <v>3893</v>
      </c>
      <c r="E31" s="158" t="str">
        <f>HYPERLINK("https://youtu.be/IZwRWot9qqQ?t=3001","channel 2")</f>
        <v>channel 2</v>
      </c>
    </row>
    <row r="32">
      <c r="A32" s="141"/>
      <c r="B32" s="56" t="s">
        <v>788</v>
      </c>
      <c r="C32" s="57" t="s">
        <v>157</v>
      </c>
      <c r="D32" s="56" t="s">
        <v>3892</v>
      </c>
      <c r="E32" s="11" t="str">
        <f>HYPERLINK("https://youtu.be/CSsLPA3jO8o?t=3037","channel 4")</f>
        <v>channel 4</v>
      </c>
    </row>
    <row r="33">
      <c r="A33" s="141"/>
      <c r="B33" s="56" t="s">
        <v>3895</v>
      </c>
      <c r="C33" s="57" t="s">
        <v>477</v>
      </c>
      <c r="D33" s="56" t="s">
        <v>3894</v>
      </c>
      <c r="E33" s="158" t="str">
        <f>HYPERLINK("https://youtu.be/IZwRWot9qqQ?t=3951","channel 2")</f>
        <v>channel 2</v>
      </c>
    </row>
    <row r="34">
      <c r="A34" s="141"/>
      <c r="B34" s="56" t="s">
        <v>788</v>
      </c>
      <c r="C34" s="57" t="s">
        <v>744</v>
      </c>
      <c r="D34" s="56" t="s">
        <v>3893</v>
      </c>
      <c r="E34" s="11" t="str">
        <f>HYPERLINK("https://youtu.be/CSsLPA3jO8o?t=4049","channel 4")</f>
        <v>channel 4</v>
      </c>
    </row>
    <row r="35">
      <c r="A35" s="141"/>
      <c r="B35" s="56" t="s">
        <v>3893</v>
      </c>
      <c r="C35" s="57" t="s">
        <v>22</v>
      </c>
      <c r="D35" s="56" t="s">
        <v>3892</v>
      </c>
      <c r="E35" s="158" t="str">
        <f>HYPERLINK("https://youtu.be/IZwRWot9qqQ?t=4907","channel 2")</f>
        <v>channel 2</v>
      </c>
    </row>
    <row r="36">
      <c r="A36" s="141"/>
      <c r="B36" s="56" t="s">
        <v>788</v>
      </c>
      <c r="C36" s="57" t="s">
        <v>280</v>
      </c>
      <c r="D36" s="56" t="s">
        <v>3894</v>
      </c>
      <c r="E36" s="11" t="str">
        <f>HYPERLINK("https://youtu.be/CSsLPA3jO8o?t=4989","channel 4")</f>
        <v>channel 4</v>
      </c>
    </row>
    <row r="37">
      <c r="A37" s="141"/>
      <c r="B37" s="56" t="s">
        <v>3892</v>
      </c>
      <c r="C37" s="57" t="s">
        <v>162</v>
      </c>
      <c r="D37" s="56" t="s">
        <v>3895</v>
      </c>
      <c r="E37" s="158" t="str">
        <f>HYPERLINK("https://youtu.be/IZwRWot9qqQ?t=5949","channel 2")</f>
        <v>channel 2</v>
      </c>
    </row>
    <row r="38">
      <c r="A38" s="141"/>
      <c r="B38" s="56" t="s">
        <v>3893</v>
      </c>
      <c r="C38" s="57" t="s">
        <v>915</v>
      </c>
      <c r="D38" s="56" t="s">
        <v>3894</v>
      </c>
      <c r="E38" s="11" t="str">
        <f>HYPERLINK("https://youtu.be/CSsLPA3jO8o?t=5972","channel 4")</f>
        <v>channel 4</v>
      </c>
    </row>
    <row r="39">
      <c r="A39" s="141"/>
      <c r="B39" s="56" t="s">
        <v>788</v>
      </c>
      <c r="C39" s="45" t="s">
        <v>181</v>
      </c>
      <c r="D39" s="56" t="s">
        <v>3895</v>
      </c>
      <c r="E39" s="158" t="str">
        <f>HYPERLINK("https://youtu.be/IZwRWot9qqQ?t=6904","channel 2")</f>
        <v>channel 2</v>
      </c>
    </row>
    <row r="40">
      <c r="A40" s="141"/>
      <c r="B40" s="56" t="s">
        <v>3892</v>
      </c>
      <c r="C40" s="57" t="s">
        <v>3896</v>
      </c>
      <c r="D40" s="56" t="s">
        <v>3894</v>
      </c>
      <c r="E40" s="11" t="str">
        <f>HYPERLINK("https://youtu.be/CSsLPA3jO8o?t=6918","channel 4")</f>
        <v>channel 4</v>
      </c>
    </row>
    <row r="41">
      <c r="A41" s="141"/>
      <c r="B41" s="56" t="s">
        <v>3893</v>
      </c>
      <c r="C41" s="57" t="s">
        <v>193</v>
      </c>
      <c r="D41" s="56" t="s">
        <v>3895</v>
      </c>
      <c r="E41" s="158" t="str">
        <f>HYPERLINK("https://youtu.be/IZwRWot9qqQ?t=7875","channel 2")</f>
        <v>channel 2</v>
      </c>
    </row>
    <row r="42">
      <c r="A42" s="141"/>
      <c r="B42" s="56" t="s">
        <v>3892</v>
      </c>
      <c r="C42" s="57" t="s">
        <v>534</v>
      </c>
      <c r="D42" s="56" t="s">
        <v>788</v>
      </c>
      <c r="E42" s="11" t="str">
        <f>HYPERLINK("https://youtu.be/CSsLPA3jO8o?t=7871","channel 4")</f>
        <v>channel 4</v>
      </c>
    </row>
    <row r="43">
      <c r="A43" s="141"/>
      <c r="B43" s="56" t="s">
        <v>3894</v>
      </c>
      <c r="C43" s="57" t="s">
        <v>408</v>
      </c>
      <c r="D43" s="56" t="s">
        <v>3895</v>
      </c>
      <c r="E43" s="158" t="str">
        <f>HYPERLINK("https://youtu.be/IZwRWot9qqQ?t=8798","channel 2")</f>
        <v>channel 2</v>
      </c>
    </row>
    <row r="44">
      <c r="A44" s="141"/>
      <c r="B44" s="56" t="s">
        <v>3893</v>
      </c>
      <c r="C44" s="57" t="s">
        <v>888</v>
      </c>
      <c r="D44" s="56" t="s">
        <v>788</v>
      </c>
      <c r="E44" s="11" t="str">
        <f>HYPERLINK("https://youtu.be/CSsLPA3jO8o?t=8826","channel 4")</f>
        <v>channel 4</v>
      </c>
    </row>
    <row r="45">
      <c r="A45" s="141"/>
      <c r="B45" s="96" t="s">
        <v>2653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3897</v>
      </c>
      <c r="C47" s="57" t="s">
        <v>187</v>
      </c>
      <c r="D47" s="56" t="s">
        <v>3898</v>
      </c>
      <c r="E47" s="158" t="str">
        <f>HYPERLINK("https://youtu.be/CrzKPvRxopI","channel 2")</f>
        <v>channel 2</v>
      </c>
    </row>
    <row r="48">
      <c r="A48" s="141"/>
      <c r="B48" s="56" t="s">
        <v>3899</v>
      </c>
      <c r="C48" s="57" t="s">
        <v>843</v>
      </c>
      <c r="D48" s="56" t="s">
        <v>3900</v>
      </c>
      <c r="E48" s="11" t="str">
        <f>HYPERLINK("https://youtu.be/Lmy5QdgI-OI","channel 4")</f>
        <v>channel 4</v>
      </c>
    </row>
    <row r="49">
      <c r="A49" s="141"/>
      <c r="B49" s="56" t="s">
        <v>3901</v>
      </c>
      <c r="C49" s="57" t="s">
        <v>344</v>
      </c>
      <c r="D49" s="56" t="s">
        <v>3897</v>
      </c>
      <c r="E49" s="158" t="str">
        <f>HYPERLINK("https://youtu.be/CrzKPvRxopI?t=1000","channel 2")</f>
        <v>channel 2</v>
      </c>
    </row>
    <row r="50">
      <c r="A50" s="141"/>
      <c r="B50" s="56" t="s">
        <v>3899</v>
      </c>
      <c r="C50" s="57" t="s">
        <v>218</v>
      </c>
      <c r="D50" s="56" t="s">
        <v>3898</v>
      </c>
      <c r="E50" s="11" t="str">
        <f>HYPERLINK("https://youtu.be/Lmy5QdgI-OI?t=1028","channel 4")</f>
        <v>channel 4</v>
      </c>
    </row>
    <row r="51">
      <c r="A51" s="141"/>
      <c r="B51" s="56" t="s">
        <v>3901</v>
      </c>
      <c r="C51" s="57" t="s">
        <v>286</v>
      </c>
      <c r="D51" s="56" t="s">
        <v>3900</v>
      </c>
      <c r="E51" s="158" t="str">
        <f>HYPERLINK("https://youtu.be/CrzKPvRxopI?t=1932","channel 2")</f>
        <v>channel 2</v>
      </c>
    </row>
    <row r="52">
      <c r="A52" s="141"/>
      <c r="B52" s="56" t="s">
        <v>3899</v>
      </c>
      <c r="C52" s="57" t="s">
        <v>570</v>
      </c>
      <c r="D52" s="56" t="s">
        <v>3897</v>
      </c>
      <c r="E52" s="11" t="str">
        <f>HYPERLINK("https://youtu.be/Lmy5QdgI-OI?t=2028","channel 4")</f>
        <v>channel 4</v>
      </c>
    </row>
    <row r="53">
      <c r="A53" s="141"/>
      <c r="B53" s="56" t="s">
        <v>3901</v>
      </c>
      <c r="C53" s="57" t="s">
        <v>162</v>
      </c>
      <c r="D53" s="56" t="s">
        <v>3898</v>
      </c>
      <c r="E53" s="158" t="str">
        <f>HYPERLINK("https://youtu.be/CrzKPvRxopI?t=2946","channel 2")</f>
        <v>channel 2</v>
      </c>
    </row>
    <row r="54">
      <c r="A54" s="141"/>
      <c r="B54" s="56" t="s">
        <v>3900</v>
      </c>
      <c r="C54" s="57" t="s">
        <v>558</v>
      </c>
      <c r="D54" s="56" t="s">
        <v>3897</v>
      </c>
      <c r="E54" s="11" t="str">
        <f>HYPERLINK("https://youtu.be/Lmy5QdgI-OI?t=2946","channel 4")</f>
        <v>channel 4</v>
      </c>
    </row>
    <row r="55">
      <c r="A55" s="141"/>
      <c r="B55" s="56" t="s">
        <v>3901</v>
      </c>
      <c r="C55" s="57" t="s">
        <v>43</v>
      </c>
      <c r="D55" s="56" t="s">
        <v>3899</v>
      </c>
      <c r="E55" s="158" t="str">
        <f>HYPERLINK("https://youtu.be/CrzKPvRxopI?t=3857","channel 2")</f>
        <v>channel 2</v>
      </c>
    </row>
    <row r="56">
      <c r="A56" s="141"/>
      <c r="B56" s="56" t="s">
        <v>3900</v>
      </c>
      <c r="C56" s="57" t="s">
        <v>383</v>
      </c>
      <c r="D56" s="56" t="s">
        <v>3898</v>
      </c>
      <c r="E56" s="11" t="str">
        <f>HYPERLINK("https://youtu.be/Lmy5QdgI-OI?t=3938","channel 4")</f>
        <v>channel 4</v>
      </c>
    </row>
    <row r="57">
      <c r="A57" s="141"/>
      <c r="B57" s="56" t="s">
        <v>3898</v>
      </c>
      <c r="C57" s="57" t="s">
        <v>180</v>
      </c>
      <c r="D57" s="56" t="s">
        <v>3897</v>
      </c>
      <c r="E57" s="158" t="str">
        <f>HYPERLINK("https://youtu.be/CrzKPvRxopI?t=4818","channel 2")</f>
        <v>channel 2</v>
      </c>
    </row>
    <row r="58">
      <c r="A58" s="141"/>
      <c r="B58" s="56" t="s">
        <v>3900</v>
      </c>
      <c r="C58" s="57" t="s">
        <v>3902</v>
      </c>
      <c r="D58" s="56" t="s">
        <v>3899</v>
      </c>
      <c r="E58" s="11" t="str">
        <f>HYPERLINK("https://youtu.be/Lmy5QdgI-OI?t=4883","channel 4")</f>
        <v>channel 4</v>
      </c>
    </row>
    <row r="59">
      <c r="A59" s="141"/>
      <c r="B59" s="56" t="s">
        <v>3897</v>
      </c>
      <c r="C59" s="57" t="s">
        <v>194</v>
      </c>
      <c r="D59" s="56" t="s">
        <v>3901</v>
      </c>
      <c r="E59" s="158" t="str">
        <f>HYPERLINK("https://youtu.be/CrzKPvRxopI?t=5729","channel 2")</f>
        <v>channel 2</v>
      </c>
    </row>
    <row r="60">
      <c r="A60" s="141"/>
      <c r="B60" s="56" t="s">
        <v>3898</v>
      </c>
      <c r="C60" s="57" t="s">
        <v>352</v>
      </c>
      <c r="D60" s="56" t="s">
        <v>3899</v>
      </c>
      <c r="E60" s="11" t="str">
        <f>HYPERLINK("https://youtu.be/Lmy5QdgI-OI?t=5825","channel 4")</f>
        <v>channel 4</v>
      </c>
    </row>
    <row r="61">
      <c r="A61" s="141"/>
      <c r="B61" s="56" t="s">
        <v>3900</v>
      </c>
      <c r="C61" s="57" t="s">
        <v>19</v>
      </c>
      <c r="D61" s="56" t="s">
        <v>3901</v>
      </c>
      <c r="E61" s="158" t="str">
        <f>HYPERLINK("https://youtu.be/CrzKPvRxopI?t=6714","channel 2")</f>
        <v>channel 2</v>
      </c>
    </row>
    <row r="62">
      <c r="A62" s="141"/>
      <c r="B62" s="56" t="s">
        <v>3897</v>
      </c>
      <c r="C62" s="45" t="s">
        <v>574</v>
      </c>
      <c r="D62" s="56" t="s">
        <v>3899</v>
      </c>
      <c r="E62" s="11" t="str">
        <f>HYPERLINK("https://youtu.be/Lmy5QdgI-OI?t=6754","channel 4")</f>
        <v>channel 4</v>
      </c>
    </row>
    <row r="63">
      <c r="A63" s="141"/>
      <c r="B63" s="56" t="s">
        <v>3898</v>
      </c>
      <c r="C63" s="57" t="s">
        <v>545</v>
      </c>
      <c r="D63" s="56" t="s">
        <v>3901</v>
      </c>
      <c r="E63" s="158" t="str">
        <f>HYPERLINK("https://youtu.be/CrzKPvRxopI?t=7712","channel 2")</f>
        <v>channel 2</v>
      </c>
    </row>
    <row r="64">
      <c r="A64" s="141"/>
      <c r="B64" s="56" t="s">
        <v>3897</v>
      </c>
      <c r="C64" s="57" t="s">
        <v>281</v>
      </c>
      <c r="D64" s="56" t="s">
        <v>3900</v>
      </c>
      <c r="E64" s="11" t="str">
        <f>HYPERLINK("https://youtu.be/Lmy5QdgI-OI?t=7656","channel 4")</f>
        <v>channel 4</v>
      </c>
    </row>
    <row r="65">
      <c r="A65" s="141"/>
      <c r="B65" s="56" t="s">
        <v>3899</v>
      </c>
      <c r="C65" s="57" t="s">
        <v>19</v>
      </c>
      <c r="D65" s="56" t="s">
        <v>3901</v>
      </c>
      <c r="E65" s="158" t="str">
        <f>HYPERLINK("https://youtu.be/CrzKPvRxopI?t=8574","channel 2")</f>
        <v>channel 2</v>
      </c>
    </row>
    <row r="66">
      <c r="A66" s="141"/>
      <c r="B66" s="56" t="s">
        <v>3898</v>
      </c>
      <c r="C66" s="57" t="s">
        <v>303</v>
      </c>
      <c r="D66" s="56" t="s">
        <v>3900</v>
      </c>
      <c r="E66" s="11" t="str">
        <f>HYPERLINK("https://youtu.be/Lmy5QdgI-OI?t=8584","channel 4")</f>
        <v>channel 4</v>
      </c>
    </row>
    <row r="67">
      <c r="A67" s="141"/>
      <c r="B67" s="160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3903</v>
      </c>
      <c r="C69" s="57" t="s">
        <v>743</v>
      </c>
      <c r="D69" s="56" t="s">
        <v>3904</v>
      </c>
      <c r="E69" s="158" t="str">
        <f>HYPERLINK("https://youtu.be/cEJ50AoWFPQ","channel 2")</f>
        <v>channel 2</v>
      </c>
    </row>
    <row r="70">
      <c r="A70" s="141"/>
      <c r="B70" s="56" t="s">
        <v>3905</v>
      </c>
      <c r="C70" s="57" t="s">
        <v>210</v>
      </c>
      <c r="D70" s="56" t="s">
        <v>3906</v>
      </c>
      <c r="E70" s="11" t="str">
        <f>HYPERLINK("https://youtu.be/EcIkyzb7QsM","channel 4")</f>
        <v>channel 4</v>
      </c>
    </row>
    <row r="71">
      <c r="A71" s="141"/>
      <c r="B71" s="56" t="s">
        <v>3907</v>
      </c>
      <c r="C71" s="57" t="s">
        <v>573</v>
      </c>
      <c r="D71" s="56" t="s">
        <v>3903</v>
      </c>
      <c r="E71" s="158" t="str">
        <f>HYPERLINK("https://youtu.be/cEJ50AoWFPQ?t=974","channel 2")</f>
        <v>channel 2</v>
      </c>
    </row>
    <row r="72">
      <c r="A72" s="141"/>
      <c r="B72" s="56" t="s">
        <v>3905</v>
      </c>
      <c r="C72" s="57" t="s">
        <v>2875</v>
      </c>
      <c r="D72" s="56" t="s">
        <v>3904</v>
      </c>
      <c r="E72" s="11" t="str">
        <f>HYPERLINK("https://youtu.be/EcIkyzb7QsM?t=1085","channel 4")</f>
        <v>channel 4</v>
      </c>
    </row>
    <row r="73">
      <c r="A73" s="141"/>
      <c r="B73" s="56" t="s">
        <v>3907</v>
      </c>
      <c r="C73" s="57" t="s">
        <v>20</v>
      </c>
      <c r="D73" s="56" t="s">
        <v>3906</v>
      </c>
      <c r="E73" s="158" t="str">
        <f>HYPERLINK("https://youtu.be/cEJ50AoWFPQ?t=1937","channel 2")</f>
        <v>channel 2</v>
      </c>
    </row>
    <row r="74">
      <c r="A74" s="141"/>
      <c r="B74" s="56" t="s">
        <v>3905</v>
      </c>
      <c r="C74" s="57" t="s">
        <v>250</v>
      </c>
      <c r="D74" s="56" t="s">
        <v>3903</v>
      </c>
      <c r="E74" s="11" t="str">
        <f>HYPERLINK("https://youtu.be/EcIkyzb7QsM?t=2009","channel 4")</f>
        <v>channel 4</v>
      </c>
    </row>
    <row r="75">
      <c r="A75" s="141"/>
      <c r="B75" s="56" t="s">
        <v>3907</v>
      </c>
      <c r="C75" s="57" t="s">
        <v>421</v>
      </c>
      <c r="D75" s="56" t="s">
        <v>3904</v>
      </c>
      <c r="E75" s="158" t="str">
        <f>HYPERLINK("https://youtu.be/cEJ50AoWFPQ?t=2945","channel 2")</f>
        <v>channel 2</v>
      </c>
    </row>
    <row r="76">
      <c r="A76" s="141"/>
      <c r="B76" s="56" t="s">
        <v>3906</v>
      </c>
      <c r="C76" s="57" t="s">
        <v>209</v>
      </c>
      <c r="D76" s="56" t="s">
        <v>3903</v>
      </c>
      <c r="E76" s="11" t="str">
        <f>HYPERLINK("https://youtu.be/EcIkyzb7QsM?t=2947","channel 4")</f>
        <v>channel 4</v>
      </c>
    </row>
    <row r="77">
      <c r="A77" s="141"/>
      <c r="B77" s="56" t="s">
        <v>3907</v>
      </c>
      <c r="C77" s="57" t="s">
        <v>2562</v>
      </c>
      <c r="D77" s="56" t="s">
        <v>3905</v>
      </c>
      <c r="E77" s="158" t="str">
        <f>HYPERLINK("https://youtu.be/cEJ50AoWFPQ?t=4035","channel 2")</f>
        <v>channel 2</v>
      </c>
    </row>
    <row r="78">
      <c r="A78" s="141"/>
      <c r="B78" s="56" t="s">
        <v>3906</v>
      </c>
      <c r="C78" s="57" t="s">
        <v>292</v>
      </c>
      <c r="D78" s="56" t="s">
        <v>3904</v>
      </c>
      <c r="E78" s="11" t="str">
        <f>HYPERLINK("https://youtu.be/EcIkyzb7QsM?t=4082","channel 4")</f>
        <v>channel 4</v>
      </c>
    </row>
    <row r="79">
      <c r="A79" s="141"/>
      <c r="B79" s="56" t="s">
        <v>3904</v>
      </c>
      <c r="C79" s="57" t="s">
        <v>477</v>
      </c>
      <c r="D79" s="56" t="s">
        <v>3903</v>
      </c>
      <c r="E79" s="158" t="str">
        <f>HYPERLINK("https://youtu.be/cEJ50AoWFPQ?t=4964","channel 2")</f>
        <v>channel 2</v>
      </c>
    </row>
    <row r="80">
      <c r="A80" s="141"/>
      <c r="B80" s="56" t="s">
        <v>3906</v>
      </c>
      <c r="C80" s="57" t="s">
        <v>244</v>
      </c>
      <c r="D80" s="56" t="s">
        <v>3905</v>
      </c>
      <c r="E80" s="11" t="str">
        <f>HYPERLINK("https://youtu.be/EcIkyzb7QsM?t=5026","channel 4")</f>
        <v>channel 4</v>
      </c>
    </row>
    <row r="81">
      <c r="A81" s="141"/>
      <c r="B81" s="56" t="s">
        <v>3903</v>
      </c>
      <c r="C81" s="57" t="s">
        <v>549</v>
      </c>
      <c r="D81" s="56" t="s">
        <v>3907</v>
      </c>
      <c r="E81" s="158" t="str">
        <f>HYPERLINK("https://youtu.be/cEJ50AoWFPQ?t=5884","channel 2")</f>
        <v>channel 2</v>
      </c>
    </row>
    <row r="82">
      <c r="A82" s="141"/>
      <c r="B82" s="56" t="s">
        <v>3904</v>
      </c>
      <c r="C82" s="57" t="s">
        <v>225</v>
      </c>
      <c r="D82" s="56" t="s">
        <v>3905</v>
      </c>
      <c r="E82" s="11" t="str">
        <f>HYPERLINK("https://youtu.be/EcIkyzb7QsM?t=5926","channel 4")</f>
        <v>channel 4</v>
      </c>
    </row>
    <row r="83">
      <c r="A83" s="141"/>
      <c r="B83" s="56" t="s">
        <v>3906</v>
      </c>
      <c r="C83" s="57" t="s">
        <v>298</v>
      </c>
      <c r="D83" s="56" t="s">
        <v>3907</v>
      </c>
      <c r="E83" s="158" t="str">
        <f>HYPERLINK("https://youtu.be/cEJ50AoWFPQ?t=6847","channel 2")</f>
        <v>channel 2</v>
      </c>
    </row>
    <row r="84">
      <c r="A84" s="141"/>
      <c r="B84" s="56" t="s">
        <v>3903</v>
      </c>
      <c r="C84" s="57" t="s">
        <v>3908</v>
      </c>
      <c r="D84" s="56" t="s">
        <v>3905</v>
      </c>
      <c r="E84" s="11" t="str">
        <f>HYPERLINK("https://youtu.be/EcIkyzb7QsM?t=6823","channel 4")</f>
        <v>channel 4</v>
      </c>
    </row>
    <row r="85">
      <c r="A85" s="141"/>
      <c r="B85" s="56" t="s">
        <v>3904</v>
      </c>
      <c r="C85" s="57" t="s">
        <v>290</v>
      </c>
      <c r="D85" s="56" t="s">
        <v>3907</v>
      </c>
      <c r="E85" s="158" t="str">
        <f>HYPERLINK("https://youtu.be/cEJ50AoWFPQ?t=7770","channel 2")</f>
        <v>channel 2</v>
      </c>
    </row>
    <row r="86">
      <c r="A86" s="141"/>
      <c r="B86" s="56" t="s">
        <v>3903</v>
      </c>
      <c r="C86" s="57" t="s">
        <v>187</v>
      </c>
      <c r="D86" s="56" t="s">
        <v>3906</v>
      </c>
      <c r="E86" s="11" t="str">
        <f>HYPERLINK("https://youtu.be/EcIkyzb7QsM?t=7790","channel 4")</f>
        <v>channel 4</v>
      </c>
    </row>
    <row r="87">
      <c r="A87" s="141"/>
      <c r="B87" s="56" t="s">
        <v>3905</v>
      </c>
      <c r="C87" s="57" t="s">
        <v>24</v>
      </c>
      <c r="D87" s="56" t="s">
        <v>3907</v>
      </c>
      <c r="E87" s="158" t="str">
        <f>HYPERLINK("https://youtu.be/cEJ50AoWFPQ?t=8680","channel 2")</f>
        <v>channel 2</v>
      </c>
    </row>
    <row r="88">
      <c r="A88" s="141"/>
      <c r="B88" s="56" t="s">
        <v>3904</v>
      </c>
      <c r="C88" s="57" t="s">
        <v>856</v>
      </c>
      <c r="D88" s="56" t="s">
        <v>3906</v>
      </c>
      <c r="E88" s="11" t="str">
        <f>HYPERLINK("https://youtu.be/EcIkyzb7QsM?t=8696","channel 4")</f>
        <v>channel 4</v>
      </c>
    </row>
    <row r="89">
      <c r="A89" s="141"/>
      <c r="B89" s="96" t="s">
        <v>3909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62" t="s">
        <v>2004</v>
      </c>
      <c r="C91" s="57" t="s">
        <v>43</v>
      </c>
      <c r="D91" s="56" t="s">
        <v>3910</v>
      </c>
      <c r="E91" s="158" t="str">
        <f>HYPERLINK("https://youtu.be/xNhjvCk1qsM","channel 2")</f>
        <v>channel 2</v>
      </c>
    </row>
    <row r="92">
      <c r="A92" s="141"/>
      <c r="B92" s="56" t="s">
        <v>1945</v>
      </c>
      <c r="C92" s="57" t="s">
        <v>173</v>
      </c>
      <c r="D92" s="56" t="s">
        <v>3911</v>
      </c>
      <c r="E92" s="11" t="str">
        <f>HYPERLINK("https://youtu.be/ywGmwA9d7tc","channel 4")</f>
        <v>channel 4</v>
      </c>
    </row>
    <row r="93">
      <c r="A93" s="141"/>
      <c r="B93" s="56" t="s">
        <v>2905</v>
      </c>
      <c r="C93" s="57" t="s">
        <v>173</v>
      </c>
      <c r="D93" s="56" t="s">
        <v>2004</v>
      </c>
      <c r="E93" s="158" t="str">
        <f>HYPERLINK("https://youtu.be/xNhjvCk1qsM?t=875","channel 2")</f>
        <v>channel 2</v>
      </c>
    </row>
    <row r="94">
      <c r="A94" s="141"/>
      <c r="B94" s="56" t="s">
        <v>1945</v>
      </c>
      <c r="C94" s="57" t="s">
        <v>162</v>
      </c>
      <c r="D94" s="56" t="s">
        <v>3910</v>
      </c>
      <c r="E94" s="11" t="str">
        <f>HYPERLINK("https://youtu.be/ywGmwA9d7tc?t=988","channel 4")</f>
        <v>channel 4</v>
      </c>
    </row>
    <row r="95">
      <c r="A95" s="141"/>
      <c r="B95" s="56" t="s">
        <v>2905</v>
      </c>
      <c r="C95" s="54" t="s">
        <v>222</v>
      </c>
      <c r="D95" s="56" t="s">
        <v>3911</v>
      </c>
      <c r="E95" s="158" t="str">
        <f>HYPERLINK("https://youtu.be/xNhjvCk1qsM?t=1741","channel 2")</f>
        <v>channel 2</v>
      </c>
    </row>
    <row r="96">
      <c r="A96" s="141"/>
      <c r="B96" s="56" t="s">
        <v>1945</v>
      </c>
      <c r="C96" s="57" t="s">
        <v>168</v>
      </c>
      <c r="D96" s="56" t="s">
        <v>2004</v>
      </c>
      <c r="E96" s="11" t="str">
        <f>HYPERLINK("https://youtu.be/ywGmwA9d7tc?t=1858","channel 4")</f>
        <v>channel 4</v>
      </c>
    </row>
    <row r="97">
      <c r="A97" s="141"/>
      <c r="B97" s="56" t="s">
        <v>2905</v>
      </c>
      <c r="C97" s="57" t="s">
        <v>279</v>
      </c>
      <c r="D97" s="56" t="s">
        <v>3910</v>
      </c>
      <c r="E97" s="158" t="str">
        <f>HYPERLINK("https://youtu.be/xNhjvCk1qsM?t=2607","channel 2")</f>
        <v>channel 2</v>
      </c>
    </row>
    <row r="98">
      <c r="A98" s="141"/>
      <c r="B98" s="56" t="s">
        <v>3911</v>
      </c>
      <c r="C98" s="57" t="s">
        <v>417</v>
      </c>
      <c r="D98" s="56" t="s">
        <v>2004</v>
      </c>
      <c r="E98" s="11" t="str">
        <f>HYPERLINK("https://youtu.be/ywGmwA9d7tc?t=2738","channel 4")</f>
        <v>channel 4</v>
      </c>
    </row>
    <row r="99">
      <c r="A99" s="141"/>
      <c r="B99" s="56" t="s">
        <v>2905</v>
      </c>
      <c r="C99" s="57" t="s">
        <v>41</v>
      </c>
      <c r="D99" s="56" t="s">
        <v>1945</v>
      </c>
      <c r="E99" s="158" t="str">
        <f>HYPERLINK("https://youtu.be/xNhjvCk1qsM?t=3519","channel 2")</f>
        <v>channel 2</v>
      </c>
    </row>
    <row r="100">
      <c r="A100" s="141"/>
      <c r="B100" s="56" t="s">
        <v>3911</v>
      </c>
      <c r="C100" s="57" t="s">
        <v>216</v>
      </c>
      <c r="D100" s="56" t="s">
        <v>3910</v>
      </c>
      <c r="E100" s="11" t="str">
        <f>HYPERLINK("https://youtu.be/ywGmwA9d7tc?t=3664","channel 4")</f>
        <v>channel 4</v>
      </c>
    </row>
    <row r="101">
      <c r="A101" s="141"/>
      <c r="B101" s="56" t="s">
        <v>3910</v>
      </c>
      <c r="C101" s="57" t="s">
        <v>2672</v>
      </c>
      <c r="D101" s="56" t="s">
        <v>2004</v>
      </c>
      <c r="E101" s="158" t="str">
        <f>HYPERLINK("https://youtu.be/xNhjvCk1qsM?t=4463","channel 2")</f>
        <v>channel 2</v>
      </c>
    </row>
    <row r="102">
      <c r="A102" s="141"/>
      <c r="B102" s="56" t="s">
        <v>3911</v>
      </c>
      <c r="C102" s="57" t="s">
        <v>502</v>
      </c>
      <c r="D102" s="56" t="s">
        <v>1945</v>
      </c>
      <c r="E102" s="11" t="str">
        <f>HYPERLINK("https://youtu.be/ywGmwA9d7tc?t=4573","channel 4")</f>
        <v>channel 4</v>
      </c>
    </row>
    <row r="103">
      <c r="A103" s="141"/>
      <c r="B103" s="56" t="s">
        <v>2004</v>
      </c>
      <c r="C103" s="57" t="s">
        <v>14</v>
      </c>
      <c r="D103" s="56" t="s">
        <v>2905</v>
      </c>
      <c r="E103" s="158" t="str">
        <f>HYPERLINK("https://youtu.be/xNhjvCk1qsM?t=5445","channel 2")</f>
        <v>channel 2</v>
      </c>
    </row>
    <row r="104">
      <c r="A104" s="141"/>
      <c r="B104" s="56" t="s">
        <v>3910</v>
      </c>
      <c r="C104" s="57" t="s">
        <v>185</v>
      </c>
      <c r="D104" s="56" t="s">
        <v>1945</v>
      </c>
      <c r="E104" s="11" t="str">
        <f>HYPERLINK("https://youtu.be/ywGmwA9d7tc?t=5526","channel 4")</f>
        <v>channel 4</v>
      </c>
    </row>
    <row r="105">
      <c r="A105" s="141"/>
      <c r="B105" s="56" t="s">
        <v>3911</v>
      </c>
      <c r="C105" s="57" t="s">
        <v>279</v>
      </c>
      <c r="D105" s="56" t="s">
        <v>2905</v>
      </c>
      <c r="E105" s="158" t="str">
        <f>HYPERLINK("https://youtu.be/xNhjvCk1qsM?t=6376","channel 2")</f>
        <v>channel 2</v>
      </c>
    </row>
    <row r="106">
      <c r="A106" s="141"/>
      <c r="B106" s="56" t="s">
        <v>2004</v>
      </c>
      <c r="C106" s="57" t="s">
        <v>1724</v>
      </c>
      <c r="D106" s="56" t="s">
        <v>1945</v>
      </c>
      <c r="E106" s="11" t="str">
        <f>HYPERLINK("https://youtu.be/ywGmwA9d7tc?t=6456","channel 4")</f>
        <v>channel 4</v>
      </c>
    </row>
    <row r="107">
      <c r="A107" s="141"/>
      <c r="B107" s="56" t="s">
        <v>3910</v>
      </c>
      <c r="C107" s="57" t="s">
        <v>24</v>
      </c>
      <c r="D107" s="56" t="s">
        <v>2905</v>
      </c>
      <c r="E107" s="158" t="str">
        <f>HYPERLINK("https://youtu.be/xNhjvCk1qsM?t=7273","channel 2")</f>
        <v>channel 2</v>
      </c>
    </row>
    <row r="108">
      <c r="A108" s="141"/>
      <c r="B108" s="56" t="s">
        <v>2004</v>
      </c>
      <c r="C108" s="57" t="s">
        <v>222</v>
      </c>
      <c r="D108" s="56" t="s">
        <v>3911</v>
      </c>
      <c r="E108" s="11" t="str">
        <f>HYPERLINK("https://youtu.be/ywGmwA9d7tc?t=7405","channel 4")</f>
        <v>channel 4</v>
      </c>
    </row>
    <row r="109">
      <c r="A109" s="141"/>
      <c r="B109" s="56" t="s">
        <v>1945</v>
      </c>
      <c r="C109" s="57" t="s">
        <v>549</v>
      </c>
      <c r="D109" s="56" t="s">
        <v>2905</v>
      </c>
      <c r="E109" s="158" t="str">
        <f>HYPERLINK("https://youtu.be/xNhjvCk1qsM?t=8183","channel 2")</f>
        <v>channel 2</v>
      </c>
    </row>
    <row r="110">
      <c r="A110" s="141"/>
      <c r="B110" s="56" t="s">
        <v>3910</v>
      </c>
      <c r="C110" s="57" t="s">
        <v>251</v>
      </c>
      <c r="D110" s="56" t="s">
        <v>3911</v>
      </c>
      <c r="E110" s="11" t="str">
        <f>HYPERLINK("https://youtu.be/ywGmwA9d7tc?t=8296","channel 4")</f>
        <v>channel 4</v>
      </c>
    </row>
    <row r="111">
      <c r="A111" s="141"/>
      <c r="B111" s="96" t="s">
        <v>3912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162" t="s">
        <v>2117</v>
      </c>
      <c r="C113" s="57" t="s">
        <v>14</v>
      </c>
      <c r="D113" s="56" t="s">
        <v>1301</v>
      </c>
      <c r="E113" s="158" t="str">
        <f>HYPERLINK("https://youtu.be/s-yJbdwqUTE","channel 2")</f>
        <v>channel 2</v>
      </c>
    </row>
    <row r="114">
      <c r="A114" s="141"/>
      <c r="B114" s="56" t="s">
        <v>2388</v>
      </c>
      <c r="C114" s="57" t="s">
        <v>225</v>
      </c>
      <c r="D114" s="56" t="s">
        <v>3913</v>
      </c>
      <c r="E114" s="11" t="str">
        <f>HYPERLINK("https://youtu.be/6_fj-k33EcI","channel 4")</f>
        <v>channel 4</v>
      </c>
    </row>
    <row r="115">
      <c r="A115" s="141"/>
      <c r="B115" s="56" t="s">
        <v>1171</v>
      </c>
      <c r="C115" s="57" t="s">
        <v>640</v>
      </c>
      <c r="D115" s="56" t="s">
        <v>2117</v>
      </c>
      <c r="E115" s="158" t="str">
        <f>HYPERLINK("https://youtu.be/s-yJbdwqUTE?t=929","channel 2")</f>
        <v>channel 2</v>
      </c>
    </row>
    <row r="116">
      <c r="A116" s="141"/>
      <c r="B116" s="56" t="s">
        <v>2388</v>
      </c>
      <c r="C116" s="57" t="s">
        <v>404</v>
      </c>
      <c r="D116" s="56" t="s">
        <v>1301</v>
      </c>
      <c r="E116" s="11" t="str">
        <f>HYPERLINK("https://youtu.be/6_fj-k33EcI?t=1072","channel 4")</f>
        <v>channel 4</v>
      </c>
    </row>
    <row r="117">
      <c r="A117" s="141"/>
      <c r="B117" s="56" t="s">
        <v>1171</v>
      </c>
      <c r="C117" s="57" t="s">
        <v>517</v>
      </c>
      <c r="D117" s="56" t="s">
        <v>3913</v>
      </c>
      <c r="E117" s="158" t="str">
        <f>HYPERLINK("https://youtu.be/s-yJbdwqUTE?t=1882","channel 2")</f>
        <v>channel 2</v>
      </c>
    </row>
    <row r="118">
      <c r="A118" s="141"/>
      <c r="B118" s="56" t="s">
        <v>2388</v>
      </c>
      <c r="C118" s="57" t="s">
        <v>301</v>
      </c>
      <c r="D118" s="56" t="s">
        <v>2117</v>
      </c>
      <c r="E118" s="11" t="str">
        <f>HYPERLINK("https://youtu.be/6_fj-k33EcI?t=1988","channel 4")</f>
        <v>channel 4</v>
      </c>
    </row>
    <row r="119">
      <c r="A119" s="141"/>
      <c r="B119" s="56" t="s">
        <v>1171</v>
      </c>
      <c r="C119" s="57" t="s">
        <v>324</v>
      </c>
      <c r="D119" s="56" t="s">
        <v>1301</v>
      </c>
      <c r="E119" s="158" t="str">
        <f>HYPERLINK("https://youtu.be/s-yJbdwqUTE?t=2784","channel 2")</f>
        <v>channel 2</v>
      </c>
    </row>
    <row r="120">
      <c r="A120" s="141"/>
      <c r="B120" s="56" t="s">
        <v>3913</v>
      </c>
      <c r="C120" s="57" t="s">
        <v>41</v>
      </c>
      <c r="D120" s="56" t="s">
        <v>2117</v>
      </c>
      <c r="E120" s="11" t="str">
        <f>HYPERLINK("https://youtu.be/6_fj-k33EcI?t=2901","channel 4")</f>
        <v>channel 4</v>
      </c>
    </row>
    <row r="121">
      <c r="A121" s="141"/>
      <c r="B121" s="56" t="s">
        <v>1171</v>
      </c>
      <c r="C121" s="57" t="s">
        <v>194</v>
      </c>
      <c r="D121" s="56" t="s">
        <v>2388</v>
      </c>
      <c r="E121" s="158" t="str">
        <f>HYPERLINK("https://youtu.be/s-yJbdwqUTE?t=3670","channel 2")</f>
        <v>channel 2</v>
      </c>
    </row>
    <row r="122">
      <c r="A122" s="141"/>
      <c r="B122" s="56" t="s">
        <v>3913</v>
      </c>
      <c r="C122" s="57" t="s">
        <v>177</v>
      </c>
      <c r="D122" s="56" t="s">
        <v>1301</v>
      </c>
      <c r="E122" s="11" t="str">
        <f>HYPERLINK("https://youtu.be/6_fj-k33EcI?t=3801","channel 4")</f>
        <v>channel 4</v>
      </c>
    </row>
    <row r="123">
      <c r="A123" s="141"/>
      <c r="B123" s="56" t="s">
        <v>1301</v>
      </c>
      <c r="C123" s="57" t="s">
        <v>244</v>
      </c>
      <c r="D123" s="56" t="s">
        <v>2117</v>
      </c>
      <c r="E123" s="158" t="str">
        <f>HYPERLINK("https://youtu.be/s-yJbdwqUTE?t=4589","channel 2")</f>
        <v>channel 2</v>
      </c>
    </row>
    <row r="124">
      <c r="A124" s="141"/>
      <c r="B124" s="56" t="s">
        <v>3913</v>
      </c>
      <c r="C124" s="57" t="s">
        <v>1878</v>
      </c>
      <c r="D124" s="56" t="s">
        <v>2388</v>
      </c>
      <c r="E124" s="11" t="str">
        <f>HYPERLINK("https://youtu.be/6_fj-k33EcI?t=4692","channel 4")</f>
        <v>channel 4</v>
      </c>
    </row>
    <row r="125">
      <c r="A125" s="141"/>
      <c r="B125" s="56" t="s">
        <v>2117</v>
      </c>
      <c r="C125" s="57" t="s">
        <v>1108</v>
      </c>
      <c r="D125" s="56" t="s">
        <v>1171</v>
      </c>
      <c r="E125" s="158" t="str">
        <f>HYPERLINK("https://youtu.be/s-yJbdwqUTE?t=5598","channel 2")</f>
        <v>channel 2</v>
      </c>
    </row>
    <row r="126">
      <c r="A126" s="141"/>
      <c r="B126" s="56" t="s">
        <v>1301</v>
      </c>
      <c r="C126" s="57" t="s">
        <v>163</v>
      </c>
      <c r="D126" s="56" t="s">
        <v>2388</v>
      </c>
      <c r="E126" s="11" t="str">
        <f>HYPERLINK("https://youtu.be/6_fj-k33EcI?t=5740","channel 4")</f>
        <v>channel 4</v>
      </c>
    </row>
    <row r="127">
      <c r="A127" s="141"/>
      <c r="B127" s="56" t="s">
        <v>3913</v>
      </c>
      <c r="C127" s="57" t="s">
        <v>41</v>
      </c>
      <c r="D127" s="56" t="s">
        <v>1171</v>
      </c>
      <c r="E127" s="158" t="str">
        <f>HYPERLINK("https://youtu.be/s-yJbdwqUTE?t=6649","channel 2")</f>
        <v>channel 2</v>
      </c>
    </row>
    <row r="128">
      <c r="A128" s="141"/>
      <c r="B128" s="56" t="s">
        <v>2117</v>
      </c>
      <c r="C128" s="57" t="s">
        <v>44</v>
      </c>
      <c r="D128" s="56" t="s">
        <v>2388</v>
      </c>
      <c r="E128" s="11" t="str">
        <f>HYPERLINK("https://youtu.be/6_fj-k33EcI?t=6736","channel 4")</f>
        <v>channel 4</v>
      </c>
    </row>
    <row r="129">
      <c r="A129" s="141"/>
      <c r="B129" s="56" t="s">
        <v>1301</v>
      </c>
      <c r="C129" s="57" t="s">
        <v>354</v>
      </c>
      <c r="D129" s="56" t="s">
        <v>1171</v>
      </c>
      <c r="E129" s="158" t="str">
        <f>HYPERLINK("https://youtu.be/s-yJbdwqUTE?t=7634","channel 2")</f>
        <v>channel 2</v>
      </c>
    </row>
    <row r="130">
      <c r="A130" s="141"/>
      <c r="B130" s="56" t="s">
        <v>2117</v>
      </c>
      <c r="C130" s="57" t="s">
        <v>257</v>
      </c>
      <c r="D130" s="56" t="s">
        <v>3913</v>
      </c>
      <c r="E130" s="11" t="str">
        <f>HYPERLINK("https://youtu.be/6_fj-k33EcI?t=7699","channel 4")</f>
        <v>channel 4</v>
      </c>
    </row>
    <row r="131">
      <c r="A131" s="141"/>
      <c r="B131" s="56" t="s">
        <v>2388</v>
      </c>
      <c r="C131" s="57" t="s">
        <v>278</v>
      </c>
      <c r="D131" s="56" t="s">
        <v>1171</v>
      </c>
      <c r="E131" s="158" t="str">
        <f>HYPERLINK("https://youtu.be/s-yJbdwqUTE?t=8585","channel 2")</f>
        <v>channel 2</v>
      </c>
    </row>
    <row r="132">
      <c r="A132" s="145"/>
      <c r="B132" s="56" t="s">
        <v>1301</v>
      </c>
      <c r="C132" s="57" t="s">
        <v>497</v>
      </c>
      <c r="D132" s="56" t="s">
        <v>3913</v>
      </c>
      <c r="E132" s="11" t="str">
        <f>HYPERLINK("https://youtu.be/6_fj-k33EcI?t=8690","channel 4")</f>
        <v>channel 4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2260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3914</v>
      </c>
      <c r="C3" s="57" t="s">
        <v>23</v>
      </c>
      <c r="D3" s="61" t="s">
        <v>3644</v>
      </c>
      <c r="E3" s="158" t="str">
        <f>HYPERLINK("https://youtu.be/g6KMUMYRKSM","channel 2")</f>
        <v>channel 2</v>
      </c>
    </row>
    <row r="4">
      <c r="A4" s="141"/>
      <c r="B4" s="61" t="s">
        <v>3724</v>
      </c>
      <c r="C4" s="84" t="s">
        <v>218</v>
      </c>
      <c r="D4" s="61" t="s">
        <v>1514</v>
      </c>
      <c r="E4" s="11" t="str">
        <f>HYPERLINK("https://youtu.be/GxzAbYd489g","channel 4")</f>
        <v>channel 4</v>
      </c>
    </row>
    <row r="5">
      <c r="A5" s="141"/>
      <c r="B5" s="56" t="s">
        <v>3915</v>
      </c>
      <c r="C5" s="57" t="s">
        <v>464</v>
      </c>
      <c r="D5" s="61" t="s">
        <v>3914</v>
      </c>
      <c r="E5" s="158" t="str">
        <f>HYPERLINK("https://youtu.be/g6KMUMYRKSM?t=1062","channel 2")</f>
        <v>channel 2</v>
      </c>
    </row>
    <row r="6">
      <c r="A6" s="141"/>
      <c r="B6" s="61" t="s">
        <v>3724</v>
      </c>
      <c r="C6" s="57" t="s">
        <v>41</v>
      </c>
      <c r="D6" s="61" t="s">
        <v>3644</v>
      </c>
      <c r="E6" s="11" t="str">
        <f>HYPERLINK("https://youtu.be/GxzAbYd489g?t=811","channel 4")</f>
        <v>channel 4</v>
      </c>
    </row>
    <row r="7">
      <c r="A7" s="141"/>
      <c r="B7" s="56" t="s">
        <v>3915</v>
      </c>
      <c r="C7" s="57" t="s">
        <v>194</v>
      </c>
      <c r="D7" s="61" t="s">
        <v>1514</v>
      </c>
      <c r="E7" s="158" t="str">
        <f>HYPERLINK("https://youtu.be/g6KMUMYRKSM?t=2002","channel 2")</f>
        <v>channel 2</v>
      </c>
    </row>
    <row r="8">
      <c r="A8" s="141"/>
      <c r="B8" s="61" t="s">
        <v>3724</v>
      </c>
      <c r="C8" s="57" t="s">
        <v>2064</v>
      </c>
      <c r="D8" s="61" t="s">
        <v>3914</v>
      </c>
      <c r="E8" s="11" t="str">
        <f>HYPERLINK("https://youtu.be/GxzAbYd489g?t=1713","channel 4")</f>
        <v>channel 4</v>
      </c>
    </row>
    <row r="9">
      <c r="A9" s="141"/>
      <c r="B9" s="56" t="s">
        <v>3915</v>
      </c>
      <c r="C9" s="57" t="s">
        <v>160</v>
      </c>
      <c r="D9" s="61" t="s">
        <v>3644</v>
      </c>
      <c r="E9" s="158" t="str">
        <f>HYPERLINK("https://youtu.be/g6KMUMYRKSM?t=2939","channel 2")</f>
        <v>channel 2</v>
      </c>
    </row>
    <row r="10">
      <c r="A10" s="141"/>
      <c r="B10" s="61" t="s">
        <v>1514</v>
      </c>
      <c r="C10" s="57" t="s">
        <v>176</v>
      </c>
      <c r="D10" s="61" t="s">
        <v>3914</v>
      </c>
      <c r="E10" s="11" t="str">
        <f>HYPERLINK("https://youtu.be/GxzAbYd489g?t=2656","channel 4")</f>
        <v>channel 4</v>
      </c>
    </row>
    <row r="11">
      <c r="A11" s="141"/>
      <c r="B11" s="56" t="s">
        <v>3915</v>
      </c>
      <c r="C11" s="57" t="s">
        <v>610</v>
      </c>
      <c r="D11" s="61" t="s">
        <v>3724</v>
      </c>
      <c r="E11" s="158" t="str">
        <f>HYPERLINK("https://youtu.be/g6KMUMYRKSM?t=3911","channel 2")</f>
        <v>channel 2</v>
      </c>
    </row>
    <row r="12">
      <c r="A12" s="141"/>
      <c r="B12" s="61" t="s">
        <v>1514</v>
      </c>
      <c r="C12" s="57" t="s">
        <v>279</v>
      </c>
      <c r="D12" s="61" t="s">
        <v>3644</v>
      </c>
      <c r="E12" s="11" t="str">
        <f>HYPERLINK("https://youtu.be/GxzAbYd489g?t=3493","channel 4")</f>
        <v>channel 4</v>
      </c>
    </row>
    <row r="13">
      <c r="A13" s="141"/>
      <c r="B13" s="61" t="s">
        <v>3644</v>
      </c>
      <c r="C13" s="57" t="s">
        <v>222</v>
      </c>
      <c r="D13" s="61" t="s">
        <v>3914</v>
      </c>
      <c r="E13" s="158" t="str">
        <f>HYPERLINK("https://youtu.be/g6KMUMYRKSM?t=4859","channel 2")</f>
        <v>channel 2</v>
      </c>
    </row>
    <row r="14">
      <c r="A14" s="141"/>
      <c r="B14" s="61" t="s">
        <v>1514</v>
      </c>
      <c r="C14" s="159" t="s">
        <v>20</v>
      </c>
      <c r="D14" s="61" t="s">
        <v>3724</v>
      </c>
      <c r="E14" s="11" t="str">
        <f>HYPERLINK("https://youtu.be/GxzAbYd489g?t=4344","channel 4")</f>
        <v>channel 4</v>
      </c>
    </row>
    <row r="15">
      <c r="A15" s="141"/>
      <c r="B15" s="61" t="s">
        <v>3914</v>
      </c>
      <c r="C15" s="159" t="s">
        <v>381</v>
      </c>
      <c r="D15" s="56" t="s">
        <v>3915</v>
      </c>
      <c r="E15" s="158" t="str">
        <f>HYPERLINK("https://youtu.be/g6KMUMYRKSM?t=5764","channel 2")</f>
        <v>channel 2</v>
      </c>
    </row>
    <row r="16">
      <c r="A16" s="141"/>
      <c r="B16" s="61" t="s">
        <v>3644</v>
      </c>
      <c r="C16" s="57" t="s">
        <v>158</v>
      </c>
      <c r="D16" s="61" t="s">
        <v>3724</v>
      </c>
      <c r="E16" s="11" t="str">
        <f>HYPERLINK("https://youtu.be/GxzAbYd489g?t=5167","channel 4")</f>
        <v>channel 4</v>
      </c>
    </row>
    <row r="17">
      <c r="A17" s="141"/>
      <c r="B17" s="61" t="s">
        <v>1514</v>
      </c>
      <c r="C17" s="57" t="s">
        <v>20</v>
      </c>
      <c r="D17" s="56" t="s">
        <v>3915</v>
      </c>
      <c r="E17" s="158" t="str">
        <f>HYPERLINK("https://youtu.be/g6KMUMYRKSM?t=6643","channel 2")</f>
        <v>channel 2</v>
      </c>
    </row>
    <row r="18">
      <c r="A18" s="141"/>
      <c r="B18" s="61" t="s">
        <v>3914</v>
      </c>
      <c r="C18" s="57" t="s">
        <v>173</v>
      </c>
      <c r="D18" s="61" t="s">
        <v>3724</v>
      </c>
      <c r="E18" s="11" t="str">
        <f>HYPERLINK("https://youtu.be/GxzAbYd489g?t=6071","channel 4")</f>
        <v>channel 4</v>
      </c>
    </row>
    <row r="19">
      <c r="A19" s="141"/>
      <c r="B19" s="61" t="s">
        <v>3644</v>
      </c>
      <c r="C19" s="57" t="s">
        <v>250</v>
      </c>
      <c r="D19" s="56" t="s">
        <v>3915</v>
      </c>
      <c r="E19" s="158" t="str">
        <f>HYPERLINK("https://youtu.be/g6KMUMYRKSM?t=7518","channel 2")</f>
        <v>channel 2</v>
      </c>
    </row>
    <row r="20">
      <c r="A20" s="141"/>
      <c r="B20" s="61" t="s">
        <v>3914</v>
      </c>
      <c r="C20" s="57" t="s">
        <v>366</v>
      </c>
      <c r="D20" s="61" t="s">
        <v>1514</v>
      </c>
      <c r="E20" s="11" t="str">
        <f>HYPERLINK("https://youtu.be/GxzAbYd489g?t=6964","channel 4")</f>
        <v>channel 4</v>
      </c>
    </row>
    <row r="21">
      <c r="A21" s="141"/>
      <c r="B21" s="61" t="s">
        <v>3724</v>
      </c>
      <c r="C21" s="57" t="s">
        <v>218</v>
      </c>
      <c r="D21" s="56" t="s">
        <v>3915</v>
      </c>
      <c r="E21" s="158" t="str">
        <f>HYPERLINK("https://youtu.be/g6KMUMYRKSM?t=8363","channel 2")</f>
        <v>channel 2</v>
      </c>
    </row>
    <row r="22">
      <c r="A22" s="141"/>
      <c r="B22" s="61" t="s">
        <v>3644</v>
      </c>
      <c r="C22" s="57" t="s">
        <v>34</v>
      </c>
      <c r="D22" s="61" t="s">
        <v>1514</v>
      </c>
      <c r="E22" s="11" t="str">
        <f>HYPERLINK("https://youtu.be/GxzAbYd489g?t=7811","channel 4")</f>
        <v>channel 4</v>
      </c>
    </row>
    <row r="23">
      <c r="A23" s="141"/>
      <c r="B23" s="96" t="s">
        <v>2266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3916</v>
      </c>
      <c r="C25" s="57" t="s">
        <v>173</v>
      </c>
      <c r="D25" s="61" t="s">
        <v>3917</v>
      </c>
      <c r="E25" s="158" t="str">
        <f>HYPERLINK("https://youtu.be/yI4DMKEYHQU","channel 2")</f>
        <v>channel 2</v>
      </c>
    </row>
    <row r="26">
      <c r="A26" s="141"/>
      <c r="B26" s="61" t="s">
        <v>3854</v>
      </c>
      <c r="C26" s="57" t="s">
        <v>538</v>
      </c>
      <c r="D26" s="61" t="s">
        <v>332</v>
      </c>
      <c r="E26" s="11" t="str">
        <f>HYPERLINK("https://youtu.be/ypGYQuFJykM","channel 4")</f>
        <v>channel 4</v>
      </c>
    </row>
    <row r="27">
      <c r="A27" s="141"/>
      <c r="B27" s="56" t="s">
        <v>3088</v>
      </c>
      <c r="C27" s="57" t="s">
        <v>208</v>
      </c>
      <c r="D27" s="61" t="s">
        <v>3916</v>
      </c>
      <c r="E27" s="158" t="str">
        <f>HYPERLINK("https://youtu.be/yI4DMKEYHQU?t=941","channel 2")</f>
        <v>channel 2</v>
      </c>
    </row>
    <row r="28">
      <c r="A28" s="141"/>
      <c r="B28" s="61" t="s">
        <v>3854</v>
      </c>
      <c r="C28" s="57" t="s">
        <v>233</v>
      </c>
      <c r="D28" s="61" t="s">
        <v>3917</v>
      </c>
      <c r="E28" s="11" t="str">
        <f>HYPERLINK("https://youtu.be/ypGYQuFJykM?t=1095","channel 4")</f>
        <v>channel 4</v>
      </c>
    </row>
    <row r="29">
      <c r="A29" s="141"/>
      <c r="B29" s="56" t="s">
        <v>3088</v>
      </c>
      <c r="C29" s="57" t="s">
        <v>219</v>
      </c>
      <c r="D29" s="61" t="s">
        <v>332</v>
      </c>
      <c r="E29" s="158" t="str">
        <f>HYPERLINK("https://youtu.be/yI4DMKEYHQU?t=1900","channel 2")</f>
        <v>channel 2</v>
      </c>
    </row>
    <row r="30">
      <c r="A30" s="141"/>
      <c r="B30" s="61" t="s">
        <v>3854</v>
      </c>
      <c r="C30" s="57" t="s">
        <v>164</v>
      </c>
      <c r="D30" s="61" t="s">
        <v>3916</v>
      </c>
      <c r="E30" s="11" t="str">
        <f>HYPERLINK("https://youtu.be/ypGYQuFJykM?t=2155","channel 4")</f>
        <v>channel 4</v>
      </c>
    </row>
    <row r="31">
      <c r="A31" s="141"/>
      <c r="B31" s="56" t="s">
        <v>3088</v>
      </c>
      <c r="C31" s="57" t="s">
        <v>230</v>
      </c>
      <c r="D31" s="61" t="s">
        <v>3917</v>
      </c>
      <c r="E31" s="158" t="str">
        <f>HYPERLINK("https://youtu.be/yI4DMKEYHQU?t=2848","channel 2")</f>
        <v>channel 2</v>
      </c>
    </row>
    <row r="32">
      <c r="A32" s="141"/>
      <c r="B32" s="61" t="s">
        <v>332</v>
      </c>
      <c r="C32" s="57" t="s">
        <v>394</v>
      </c>
      <c r="D32" s="61" t="s">
        <v>3916</v>
      </c>
      <c r="E32" s="11" t="str">
        <f>HYPERLINK("https://youtu.be/ypGYQuFJykM?t=3085","channel 4")</f>
        <v>channel 4</v>
      </c>
    </row>
    <row r="33">
      <c r="A33" s="141"/>
      <c r="B33" s="56" t="s">
        <v>3088</v>
      </c>
      <c r="C33" s="57" t="s">
        <v>324</v>
      </c>
      <c r="D33" s="61" t="s">
        <v>3854</v>
      </c>
      <c r="E33" s="158" t="str">
        <f>HYPERLINK("https://youtu.be/yI4DMKEYHQU?t=3729","channel 2")</f>
        <v>channel 2</v>
      </c>
    </row>
    <row r="34">
      <c r="A34" s="141"/>
      <c r="B34" s="61" t="s">
        <v>332</v>
      </c>
      <c r="C34" s="57" t="s">
        <v>41</v>
      </c>
      <c r="D34" s="61" t="s">
        <v>3917</v>
      </c>
      <c r="E34" s="11" t="str">
        <f>HYPERLINK("https://youtu.be/ypGYQuFJykM?t=4021","channel 4")</f>
        <v>channel 4</v>
      </c>
    </row>
    <row r="35">
      <c r="A35" s="141"/>
      <c r="B35" s="61" t="s">
        <v>3917</v>
      </c>
      <c r="C35" s="57" t="s">
        <v>418</v>
      </c>
      <c r="D35" s="61" t="s">
        <v>3916</v>
      </c>
      <c r="E35" s="158" t="str">
        <f>HYPERLINK("https://youtu.be/yI4DMKEYHQU?t=4857","channel 2")</f>
        <v>channel 2</v>
      </c>
    </row>
    <row r="36">
      <c r="A36" s="141"/>
      <c r="B36" s="61" t="s">
        <v>332</v>
      </c>
      <c r="C36" s="57" t="s">
        <v>222</v>
      </c>
      <c r="D36" s="61" t="s">
        <v>3854</v>
      </c>
      <c r="E36" s="11" t="str">
        <f>HYPERLINK("https://youtu.be/ypGYQuFJykM?t=4980","channel 4")</f>
        <v>channel 4</v>
      </c>
    </row>
    <row r="37">
      <c r="A37" s="141"/>
      <c r="B37" s="61" t="s">
        <v>3916</v>
      </c>
      <c r="C37" s="57" t="s">
        <v>225</v>
      </c>
      <c r="D37" s="56" t="s">
        <v>3088</v>
      </c>
      <c r="E37" s="158" t="str">
        <f>HYPERLINK("https://youtu.be/yI4DMKEYHQU?t=5981","channel 2")</f>
        <v>channel 2</v>
      </c>
    </row>
    <row r="38">
      <c r="A38" s="141"/>
      <c r="B38" s="61" t="s">
        <v>3917</v>
      </c>
      <c r="C38" s="57" t="s">
        <v>323</v>
      </c>
      <c r="D38" s="61" t="s">
        <v>3854</v>
      </c>
      <c r="E38" s="11" t="str">
        <f>HYPERLINK("https://youtu.be/ypGYQuFJykM?t=5970","channel 4")</f>
        <v>channel 4</v>
      </c>
    </row>
    <row r="39">
      <c r="A39" s="141"/>
      <c r="B39" s="61" t="s">
        <v>332</v>
      </c>
      <c r="C39" s="163" t="s">
        <v>352</v>
      </c>
      <c r="D39" s="56" t="s">
        <v>3088</v>
      </c>
      <c r="E39" s="158" t="str">
        <f>HYPERLINK("https://youtu.be/yI4DMKEYHQU?t=6933","channel 2")</f>
        <v>channel 2</v>
      </c>
    </row>
    <row r="40">
      <c r="A40" s="141"/>
      <c r="B40" s="61" t="s">
        <v>3916</v>
      </c>
      <c r="C40" s="57" t="s">
        <v>19</v>
      </c>
      <c r="D40" s="61" t="s">
        <v>3854</v>
      </c>
      <c r="E40" s="11" t="str">
        <f>HYPERLINK("https://youtu.be/ypGYQuFJykM?t=7020","channel 4")</f>
        <v>channel 4</v>
      </c>
    </row>
    <row r="41">
      <c r="A41" s="141"/>
      <c r="B41" s="61" t="s">
        <v>3917</v>
      </c>
      <c r="C41" s="57" t="s">
        <v>248</v>
      </c>
      <c r="D41" s="56" t="s">
        <v>3088</v>
      </c>
      <c r="E41" s="158" t="str">
        <f>HYPERLINK("https://youtu.be/yI4DMKEYHQU?t=7913","channel 2")</f>
        <v>channel 2</v>
      </c>
    </row>
    <row r="42">
      <c r="A42" s="141"/>
      <c r="B42" s="61" t="s">
        <v>3916</v>
      </c>
      <c r="C42" s="57" t="s">
        <v>193</v>
      </c>
      <c r="D42" s="61" t="s">
        <v>332</v>
      </c>
      <c r="E42" s="11" t="str">
        <f>HYPERLINK("https://youtu.be/ypGYQuFJykM?t=7995","channel 4")</f>
        <v>channel 4</v>
      </c>
    </row>
    <row r="43">
      <c r="A43" s="141"/>
      <c r="B43" s="61" t="s">
        <v>3854</v>
      </c>
      <c r="C43" s="57" t="s">
        <v>163</v>
      </c>
      <c r="D43" s="56" t="s">
        <v>3088</v>
      </c>
      <c r="E43" s="158" t="str">
        <f>HYPERLINK("https://youtu.be/yI4DMKEYHQU?t=8919","channel 2")</f>
        <v>channel 2</v>
      </c>
    </row>
    <row r="44">
      <c r="A44" s="141"/>
      <c r="B44" s="61" t="s">
        <v>3917</v>
      </c>
      <c r="C44" s="57" t="s">
        <v>23</v>
      </c>
      <c r="D44" s="61" t="s">
        <v>332</v>
      </c>
      <c r="E44" s="11" t="str">
        <f>HYPERLINK("https://youtu.be/ypGYQuFJykM?t=9015","channel 4")</f>
        <v>channel 4</v>
      </c>
    </row>
    <row r="45">
      <c r="A45" s="141"/>
      <c r="B45" s="96" t="s">
        <v>3105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3822</v>
      </c>
      <c r="C47" s="57" t="s">
        <v>554</v>
      </c>
      <c r="D47" s="61" t="s">
        <v>3918</v>
      </c>
      <c r="E47" s="158" t="str">
        <f>HYPERLINK("https://youtu.be/GgeK-zJaZy8?t=2664","channel 2")</f>
        <v>channel 2</v>
      </c>
    </row>
    <row r="48">
      <c r="A48" s="141"/>
      <c r="B48" s="61" t="s">
        <v>3650</v>
      </c>
      <c r="C48" s="57" t="s">
        <v>554</v>
      </c>
      <c r="D48" s="61" t="s">
        <v>3919</v>
      </c>
      <c r="E48" s="11" t="str">
        <f>HYPERLINK("https://youtu.be/bsg9jBKsv4w?t=2842","channel 4")</f>
        <v>channel 4</v>
      </c>
    </row>
    <row r="49">
      <c r="A49" s="141"/>
      <c r="B49" s="136" t="s">
        <v>3920</v>
      </c>
      <c r="C49" s="94" t="s">
        <v>198</v>
      </c>
      <c r="D49" s="114" t="s">
        <v>3822</v>
      </c>
      <c r="E49" s="158" t="str">
        <f>HYPERLINK("https://youtu.be/GgeK-zJaZy8?t=910","channel 2")</f>
        <v>channel 2</v>
      </c>
    </row>
    <row r="50">
      <c r="A50" s="141"/>
      <c r="B50" s="114" t="s">
        <v>3650</v>
      </c>
      <c r="C50" s="94" t="s">
        <v>17</v>
      </c>
      <c r="D50" s="114" t="s">
        <v>3918</v>
      </c>
      <c r="E50" s="11" t="str">
        <f>HYPERLINK("https://youtu.be/bsg9jBKsv4w?t=967","channel 4")</f>
        <v>channel 4</v>
      </c>
    </row>
    <row r="51">
      <c r="A51" s="141"/>
      <c r="B51" s="56" t="s">
        <v>3920</v>
      </c>
      <c r="C51" s="57" t="s">
        <v>17</v>
      </c>
      <c r="D51" s="61" t="s">
        <v>3919</v>
      </c>
      <c r="E51" s="158" t="str">
        <f>HYPERLINK("https://youtu.be/GgeK-zJaZy8?t=3599","channel 2")</f>
        <v>channel 2</v>
      </c>
    </row>
    <row r="52">
      <c r="A52" s="141"/>
      <c r="B52" s="61" t="s">
        <v>3650</v>
      </c>
      <c r="C52" s="57" t="s">
        <v>175</v>
      </c>
      <c r="D52" s="61" t="s">
        <v>3822</v>
      </c>
      <c r="E52" s="11" t="str">
        <f>HYPERLINK("https://youtu.be/bsg9jBKsv4w?t=3842","channel 4")</f>
        <v>channel 4</v>
      </c>
    </row>
    <row r="53">
      <c r="A53" s="141"/>
      <c r="B53" s="56" t="s">
        <v>3920</v>
      </c>
      <c r="C53" s="57" t="s">
        <v>38</v>
      </c>
      <c r="D53" s="61" t="s">
        <v>3918</v>
      </c>
      <c r="E53" s="158" t="str">
        <f>HYPERLINK("https://youtu.be/GgeK-zJaZy8?t=4629","channel 2")</f>
        <v>channel 2</v>
      </c>
    </row>
    <row r="54">
      <c r="A54" s="141"/>
      <c r="B54" s="61" t="s">
        <v>3919</v>
      </c>
      <c r="C54" s="57" t="s">
        <v>176</v>
      </c>
      <c r="D54" s="61" t="s">
        <v>3822</v>
      </c>
      <c r="E54" s="11" t="str">
        <f>HYPERLINK("https://youtu.be/bsg9jBKsv4w?t=4853","channel 4")</f>
        <v>channel 4</v>
      </c>
    </row>
    <row r="55">
      <c r="A55" s="141"/>
      <c r="B55" s="56" t="s">
        <v>3920</v>
      </c>
      <c r="C55" s="57" t="s">
        <v>549</v>
      </c>
      <c r="D55" s="61" t="s">
        <v>3650</v>
      </c>
      <c r="E55" s="158" t="str">
        <f>HYPERLINK("https://youtu.be/GgeK-zJaZy8?t=5549","channel 2")</f>
        <v>channel 2</v>
      </c>
    </row>
    <row r="56">
      <c r="A56" s="141"/>
      <c r="B56" s="61" t="s">
        <v>3919</v>
      </c>
      <c r="C56" s="57" t="s">
        <v>43</v>
      </c>
      <c r="D56" s="61" t="s">
        <v>3918</v>
      </c>
      <c r="E56" s="11" t="str">
        <f>HYPERLINK("https://youtu.be/bsg9jBKsv4w?t=5742","channel 4")</f>
        <v>channel 4</v>
      </c>
    </row>
    <row r="57">
      <c r="A57" s="141"/>
      <c r="B57" s="61" t="s">
        <v>3918</v>
      </c>
      <c r="C57" s="57" t="s">
        <v>24</v>
      </c>
      <c r="D57" s="61" t="s">
        <v>3822</v>
      </c>
      <c r="E57" s="158" t="str">
        <f>HYPERLINK("https://youtu.be/GgeK-zJaZy8?t=6443","channel 2")</f>
        <v>channel 2</v>
      </c>
    </row>
    <row r="58">
      <c r="A58" s="141"/>
      <c r="B58" s="61" t="s">
        <v>3919</v>
      </c>
      <c r="C58" s="57" t="s">
        <v>14</v>
      </c>
      <c r="D58" s="61" t="s">
        <v>3650</v>
      </c>
      <c r="E58" s="11" t="str">
        <f>HYPERLINK("https://youtu.be/bsg9jBKsv4w?t=6631","channel 4")</f>
        <v>channel 4</v>
      </c>
    </row>
    <row r="59">
      <c r="A59" s="141"/>
      <c r="B59" s="114" t="s">
        <v>3822</v>
      </c>
      <c r="C59" s="94" t="s">
        <v>181</v>
      </c>
      <c r="D59" s="136" t="s">
        <v>3920</v>
      </c>
      <c r="E59" s="158" t="str">
        <f>HYPERLINK("https://youtu.be/GgeK-zJaZy8?t=1706","channel 2")</f>
        <v>channel 2</v>
      </c>
    </row>
    <row r="60">
      <c r="A60" s="141"/>
      <c r="B60" s="114" t="s">
        <v>3918</v>
      </c>
      <c r="C60" s="94" t="s">
        <v>36</v>
      </c>
      <c r="D60" s="114" t="s">
        <v>3650</v>
      </c>
      <c r="E60" s="11" t="str">
        <f>HYPERLINK("https://youtu.be/bsg9jBKsv4w?t=1877","channel 4")</f>
        <v>channel 4</v>
      </c>
    </row>
    <row r="61">
      <c r="A61" s="141"/>
      <c r="B61" s="61" t="s">
        <v>3919</v>
      </c>
      <c r="C61" s="57" t="s">
        <v>193</v>
      </c>
      <c r="D61" s="56" t="s">
        <v>3920</v>
      </c>
      <c r="E61" s="158" t="str">
        <f>HYPERLINK("https://youtu.be/GgeK-zJaZy8?t=7401","channel 2")</f>
        <v>channel 2</v>
      </c>
    </row>
    <row r="62">
      <c r="A62" s="141"/>
      <c r="B62" s="61" t="s">
        <v>3822</v>
      </c>
      <c r="C62" s="45" t="s">
        <v>280</v>
      </c>
      <c r="D62" s="61" t="s">
        <v>3650</v>
      </c>
      <c r="E62" s="11" t="str">
        <f>HYPERLINK("https://youtu.be/bsg9jBKsv4w?t=7498","channel 4")</f>
        <v>channel 4</v>
      </c>
      <c r="G62" s="50"/>
    </row>
    <row r="63">
      <c r="A63" s="141"/>
      <c r="B63" s="61" t="s">
        <v>3918</v>
      </c>
      <c r="C63" s="57" t="s">
        <v>998</v>
      </c>
      <c r="D63" s="56" t="s">
        <v>3920</v>
      </c>
      <c r="E63" s="158" t="str">
        <f>HYPERLINK("https://youtu.be/GgeK-zJaZy8?t=8318","channel 2")</f>
        <v>channel 2</v>
      </c>
    </row>
    <row r="64">
      <c r="A64" s="141"/>
      <c r="B64" s="61" t="s">
        <v>3822</v>
      </c>
      <c r="C64" s="57" t="s">
        <v>419</v>
      </c>
      <c r="D64" s="61" t="s">
        <v>3919</v>
      </c>
      <c r="E64" s="11" t="str">
        <f>HYPERLINK("https://youtu.be/bsg9jBKsv4w?t=8459","channel 4")</f>
        <v>channel 4</v>
      </c>
    </row>
    <row r="65">
      <c r="A65" s="141"/>
      <c r="B65" s="61" t="s">
        <v>3650</v>
      </c>
      <c r="C65" s="57" t="s">
        <v>3921</v>
      </c>
      <c r="D65" s="56" t="s">
        <v>3920</v>
      </c>
      <c r="E65" s="158" t="str">
        <f>HYPERLINK("https://youtu.be/GgeK-zJaZy8?t=9276","channel 2")</f>
        <v>channel 2</v>
      </c>
    </row>
    <row r="66">
      <c r="A66" s="141"/>
      <c r="B66" s="61" t="s">
        <v>3918</v>
      </c>
      <c r="C66" s="57" t="s">
        <v>352</v>
      </c>
      <c r="D66" s="61" t="s">
        <v>3919</v>
      </c>
      <c r="E66" s="11" t="str">
        <f>HYPERLINK("https://youtu.be/bsg9jBKsv4w?t=9364","channel 4")</f>
        <v>channel 4</v>
      </c>
    </row>
    <row r="67">
      <c r="A67" s="141"/>
      <c r="B67" s="160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3922</v>
      </c>
      <c r="C69" s="57" t="s">
        <v>289</v>
      </c>
      <c r="D69" s="61" t="s">
        <v>3271</v>
      </c>
      <c r="E69" s="158" t="str">
        <f>HYPERLINK("https://youtu.be/xCPf9WHqaFM","channel 2")</f>
        <v>channel 2</v>
      </c>
    </row>
    <row r="70">
      <c r="A70" s="141"/>
      <c r="B70" s="61" t="s">
        <v>3923</v>
      </c>
      <c r="C70" s="57" t="s">
        <v>525</v>
      </c>
      <c r="D70" s="61" t="s">
        <v>3924</v>
      </c>
      <c r="E70" s="11" t="str">
        <f>HYPERLINK("https://youtu.be/Ii7SBT9Lq6c","channel 4")</f>
        <v>channel 4</v>
      </c>
    </row>
    <row r="71">
      <c r="A71" s="141"/>
      <c r="B71" s="56" t="s">
        <v>3715</v>
      </c>
      <c r="C71" s="57" t="s">
        <v>651</v>
      </c>
      <c r="D71" s="61" t="s">
        <v>3922</v>
      </c>
      <c r="E71" s="158" t="str">
        <f>HYPERLINK("https://youtu.be/xCPf9WHqaFM?t=1088","channel 2")</f>
        <v>channel 2</v>
      </c>
    </row>
    <row r="72">
      <c r="A72" s="141"/>
      <c r="B72" s="61" t="s">
        <v>3923</v>
      </c>
      <c r="C72" s="57" t="s">
        <v>440</v>
      </c>
      <c r="D72" s="61" t="s">
        <v>3271</v>
      </c>
      <c r="E72" s="11" t="str">
        <f>HYPERLINK("https://youtu.be/Ii7SBT9Lq6c?t=1172","channel 4")</f>
        <v>channel 4</v>
      </c>
    </row>
    <row r="73">
      <c r="A73" s="141"/>
      <c r="B73" s="56" t="s">
        <v>3715</v>
      </c>
      <c r="C73" s="57" t="s">
        <v>570</v>
      </c>
      <c r="D73" s="61" t="s">
        <v>3924</v>
      </c>
      <c r="E73" s="158" t="str">
        <f>HYPERLINK("https://youtu.be/xCPf9WHqaFM?t=2020","channel 2")</f>
        <v>channel 2</v>
      </c>
    </row>
    <row r="74">
      <c r="A74" s="141"/>
      <c r="B74" s="61" t="s">
        <v>3923</v>
      </c>
      <c r="C74" s="57" t="s">
        <v>3925</v>
      </c>
      <c r="D74" s="61" t="s">
        <v>3922</v>
      </c>
      <c r="E74" s="11" t="str">
        <f>HYPERLINK("https://youtu.be/Ii7SBT9Lq6c?t=2158","channel 4")</f>
        <v>channel 4</v>
      </c>
      <c r="G74" s="50"/>
    </row>
    <row r="75">
      <c r="A75" s="141"/>
      <c r="B75" s="56" t="s">
        <v>3715</v>
      </c>
      <c r="C75" s="57" t="s">
        <v>1015</v>
      </c>
      <c r="D75" s="61" t="s">
        <v>3271</v>
      </c>
      <c r="E75" s="158" t="str">
        <f>HYPERLINK("https://youtu.be/xCPf9WHqaFM?t=3017","channel 2")</f>
        <v>channel 2</v>
      </c>
    </row>
    <row r="76">
      <c r="A76" s="141"/>
      <c r="B76" s="61" t="s">
        <v>3924</v>
      </c>
      <c r="C76" s="57" t="s">
        <v>176</v>
      </c>
      <c r="D76" s="61" t="s">
        <v>3922</v>
      </c>
      <c r="E76" s="11" t="str">
        <f>HYPERLINK("https://youtu.be/Ii7SBT9Lq6c?t=3177","channel 4")</f>
        <v>channel 4</v>
      </c>
    </row>
    <row r="77">
      <c r="A77" s="141"/>
      <c r="B77" s="56" t="s">
        <v>3715</v>
      </c>
      <c r="C77" s="57" t="s">
        <v>2835</v>
      </c>
      <c r="D77" s="61" t="s">
        <v>3923</v>
      </c>
      <c r="E77" s="158" t="str">
        <f>HYPERLINK("https://youtu.be/xCPf9WHqaFM?t=3987","channel 2")</f>
        <v>channel 2</v>
      </c>
    </row>
    <row r="78">
      <c r="A78" s="141"/>
      <c r="B78" s="61" t="s">
        <v>3924</v>
      </c>
      <c r="C78" s="94" t="s">
        <v>7</v>
      </c>
      <c r="D78" s="61" t="s">
        <v>3271</v>
      </c>
      <c r="E78" s="11" t="str">
        <f>HYPERLINK("https://youtu.be/Ii7SBT9Lq6c?t=4082","channel 4")</f>
        <v>channel 4</v>
      </c>
    </row>
    <row r="79">
      <c r="A79" s="141"/>
      <c r="B79" s="61" t="s">
        <v>3271</v>
      </c>
      <c r="C79" s="57" t="s">
        <v>185</v>
      </c>
      <c r="D79" s="61" t="s">
        <v>3922</v>
      </c>
      <c r="E79" s="158" t="str">
        <f>HYPERLINK("https://youtu.be/xCPf9WHqaFM?t=4984","channel 2")</f>
        <v>channel 2</v>
      </c>
    </row>
    <row r="80">
      <c r="A80" s="141"/>
      <c r="B80" s="61" t="s">
        <v>3924</v>
      </c>
      <c r="C80" s="57" t="s">
        <v>911</v>
      </c>
      <c r="D80" s="61" t="s">
        <v>3923</v>
      </c>
      <c r="E80" s="11" t="str">
        <f>HYPERLINK("https://youtu.be/Ii7SBT9Lq6c?t=5132","channel 4")</f>
        <v>channel 4</v>
      </c>
    </row>
    <row r="81">
      <c r="A81" s="141"/>
      <c r="B81" s="61" t="s">
        <v>3922</v>
      </c>
      <c r="C81" s="57" t="s">
        <v>380</v>
      </c>
      <c r="D81" s="56" t="s">
        <v>3715</v>
      </c>
      <c r="E81" s="158" t="str">
        <f>HYPERLINK("https://youtu.be/xCPf9WHqaFM?t=6009","channel 2")</f>
        <v>channel 2</v>
      </c>
    </row>
    <row r="82">
      <c r="A82" s="141"/>
      <c r="B82" s="61" t="s">
        <v>3271</v>
      </c>
      <c r="C82" s="57" t="s">
        <v>17</v>
      </c>
      <c r="D82" s="61" t="s">
        <v>3923</v>
      </c>
      <c r="E82" s="11" t="str">
        <f>HYPERLINK("https://youtu.be/Ii7SBT9Lq6c?t=6132","channel 4")</f>
        <v>channel 4</v>
      </c>
    </row>
    <row r="83">
      <c r="A83" s="141"/>
      <c r="B83" s="61" t="s">
        <v>3924</v>
      </c>
      <c r="C83" s="57" t="s">
        <v>184</v>
      </c>
      <c r="D83" s="56" t="s">
        <v>3715</v>
      </c>
      <c r="E83" s="158" t="str">
        <f>HYPERLINK("https://youtu.be/xCPf9WHqaFM?t=6982","channel 2")</f>
        <v>channel 2</v>
      </c>
    </row>
    <row r="84">
      <c r="A84" s="141"/>
      <c r="B84" s="61" t="s">
        <v>3922</v>
      </c>
      <c r="C84" s="57" t="s">
        <v>2876</v>
      </c>
      <c r="D84" s="61" t="s">
        <v>3923</v>
      </c>
      <c r="E84" s="11" t="str">
        <f>HYPERLINK("https://youtu.be/Ii7SBT9Lq6c?t=7180","channel 4")</f>
        <v>channel 4</v>
      </c>
    </row>
    <row r="85">
      <c r="A85" s="141"/>
      <c r="B85" s="61" t="s">
        <v>3271</v>
      </c>
      <c r="C85" s="57" t="s">
        <v>3926</v>
      </c>
      <c r="D85" s="56" t="s">
        <v>3715</v>
      </c>
      <c r="E85" s="158" t="str">
        <f>HYPERLINK("https://youtu.be/xCPf9WHqaFM?t=7901","channel 2")</f>
        <v>channel 2</v>
      </c>
    </row>
    <row r="86">
      <c r="A86" s="141"/>
      <c r="B86" s="61" t="s">
        <v>3922</v>
      </c>
      <c r="C86" s="57" t="s">
        <v>309</v>
      </c>
      <c r="D86" s="61" t="s">
        <v>3924</v>
      </c>
      <c r="E86" s="11" t="str">
        <f>HYPERLINK("https://youtu.be/Ii7SBT9Lq6c?t=8072","channel 4")</f>
        <v>channel 4</v>
      </c>
    </row>
    <row r="87">
      <c r="A87" s="141"/>
      <c r="B87" s="61" t="s">
        <v>3923</v>
      </c>
      <c r="C87" s="57" t="s">
        <v>324</v>
      </c>
      <c r="D87" s="56" t="s">
        <v>3715</v>
      </c>
      <c r="E87" s="158" t="str">
        <f>HYPERLINK("https://youtu.be/xCPf9WHqaFM?t=8843","channel 2")</f>
        <v>channel 2</v>
      </c>
    </row>
    <row r="88">
      <c r="A88" s="141"/>
      <c r="B88" s="61" t="s">
        <v>3271</v>
      </c>
      <c r="C88" s="57" t="s">
        <v>16</v>
      </c>
      <c r="D88" s="61" t="s">
        <v>3924</v>
      </c>
      <c r="E88" s="11" t="str">
        <f>HYPERLINK("https://youtu.be/Ii7SBT9Lq6c?t=8974","channel 4")</f>
        <v>channel 4</v>
      </c>
    </row>
    <row r="89">
      <c r="A89" s="141"/>
      <c r="B89" s="96" t="s">
        <v>2674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3856</v>
      </c>
      <c r="C91" s="57" t="s">
        <v>301</v>
      </c>
      <c r="D91" s="61" t="s">
        <v>2314</v>
      </c>
      <c r="E91" s="158" t="str">
        <f>HYPERLINK("https://youtu.be/YR51g0pEjx8","channel 2")</f>
        <v>channel 2</v>
      </c>
    </row>
    <row r="92">
      <c r="A92" s="141"/>
      <c r="B92" s="61" t="s">
        <v>3028</v>
      </c>
      <c r="C92" s="57" t="s">
        <v>36</v>
      </c>
      <c r="D92" s="61" t="s">
        <v>1967</v>
      </c>
      <c r="E92" s="11" t="str">
        <f>HYPERLINK("https://youtu.be/2e2W9ppWmZU","channel 4")</f>
        <v>channel 4</v>
      </c>
    </row>
    <row r="93">
      <c r="A93" s="141"/>
      <c r="B93" s="61" t="s">
        <v>3927</v>
      </c>
      <c r="C93" s="57" t="s">
        <v>196</v>
      </c>
      <c r="D93" s="61" t="s">
        <v>3856</v>
      </c>
      <c r="E93" s="158" t="str">
        <f>HYPERLINK("https://youtu.be/YR51g0pEjx8?t=937","channel 2")</f>
        <v>channel 2</v>
      </c>
    </row>
    <row r="94">
      <c r="A94" s="141"/>
      <c r="B94" s="61" t="s">
        <v>3028</v>
      </c>
      <c r="C94" s="57" t="s">
        <v>232</v>
      </c>
      <c r="D94" s="61" t="s">
        <v>2314</v>
      </c>
      <c r="E94" s="11" t="str">
        <f>HYPERLINK("https://youtu.be/2e2W9ppWmZU?t=1159","channel 4")</f>
        <v>channel 4</v>
      </c>
    </row>
    <row r="95">
      <c r="A95" s="141"/>
      <c r="B95" s="61" t="s">
        <v>3927</v>
      </c>
      <c r="C95" s="54" t="s">
        <v>20</v>
      </c>
      <c r="D95" s="61" t="s">
        <v>1967</v>
      </c>
      <c r="E95" s="158" t="str">
        <f>HYPERLINK("https://youtu.be/YR51g0pEjx8?t=1823","channel 2")</f>
        <v>channel 2</v>
      </c>
    </row>
    <row r="96">
      <c r="A96" s="141"/>
      <c r="B96" s="61" t="s">
        <v>3028</v>
      </c>
      <c r="C96" s="57" t="s">
        <v>164</v>
      </c>
      <c r="D96" s="61" t="s">
        <v>3856</v>
      </c>
      <c r="E96" s="11" t="str">
        <f>HYPERLINK("https://youtu.be/2e2W9ppWmZU?t=2034","channel 4")</f>
        <v>channel 4</v>
      </c>
    </row>
    <row r="97">
      <c r="A97" s="141"/>
      <c r="B97" s="61" t="s">
        <v>3927</v>
      </c>
      <c r="C97" s="57" t="s">
        <v>18</v>
      </c>
      <c r="D97" s="61" t="s">
        <v>2314</v>
      </c>
      <c r="E97" s="158" t="str">
        <f>HYPERLINK("https://youtu.be/YR51g0pEjx8?t=2745","channel 2")</f>
        <v>channel 2</v>
      </c>
    </row>
    <row r="98">
      <c r="A98" s="141"/>
      <c r="B98" s="61" t="s">
        <v>1967</v>
      </c>
      <c r="C98" s="57" t="s">
        <v>18</v>
      </c>
      <c r="D98" s="61" t="s">
        <v>3856</v>
      </c>
      <c r="E98" s="11" t="str">
        <f>HYPERLINK("https://youtu.be/2e2W9ppWmZU?t=2936","channel 4")</f>
        <v>channel 4</v>
      </c>
    </row>
    <row r="99">
      <c r="A99" s="141"/>
      <c r="B99" s="61" t="s">
        <v>3927</v>
      </c>
      <c r="C99" s="57" t="s">
        <v>218</v>
      </c>
      <c r="D99" s="61" t="s">
        <v>3028</v>
      </c>
      <c r="E99" s="158" t="str">
        <f>HYPERLINK("https://youtu.be/YR51g0pEjx8?t=3655","channel 2")</f>
        <v>channel 2</v>
      </c>
    </row>
    <row r="100">
      <c r="A100" s="141"/>
      <c r="B100" s="61" t="s">
        <v>1967</v>
      </c>
      <c r="C100" s="57" t="s">
        <v>225</v>
      </c>
      <c r="D100" s="61" t="s">
        <v>2314</v>
      </c>
      <c r="E100" s="11" t="str">
        <f>HYPERLINK("https://youtu.be/2e2W9ppWmZU?t=3842","channel 4")</f>
        <v>channel 4</v>
      </c>
    </row>
    <row r="101">
      <c r="A101" s="141"/>
      <c r="B101" s="61" t="s">
        <v>2314</v>
      </c>
      <c r="C101" s="57" t="s">
        <v>193</v>
      </c>
      <c r="D101" s="61" t="s">
        <v>3856</v>
      </c>
      <c r="E101" s="158" t="str">
        <f>HYPERLINK("https://youtu.be/YR51g0pEjx8?t=4619","channel 2")</f>
        <v>channel 2</v>
      </c>
    </row>
    <row r="102">
      <c r="A102" s="141"/>
      <c r="B102" s="61" t="s">
        <v>1967</v>
      </c>
      <c r="C102" s="57" t="s">
        <v>278</v>
      </c>
      <c r="D102" s="61" t="s">
        <v>3028</v>
      </c>
      <c r="E102" s="11" t="str">
        <f>HYPERLINK("https://youtu.be/2e2W9ppWmZU?t=4821","channel 4")</f>
        <v>channel 4</v>
      </c>
    </row>
    <row r="103">
      <c r="A103" s="141"/>
      <c r="B103" s="61" t="s">
        <v>3856</v>
      </c>
      <c r="C103" s="57" t="s">
        <v>248</v>
      </c>
      <c r="D103" s="61" t="s">
        <v>3927</v>
      </c>
      <c r="E103" s="158" t="str">
        <f>HYPERLINK("https://youtu.be/YR51g0pEjx8?t=5559","channel 2")</f>
        <v>channel 2</v>
      </c>
    </row>
    <row r="104">
      <c r="A104" s="141"/>
      <c r="B104" s="61" t="s">
        <v>2314</v>
      </c>
      <c r="C104" s="57" t="s">
        <v>1186</v>
      </c>
      <c r="D104" s="61" t="s">
        <v>3028</v>
      </c>
      <c r="E104" s="11" t="str">
        <f>HYPERLINK("https://youtu.be/2e2W9ppWmZU?t=5729","channel 4")</f>
        <v>channel 4</v>
      </c>
    </row>
    <row r="105">
      <c r="A105" s="141"/>
      <c r="B105" s="61" t="s">
        <v>1967</v>
      </c>
      <c r="C105" s="57" t="s">
        <v>545</v>
      </c>
      <c r="D105" s="61" t="s">
        <v>3927</v>
      </c>
      <c r="E105" s="158" t="str">
        <f>HYPERLINK("https://youtu.be/YR51g0pEjx8?t=6644","channel 2")</f>
        <v>channel 2</v>
      </c>
    </row>
    <row r="106">
      <c r="A106" s="141"/>
      <c r="B106" s="61" t="s">
        <v>3856</v>
      </c>
      <c r="C106" s="57" t="s">
        <v>545</v>
      </c>
      <c r="D106" s="61" t="s">
        <v>3028</v>
      </c>
      <c r="E106" s="11" t="str">
        <f>HYPERLINK("https://youtu.be/2e2W9ppWmZU?t=6818","channel 4")</f>
        <v>channel 4</v>
      </c>
    </row>
    <row r="107">
      <c r="A107" s="141"/>
      <c r="B107" s="61" t="s">
        <v>2314</v>
      </c>
      <c r="C107" s="57" t="s">
        <v>271</v>
      </c>
      <c r="D107" s="61" t="s">
        <v>3927</v>
      </c>
      <c r="E107" s="158" t="str">
        <f>HYPERLINK("https://youtu.be/YR51g0pEjx8?t=7558","channel 2")</f>
        <v>channel 2</v>
      </c>
    </row>
    <row r="108">
      <c r="A108" s="141"/>
      <c r="B108" s="61" t="s">
        <v>3856</v>
      </c>
      <c r="C108" s="57" t="s">
        <v>158</v>
      </c>
      <c r="D108" s="61" t="s">
        <v>1967</v>
      </c>
      <c r="E108" s="11" t="str">
        <f>HYPERLINK("https://youtu.be/2e2W9ppWmZU?t=7717","channel 4")</f>
        <v>channel 4</v>
      </c>
    </row>
    <row r="109">
      <c r="A109" s="141"/>
      <c r="B109" s="61" t="s">
        <v>3028</v>
      </c>
      <c r="C109" s="57" t="s">
        <v>161</v>
      </c>
      <c r="D109" s="61" t="s">
        <v>3927</v>
      </c>
      <c r="E109" s="158" t="str">
        <f>HYPERLINK("https://youtu.be/YR51g0pEjx8?t=8519","channel 2")</f>
        <v>channel 2</v>
      </c>
    </row>
    <row r="110">
      <c r="A110" s="141"/>
      <c r="B110" s="61" t="s">
        <v>2314</v>
      </c>
      <c r="C110" s="57" t="s">
        <v>187</v>
      </c>
      <c r="D110" s="61" t="s">
        <v>1967</v>
      </c>
      <c r="E110" s="11" t="str">
        <f>HYPERLINK("https://youtu.be/2e2W9ppWmZU?t=8614","channel 4")</f>
        <v>channel 4</v>
      </c>
    </row>
    <row r="111">
      <c r="A111" s="141"/>
      <c r="B111" s="96" t="s">
        <v>2304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142" t="s">
        <v>3337</v>
      </c>
      <c r="C113" s="57" t="s">
        <v>17</v>
      </c>
      <c r="D113" s="61" t="s">
        <v>1659</v>
      </c>
      <c r="E113" s="158" t="str">
        <f>HYPERLINK("https://youtu.be/e_F5bSS6D9c","channel 2")</f>
        <v>channel 2</v>
      </c>
    </row>
    <row r="114">
      <c r="A114" s="141"/>
      <c r="B114" s="61" t="s">
        <v>3928</v>
      </c>
      <c r="C114" s="57" t="s">
        <v>394</v>
      </c>
      <c r="D114" s="61" t="s">
        <v>3865</v>
      </c>
      <c r="E114" s="11" t="str">
        <f>HYPERLINK("https://youtu.be/1PLKyyPW1Ic","channel 4")</f>
        <v>channel 4</v>
      </c>
    </row>
    <row r="115">
      <c r="A115" s="141"/>
      <c r="B115" s="61" t="s">
        <v>2170</v>
      </c>
      <c r="C115" s="57" t="s">
        <v>251</v>
      </c>
      <c r="D115" s="61" t="s">
        <v>3337</v>
      </c>
      <c r="E115" s="158" t="str">
        <f>HYPERLINK("https://youtu.be/e_F5bSS6D9c?t=947","channel 2")</f>
        <v>channel 2</v>
      </c>
    </row>
    <row r="116">
      <c r="A116" s="141"/>
      <c r="B116" s="61" t="s">
        <v>3928</v>
      </c>
      <c r="C116" s="57" t="s">
        <v>185</v>
      </c>
      <c r="D116" s="61" t="s">
        <v>1659</v>
      </c>
      <c r="E116" s="11" t="str">
        <f>HYPERLINK("https://youtu.be/1PLKyyPW1Ic?t=1112","channel 4")</f>
        <v>channel 4</v>
      </c>
    </row>
    <row r="117">
      <c r="A117" s="141"/>
      <c r="B117" s="61" t="s">
        <v>2170</v>
      </c>
      <c r="C117" s="57" t="s">
        <v>21</v>
      </c>
      <c r="D117" s="61" t="s">
        <v>3865</v>
      </c>
      <c r="E117" s="158" t="str">
        <f>HYPERLINK("https://youtu.be/e_F5bSS6D9c?t=1857","channel 2")</f>
        <v>channel 2</v>
      </c>
    </row>
    <row r="118">
      <c r="A118" s="141"/>
      <c r="B118" s="61" t="s">
        <v>3928</v>
      </c>
      <c r="C118" s="57" t="s">
        <v>43</v>
      </c>
      <c r="D118" s="61" t="s">
        <v>3337</v>
      </c>
      <c r="E118" s="11" t="str">
        <f>HYPERLINK("https://youtu.be/1PLKyyPW1Ic?t=2003","channel 4")</f>
        <v>channel 4</v>
      </c>
    </row>
    <row r="119">
      <c r="A119" s="141"/>
      <c r="B119" s="61" t="s">
        <v>2170</v>
      </c>
      <c r="C119" s="57" t="s">
        <v>19</v>
      </c>
      <c r="D119" s="61" t="s">
        <v>1659</v>
      </c>
      <c r="E119" s="158" t="str">
        <f>HYPERLINK("https://youtu.be/e_F5bSS6D9c?t=2778","channel 2")</f>
        <v>channel 2</v>
      </c>
    </row>
    <row r="120">
      <c r="A120" s="141"/>
      <c r="B120" s="61" t="s">
        <v>3865</v>
      </c>
      <c r="C120" s="57" t="s">
        <v>301</v>
      </c>
      <c r="D120" s="61" t="s">
        <v>3337</v>
      </c>
      <c r="E120" s="11" t="str">
        <f>HYPERLINK("https://youtu.be/1PLKyyPW1Ic?t=2923","channel 4")</f>
        <v>channel 4</v>
      </c>
    </row>
    <row r="121">
      <c r="A121" s="141"/>
      <c r="B121" s="61" t="s">
        <v>2170</v>
      </c>
      <c r="C121" s="57" t="s">
        <v>7</v>
      </c>
      <c r="D121" s="61" t="s">
        <v>3928</v>
      </c>
      <c r="E121" s="158" t="str">
        <f>HYPERLINK("https://youtu.be/e_F5bSS6D9c?t=3684","channel 2")</f>
        <v>channel 2</v>
      </c>
    </row>
    <row r="122">
      <c r="A122" s="141"/>
      <c r="B122" s="61" t="s">
        <v>3865</v>
      </c>
      <c r="C122" s="57" t="s">
        <v>357</v>
      </c>
      <c r="D122" s="61" t="s">
        <v>1659</v>
      </c>
      <c r="E122" s="11" t="str">
        <f>HYPERLINK("https://youtu.be/1PLKyyPW1Ic?t=3831","channel 4")</f>
        <v>channel 4</v>
      </c>
    </row>
    <row r="123">
      <c r="A123" s="141"/>
      <c r="B123" s="61" t="s">
        <v>1659</v>
      </c>
      <c r="C123" s="57" t="s">
        <v>41</v>
      </c>
      <c r="D123" s="61" t="s">
        <v>3337</v>
      </c>
      <c r="E123" s="158" t="str">
        <f>HYPERLINK("https://youtu.be/e_F5bSS6D9c?t=4589","channel 2")</f>
        <v>channel 2</v>
      </c>
    </row>
    <row r="124">
      <c r="A124" s="141"/>
      <c r="B124" s="61" t="s">
        <v>3865</v>
      </c>
      <c r="C124" s="57" t="s">
        <v>1255</v>
      </c>
      <c r="D124" s="61" t="s">
        <v>3928</v>
      </c>
      <c r="E124" s="11" t="str">
        <f>HYPERLINK("https://youtu.be/1PLKyyPW1Ic?t=4764","channel 4")</f>
        <v>channel 4</v>
      </c>
    </row>
    <row r="125">
      <c r="A125" s="141"/>
      <c r="B125" s="61" t="s">
        <v>3337</v>
      </c>
      <c r="C125" s="57" t="s">
        <v>324</v>
      </c>
      <c r="D125" s="61" t="s">
        <v>2170</v>
      </c>
      <c r="E125" s="158" t="str">
        <f>HYPERLINK("https://youtu.be/e_F5bSS6D9c?t=5489","channel 2")</f>
        <v>channel 2</v>
      </c>
    </row>
    <row r="126">
      <c r="A126" s="141"/>
      <c r="B126" s="61" t="s">
        <v>1659</v>
      </c>
      <c r="C126" s="57" t="s">
        <v>316</v>
      </c>
      <c r="D126" s="61" t="s">
        <v>3928</v>
      </c>
      <c r="E126" s="11" t="str">
        <f>HYPERLINK("https://youtu.be/1PLKyyPW1Ic?t=5669","channel 4")</f>
        <v>channel 4</v>
      </c>
    </row>
    <row r="127">
      <c r="A127" s="141"/>
      <c r="B127" s="61" t="s">
        <v>3865</v>
      </c>
      <c r="C127" s="57" t="s">
        <v>419</v>
      </c>
      <c r="D127" s="61" t="s">
        <v>2170</v>
      </c>
      <c r="E127" s="158" t="str">
        <f>HYPERLINK("https://youtu.be/e_F5bSS6D9c?t=6491","channel 2")</f>
        <v>channel 2</v>
      </c>
    </row>
    <row r="128">
      <c r="A128" s="141"/>
      <c r="B128" s="61" t="s">
        <v>3337</v>
      </c>
      <c r="C128" s="57" t="s">
        <v>298</v>
      </c>
      <c r="D128" s="61" t="s">
        <v>3928</v>
      </c>
      <c r="E128" s="11" t="str">
        <f>HYPERLINK("https://youtu.be/1PLKyyPW1Ic?t=6675","channel 4")</f>
        <v>channel 4</v>
      </c>
    </row>
    <row r="129">
      <c r="A129" s="141"/>
      <c r="B129" s="61" t="s">
        <v>1659</v>
      </c>
      <c r="C129" s="57" t="s">
        <v>165</v>
      </c>
      <c r="D129" s="61" t="s">
        <v>2170</v>
      </c>
      <c r="E129" s="158" t="str">
        <f>HYPERLINK("https://youtu.be/e_F5bSS6D9c?t=7454","channel 2")</f>
        <v>channel 2</v>
      </c>
    </row>
    <row r="130">
      <c r="A130" s="141"/>
      <c r="B130" s="61" t="s">
        <v>3337</v>
      </c>
      <c r="C130" s="57" t="s">
        <v>184</v>
      </c>
      <c r="D130" s="61" t="s">
        <v>3865</v>
      </c>
      <c r="E130" s="11" t="str">
        <f>HYPERLINK("https://youtu.be/1PLKyyPW1Ic?t=7648","channel 4")</f>
        <v>channel 4</v>
      </c>
    </row>
    <row r="131">
      <c r="A131" s="141"/>
      <c r="B131" s="61" t="s">
        <v>3928</v>
      </c>
      <c r="C131" s="57" t="s">
        <v>220</v>
      </c>
      <c r="D131" s="61" t="s">
        <v>2170</v>
      </c>
      <c r="E131" s="158" t="str">
        <f>HYPERLINK("https://youtu.be/e_F5bSS6D9c?t=8522","channel 2")</f>
        <v>channel 2</v>
      </c>
    </row>
    <row r="132">
      <c r="A132" s="145"/>
      <c r="B132" s="61" t="s">
        <v>1659</v>
      </c>
      <c r="C132" s="57" t="s">
        <v>23</v>
      </c>
      <c r="D132" s="61" t="s">
        <v>3865</v>
      </c>
      <c r="E132" s="11" t="str">
        <f>HYPERLINK("https://youtu.be/1PLKyyPW1Ic?t=8635","channel 4")</f>
        <v>channel 4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2471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3929</v>
      </c>
      <c r="C3" s="57" t="s">
        <v>23</v>
      </c>
      <c r="D3" s="61" t="s">
        <v>3164</v>
      </c>
      <c r="E3" s="158" t="str">
        <f>HYPERLINK("https://youtu.be/59ubV-yidPk","channel 1")</f>
        <v>channel 1</v>
      </c>
    </row>
    <row r="4">
      <c r="A4" s="141"/>
      <c r="B4" s="61" t="s">
        <v>3556</v>
      </c>
      <c r="C4" s="84" t="s">
        <v>163</v>
      </c>
      <c r="D4" s="61" t="s">
        <v>3930</v>
      </c>
      <c r="E4" s="11" t="str">
        <f>HYPERLINK("https://youtu.be/_47birgidd4","channel 2")</f>
        <v>channel 2</v>
      </c>
    </row>
    <row r="5">
      <c r="A5" s="141"/>
      <c r="B5" s="61" t="s">
        <v>3931</v>
      </c>
      <c r="C5" s="57" t="s">
        <v>20</v>
      </c>
      <c r="D5" s="61" t="s">
        <v>3929</v>
      </c>
      <c r="E5" s="158" t="str">
        <f>HYPERLINK("https://youtu.be/59ubV-yidPk?t=947","channel 1")</f>
        <v>channel 1</v>
      </c>
    </row>
    <row r="6">
      <c r="A6" s="141"/>
      <c r="B6" s="61" t="s">
        <v>3556</v>
      </c>
      <c r="C6" s="57" t="s">
        <v>7</v>
      </c>
      <c r="D6" s="61" t="s">
        <v>3164</v>
      </c>
      <c r="E6" s="11" t="str">
        <f>HYPERLINK("https://youtu.be/_47birgidd4?t=935","channel 2")</f>
        <v>channel 2</v>
      </c>
    </row>
    <row r="7">
      <c r="A7" s="141"/>
      <c r="B7" s="61" t="s">
        <v>3931</v>
      </c>
      <c r="C7" s="57" t="s">
        <v>313</v>
      </c>
      <c r="D7" s="61" t="s">
        <v>3930</v>
      </c>
      <c r="E7" s="158" t="str">
        <f>HYPERLINK("https://youtu.be/59ubV-yidPk?t=1867","channel 1")</f>
        <v>channel 1</v>
      </c>
    </row>
    <row r="8">
      <c r="A8" s="141"/>
      <c r="B8" s="61" t="s">
        <v>3556</v>
      </c>
      <c r="C8" s="57" t="s">
        <v>549</v>
      </c>
      <c r="D8" s="61" t="s">
        <v>3929</v>
      </c>
      <c r="E8" s="11" t="str">
        <f>HYPERLINK("https://youtu.be/_47birgidd4?t=1935","channel 2")</f>
        <v>channel 2</v>
      </c>
    </row>
    <row r="9">
      <c r="A9" s="141"/>
      <c r="B9" s="61" t="s">
        <v>3931</v>
      </c>
      <c r="C9" s="57" t="s">
        <v>7</v>
      </c>
      <c r="D9" s="61" t="s">
        <v>3164</v>
      </c>
      <c r="E9" s="158" t="str">
        <f>HYPERLINK("https://youtu.be/59ubV-yidPk?t=2884","channel 1")</f>
        <v>channel 1</v>
      </c>
    </row>
    <row r="10">
      <c r="A10" s="141"/>
      <c r="B10" s="61" t="s">
        <v>3930</v>
      </c>
      <c r="C10" s="57" t="s">
        <v>231</v>
      </c>
      <c r="D10" s="61" t="s">
        <v>3929</v>
      </c>
      <c r="E10" s="11" t="str">
        <f>HYPERLINK("https://youtu.be/_47birgidd4?t=2870","channel 2")</f>
        <v>channel 2</v>
      </c>
    </row>
    <row r="11">
      <c r="A11" s="141"/>
      <c r="B11" s="61" t="s">
        <v>3931</v>
      </c>
      <c r="C11" s="57" t="s">
        <v>164</v>
      </c>
      <c r="D11" s="61" t="s">
        <v>3556</v>
      </c>
      <c r="E11" s="158" t="str">
        <f>HYPERLINK("https://youtu.be/59ubV-yidPk?t=3779","channel 1")</f>
        <v>channel 1</v>
      </c>
    </row>
    <row r="12">
      <c r="A12" s="141"/>
      <c r="B12" s="61" t="s">
        <v>3930</v>
      </c>
      <c r="C12" s="57" t="s">
        <v>258</v>
      </c>
      <c r="D12" s="61" t="s">
        <v>3164</v>
      </c>
      <c r="E12" s="11" t="str">
        <f>HYPERLINK("https://youtu.be/_47birgidd4?t=3811","channel 2")</f>
        <v>channel 2</v>
      </c>
    </row>
    <row r="13">
      <c r="A13" s="141"/>
      <c r="B13" s="61" t="s">
        <v>3164</v>
      </c>
      <c r="C13" s="57" t="s">
        <v>193</v>
      </c>
      <c r="D13" s="61" t="s">
        <v>3929</v>
      </c>
      <c r="E13" s="158" t="str">
        <f>HYPERLINK("https://youtu.be/59ubV-yidPk?t=4664","channel 1")</f>
        <v>channel 1</v>
      </c>
    </row>
    <row r="14">
      <c r="A14" s="141"/>
      <c r="B14" s="61" t="s">
        <v>3930</v>
      </c>
      <c r="C14" s="57" t="s">
        <v>344</v>
      </c>
      <c r="D14" s="61" t="s">
        <v>3556</v>
      </c>
      <c r="E14" s="11" t="str">
        <f>HYPERLINK("https://youtu.be/_47birgidd4?t=4791","channel 2")</f>
        <v>channel 2</v>
      </c>
    </row>
    <row r="15">
      <c r="A15" s="141"/>
      <c r="B15" s="61" t="s">
        <v>3929</v>
      </c>
      <c r="C15" s="54" t="s">
        <v>42</v>
      </c>
      <c r="D15" s="61" t="s">
        <v>3931</v>
      </c>
      <c r="E15" s="158" t="str">
        <f>HYPERLINK("https://youtu.be/59ubV-yidPk?t=5624","channel 1")</f>
        <v>channel 1</v>
      </c>
    </row>
    <row r="16">
      <c r="A16" s="141"/>
      <c r="B16" s="61" t="s">
        <v>3164</v>
      </c>
      <c r="C16" s="57" t="s">
        <v>181</v>
      </c>
      <c r="D16" s="61" t="s">
        <v>3556</v>
      </c>
      <c r="E16" s="11" t="str">
        <f>HYPERLINK("https://youtu.be/_47birgidd4?t=5756","channel 2")</f>
        <v>channel 2</v>
      </c>
    </row>
    <row r="17">
      <c r="A17" s="141"/>
      <c r="B17" s="61" t="s">
        <v>3930</v>
      </c>
      <c r="C17" s="57" t="s">
        <v>351</v>
      </c>
      <c r="D17" s="61" t="s">
        <v>3931</v>
      </c>
      <c r="E17" s="158" t="str">
        <f>HYPERLINK("https://youtu.be/59ubV-yidPk?t=6536","channel 1")</f>
        <v>channel 1</v>
      </c>
    </row>
    <row r="18">
      <c r="A18" s="141"/>
      <c r="B18" s="61" t="s">
        <v>3929</v>
      </c>
      <c r="C18" s="57" t="s">
        <v>549</v>
      </c>
      <c r="D18" s="61" t="s">
        <v>3556</v>
      </c>
      <c r="E18" s="11" t="str">
        <f>HYPERLINK("https://youtu.be/_47birgidd4?t=6566","channel 2")</f>
        <v>channel 2</v>
      </c>
    </row>
    <row r="19">
      <c r="A19" s="141"/>
      <c r="B19" s="61" t="s">
        <v>3164</v>
      </c>
      <c r="C19" s="57" t="s">
        <v>248</v>
      </c>
      <c r="D19" s="61" t="s">
        <v>3931</v>
      </c>
      <c r="E19" s="158" t="str">
        <f>HYPERLINK("https://youtu.be/59ubV-yidPk?t=7504","channel 1")</f>
        <v>channel 1</v>
      </c>
    </row>
    <row r="20">
      <c r="A20" s="141"/>
      <c r="B20" s="61" t="s">
        <v>3929</v>
      </c>
      <c r="C20" s="57" t="s">
        <v>278</v>
      </c>
      <c r="D20" s="61" t="s">
        <v>3930</v>
      </c>
      <c r="E20" s="11" t="str">
        <f>HYPERLINK("https://youtu.be/_47birgidd4?t=7652","channel 2")</f>
        <v>channel 2</v>
      </c>
    </row>
    <row r="21">
      <c r="A21" s="141"/>
      <c r="B21" s="61" t="s">
        <v>3556</v>
      </c>
      <c r="C21" s="57" t="s">
        <v>44</v>
      </c>
      <c r="D21" s="61" t="s">
        <v>3931</v>
      </c>
      <c r="E21" s="158" t="str">
        <f>HYPERLINK("https://youtu.be/59ubV-yidPk?t=8413","channel 1")</f>
        <v>channel 1</v>
      </c>
    </row>
    <row r="22">
      <c r="A22" s="141"/>
      <c r="B22" s="61" t="s">
        <v>3164</v>
      </c>
      <c r="C22" s="57" t="s">
        <v>219</v>
      </c>
      <c r="D22" s="61" t="s">
        <v>3930</v>
      </c>
      <c r="E22" s="11" t="str">
        <f>HYPERLINK("https://youtu.be/_47birgidd4?t=8477","channel 2")</f>
        <v>channel 2</v>
      </c>
    </row>
    <row r="23">
      <c r="A23" s="141"/>
      <c r="B23" s="96" t="s">
        <v>2207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102</v>
      </c>
      <c r="C25" s="57" t="s">
        <v>166</v>
      </c>
      <c r="D25" s="61" t="s">
        <v>2949</v>
      </c>
      <c r="E25" s="158" t="str">
        <f>HYPERLINK("https://youtu.be/Q4-H38BKQiU","channel 1")</f>
        <v>channel 1</v>
      </c>
    </row>
    <row r="26">
      <c r="A26" s="141"/>
      <c r="B26" s="61" t="s">
        <v>3932</v>
      </c>
      <c r="C26" s="57" t="s">
        <v>507</v>
      </c>
      <c r="D26" s="61" t="s">
        <v>3933</v>
      </c>
      <c r="E26" s="11" t="str">
        <f>HYPERLINK("https://youtu.be/v7vA5ODz5dU","channel 2")</f>
        <v>channel 2</v>
      </c>
    </row>
    <row r="27">
      <c r="A27" s="141"/>
      <c r="B27" s="61" t="s">
        <v>3934</v>
      </c>
      <c r="C27" s="57" t="s">
        <v>184</v>
      </c>
      <c r="D27" s="61" t="s">
        <v>102</v>
      </c>
      <c r="E27" s="158" t="str">
        <f>HYPERLINK("https://youtu.be/Q4-H38BKQiU?t=1065","channel 1")</f>
        <v>channel 1</v>
      </c>
    </row>
    <row r="28">
      <c r="A28" s="141"/>
      <c r="B28" s="61" t="s">
        <v>3932</v>
      </c>
      <c r="C28" s="57" t="s">
        <v>21</v>
      </c>
      <c r="D28" s="61" t="s">
        <v>2949</v>
      </c>
      <c r="E28" s="11" t="str">
        <f>HYPERLINK("https://youtu.be/v7vA5ODz5dU?t=866","channel 2")</f>
        <v>channel 2</v>
      </c>
    </row>
    <row r="29">
      <c r="A29" s="141"/>
      <c r="B29" s="61" t="s">
        <v>3934</v>
      </c>
      <c r="C29" s="57" t="s">
        <v>257</v>
      </c>
      <c r="D29" s="61" t="s">
        <v>3933</v>
      </c>
      <c r="E29" s="158" t="str">
        <f>HYPERLINK("https://youtu.be/Q4-H38BKQiU?t=2025","channel 1")</f>
        <v>channel 1</v>
      </c>
    </row>
    <row r="30">
      <c r="A30" s="141"/>
      <c r="B30" s="61" t="s">
        <v>3932</v>
      </c>
      <c r="C30" s="57" t="s">
        <v>1830</v>
      </c>
      <c r="D30" s="61" t="s">
        <v>102</v>
      </c>
      <c r="E30" s="11" t="str">
        <f>HYPERLINK("https://youtu.be/v7vA5ODz5dU?t=1907","channel 2")</f>
        <v>channel 2</v>
      </c>
    </row>
    <row r="31">
      <c r="A31" s="141"/>
      <c r="B31" s="61" t="s">
        <v>3934</v>
      </c>
      <c r="C31" s="57" t="s">
        <v>289</v>
      </c>
      <c r="D31" s="61" t="s">
        <v>2949</v>
      </c>
      <c r="E31" s="158" t="str">
        <f>HYPERLINK("https://youtu.be/Q4-H38BKQiU?t=2996","channel 1")</f>
        <v>channel 1</v>
      </c>
    </row>
    <row r="32">
      <c r="A32" s="141"/>
      <c r="B32" s="61" t="s">
        <v>3933</v>
      </c>
      <c r="C32" s="57" t="s">
        <v>327</v>
      </c>
      <c r="D32" s="61" t="s">
        <v>102</v>
      </c>
      <c r="E32" s="11" t="str">
        <f>HYPERLINK("https://youtu.be/v7vA5ODz5dU?t=2934","channel 2")</f>
        <v>channel 2</v>
      </c>
    </row>
    <row r="33">
      <c r="A33" s="141"/>
      <c r="B33" s="61" t="s">
        <v>3934</v>
      </c>
      <c r="C33" s="57" t="s">
        <v>3935</v>
      </c>
      <c r="D33" s="61" t="s">
        <v>3932</v>
      </c>
      <c r="E33" s="158" t="str">
        <f>HYPERLINK("https://youtu.be/Q4-H38BKQiU?t=3943","channel 1")</f>
        <v>channel 1</v>
      </c>
    </row>
    <row r="34">
      <c r="A34" s="141"/>
      <c r="B34" s="61" t="s">
        <v>3933</v>
      </c>
      <c r="C34" s="57" t="s">
        <v>18</v>
      </c>
      <c r="D34" s="61" t="s">
        <v>2949</v>
      </c>
      <c r="E34" s="11" t="str">
        <f>HYPERLINK("https://youtu.be/v7vA5ODz5dU?t=3840","channel 2")</f>
        <v>channel 2</v>
      </c>
    </row>
    <row r="35">
      <c r="A35" s="141"/>
      <c r="B35" s="61" t="s">
        <v>2949</v>
      </c>
      <c r="C35" s="57" t="s">
        <v>41</v>
      </c>
      <c r="D35" s="61" t="s">
        <v>102</v>
      </c>
      <c r="E35" s="158" t="str">
        <f>HYPERLINK("https://youtu.be/Q4-H38BKQiU?t=5007","channel 1")</f>
        <v>channel 1</v>
      </c>
    </row>
    <row r="36">
      <c r="A36" s="141"/>
      <c r="B36" s="61" t="s">
        <v>3933</v>
      </c>
      <c r="C36" s="57" t="s">
        <v>160</v>
      </c>
      <c r="D36" s="61" t="s">
        <v>3932</v>
      </c>
      <c r="E36" s="11" t="str">
        <f>HYPERLINK("https://youtu.be/v7vA5ODz5dU?t=4841","channel 2")</f>
        <v>channel 2</v>
      </c>
    </row>
    <row r="37">
      <c r="A37" s="141"/>
      <c r="B37" s="61" t="s">
        <v>102</v>
      </c>
      <c r="C37" s="57" t="s">
        <v>173</v>
      </c>
      <c r="D37" s="61" t="s">
        <v>3934</v>
      </c>
      <c r="E37" s="158" t="str">
        <f>HYPERLINK("https://youtu.be/Q4-H38BKQiU?t=5937","channel 1")</f>
        <v>channel 1</v>
      </c>
    </row>
    <row r="38">
      <c r="A38" s="141"/>
      <c r="B38" s="61" t="s">
        <v>2949</v>
      </c>
      <c r="C38" s="57" t="s">
        <v>184</v>
      </c>
      <c r="D38" s="61" t="s">
        <v>3932</v>
      </c>
      <c r="E38" s="11" t="str">
        <f>HYPERLINK("https://youtu.be/v7vA5ODz5dU?t=5718","channel 2")</f>
        <v>channel 2</v>
      </c>
    </row>
    <row r="39">
      <c r="A39" s="141"/>
      <c r="B39" s="61" t="s">
        <v>3933</v>
      </c>
      <c r="C39" s="45" t="s">
        <v>1419</v>
      </c>
      <c r="D39" s="61" t="s">
        <v>3934</v>
      </c>
      <c r="E39" s="158" t="str">
        <f>HYPERLINK("https://youtu.be/Q4-H38BKQiU?t=6843","channel 1")</f>
        <v>channel 1</v>
      </c>
    </row>
    <row r="40">
      <c r="A40" s="141"/>
      <c r="B40" s="61" t="s">
        <v>102</v>
      </c>
      <c r="C40" s="57" t="s">
        <v>24</v>
      </c>
      <c r="D40" s="61" t="s">
        <v>3932</v>
      </c>
      <c r="E40" s="11" t="str">
        <f>HYPERLINK("https://youtu.be/v7vA5ODz5dU?t=6854","channel 2")</f>
        <v>channel 2</v>
      </c>
    </row>
    <row r="41">
      <c r="A41" s="141"/>
      <c r="B41" s="61" t="s">
        <v>2949</v>
      </c>
      <c r="C41" s="57" t="s">
        <v>17</v>
      </c>
      <c r="D41" s="61" t="s">
        <v>3934</v>
      </c>
      <c r="E41" s="158" t="str">
        <f>HYPERLINK("https://youtu.be/Q4-H38BKQiU?t=7784","channel 1")</f>
        <v>channel 1</v>
      </c>
    </row>
    <row r="42">
      <c r="A42" s="141"/>
      <c r="B42" s="61" t="s">
        <v>102</v>
      </c>
      <c r="C42" s="57" t="s">
        <v>17</v>
      </c>
      <c r="D42" s="61" t="s">
        <v>3933</v>
      </c>
      <c r="E42" s="11" t="str">
        <f>HYPERLINK("https://youtu.be/v7vA5ODz5dU?t=7701","channel 2")</f>
        <v>channel 2</v>
      </c>
    </row>
    <row r="43">
      <c r="A43" s="141"/>
      <c r="B43" s="61" t="s">
        <v>3932</v>
      </c>
      <c r="C43" s="57" t="s">
        <v>163</v>
      </c>
      <c r="D43" s="61" t="s">
        <v>3934</v>
      </c>
      <c r="E43" s="158" t="str">
        <f>HYPERLINK("https://youtu.be/Q4-H38BKQiU?t=8684","channel 1")</f>
        <v>channel 1</v>
      </c>
    </row>
    <row r="44">
      <c r="A44" s="141"/>
      <c r="B44" s="61" t="s">
        <v>2949</v>
      </c>
      <c r="C44" s="57" t="s">
        <v>16</v>
      </c>
      <c r="D44" s="61" t="s">
        <v>3933</v>
      </c>
      <c r="E44" s="11" t="str">
        <f>HYPERLINK("https://youtu.be/v7vA5ODz5dU?t=8552","channel 2")</f>
        <v>channel 2</v>
      </c>
    </row>
    <row r="45">
      <c r="A45" s="141"/>
      <c r="B45" s="96" t="s">
        <v>2417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2884</v>
      </c>
      <c r="C47" s="57" t="s">
        <v>225</v>
      </c>
      <c r="D47" s="61" t="s">
        <v>3936</v>
      </c>
      <c r="E47" s="158" t="str">
        <f>HYPERLINK("https://youtu.be/wgAUW9VVME8","channel 1")</f>
        <v>channel 1</v>
      </c>
    </row>
    <row r="48">
      <c r="A48" s="141"/>
      <c r="B48" s="61" t="s">
        <v>3937</v>
      </c>
      <c r="C48" s="57" t="s">
        <v>43</v>
      </c>
      <c r="D48" s="61" t="s">
        <v>3938</v>
      </c>
      <c r="E48" s="11" t="str">
        <f>HYPERLINK("https://youtu.be/JTyjUH-YsSY","channel 2")</f>
        <v>channel 2</v>
      </c>
    </row>
    <row r="49">
      <c r="A49" s="141"/>
      <c r="B49" s="61" t="s">
        <v>3658</v>
      </c>
      <c r="C49" s="57" t="s">
        <v>163</v>
      </c>
      <c r="D49" s="61" t="s">
        <v>2884</v>
      </c>
      <c r="E49" s="158" t="str">
        <f>HYPERLINK("https://youtu.be/wgAUW9VVME8?t=913","channel 1")</f>
        <v>channel 1</v>
      </c>
    </row>
    <row r="50">
      <c r="A50" s="141"/>
      <c r="B50" s="61" t="s">
        <v>3937</v>
      </c>
      <c r="C50" s="57" t="s">
        <v>158</v>
      </c>
      <c r="D50" s="61" t="s">
        <v>3936</v>
      </c>
      <c r="E50" s="11" t="str">
        <f>HYPERLINK("https://youtu.be/JTyjUH-YsSY?t=863","channel 2")</f>
        <v>channel 2</v>
      </c>
    </row>
    <row r="51">
      <c r="A51" s="141"/>
      <c r="B51" s="61" t="s">
        <v>3658</v>
      </c>
      <c r="C51" s="57" t="s">
        <v>185</v>
      </c>
      <c r="D51" s="104" t="s">
        <v>3938</v>
      </c>
      <c r="E51" s="158" t="str">
        <f>HYPERLINK("https://youtu.be/wgAUW9VVME8?t=1827","channel 1")</f>
        <v>channel 1</v>
      </c>
    </row>
    <row r="52">
      <c r="A52" s="141"/>
      <c r="B52" s="61" t="s">
        <v>3937</v>
      </c>
      <c r="C52" s="57" t="s">
        <v>176</v>
      </c>
      <c r="D52" s="61" t="s">
        <v>2884</v>
      </c>
      <c r="E52" s="11" t="str">
        <f>HYPERLINK("https://youtu.be/JTyjUH-YsSY?t=1812","channel 2")</f>
        <v>channel 2</v>
      </c>
    </row>
    <row r="53">
      <c r="A53" s="141"/>
      <c r="B53" s="61" t="s">
        <v>3658</v>
      </c>
      <c r="C53" s="57" t="s">
        <v>1079</v>
      </c>
      <c r="D53" s="61" t="s">
        <v>3936</v>
      </c>
      <c r="E53" s="158" t="str">
        <f>HYPERLINK("https://youtu.be/wgAUW9VVME8?t=2753","channel 1")</f>
        <v>channel 1</v>
      </c>
    </row>
    <row r="54">
      <c r="A54" s="141"/>
      <c r="B54" s="61" t="s">
        <v>3938</v>
      </c>
      <c r="C54" s="57" t="s">
        <v>3939</v>
      </c>
      <c r="D54" s="61" t="s">
        <v>2884</v>
      </c>
      <c r="E54" s="11" t="str">
        <f>HYPERLINK("https://youtu.be/JTyjUH-YsSY?t=2775","channel 2")</f>
        <v>channel 2</v>
      </c>
    </row>
    <row r="55">
      <c r="A55" s="141"/>
      <c r="B55" s="61" t="s">
        <v>3658</v>
      </c>
      <c r="C55" s="57" t="s">
        <v>301</v>
      </c>
      <c r="D55" s="61" t="s">
        <v>3937</v>
      </c>
      <c r="E55" s="158" t="str">
        <f>HYPERLINK("https://youtu.be/wgAUW9VVME8?t=3666","channel 1")</f>
        <v>channel 1</v>
      </c>
    </row>
    <row r="56">
      <c r="A56" s="141"/>
      <c r="B56" s="61" t="s">
        <v>3938</v>
      </c>
      <c r="C56" s="57" t="s">
        <v>750</v>
      </c>
      <c r="D56" s="61" t="s">
        <v>3936</v>
      </c>
      <c r="E56" s="11" t="str">
        <f>HYPERLINK("https://youtu.be/JTyjUH-YsSY?t=3707","channel 2")</f>
        <v>channel 2</v>
      </c>
    </row>
    <row r="57">
      <c r="A57" s="141"/>
      <c r="B57" s="61" t="s">
        <v>3936</v>
      </c>
      <c r="C57" s="57" t="s">
        <v>37</v>
      </c>
      <c r="D57" s="61" t="s">
        <v>2884</v>
      </c>
      <c r="E57" s="158" t="str">
        <f>HYPERLINK("https://youtu.be/wgAUW9VVME8?t=4701","channel 1")</f>
        <v>channel 1</v>
      </c>
    </row>
    <row r="58">
      <c r="A58" s="141"/>
      <c r="B58" s="61" t="s">
        <v>3938</v>
      </c>
      <c r="C58" s="57" t="s">
        <v>3940</v>
      </c>
      <c r="D58" s="61" t="s">
        <v>3937</v>
      </c>
      <c r="E58" s="11" t="str">
        <f>HYPERLINK("https://youtu.be/JTyjUH-YsSY?t=4653","channel 2")</f>
        <v>channel 2</v>
      </c>
    </row>
    <row r="59">
      <c r="A59" s="141"/>
      <c r="B59" s="61" t="s">
        <v>2884</v>
      </c>
      <c r="C59" s="57" t="s">
        <v>292</v>
      </c>
      <c r="D59" s="61" t="s">
        <v>3658</v>
      </c>
      <c r="E59" s="158" t="str">
        <f>HYPERLINK("https://youtu.be/wgAUW9VVME8?t=5592","channel 1")</f>
        <v>channel 1</v>
      </c>
    </row>
    <row r="60">
      <c r="A60" s="141"/>
      <c r="B60" s="61" t="s">
        <v>3936</v>
      </c>
      <c r="C60" s="57" t="s">
        <v>292</v>
      </c>
      <c r="D60" s="61" t="s">
        <v>3937</v>
      </c>
      <c r="E60" s="11" t="str">
        <f>HYPERLINK("https://youtu.be/JTyjUH-YsSY?t=5606","channel 2")</f>
        <v>channel 2</v>
      </c>
    </row>
    <row r="61">
      <c r="A61" s="141"/>
      <c r="B61" s="61" t="s">
        <v>3938</v>
      </c>
      <c r="C61" s="57" t="s">
        <v>517</v>
      </c>
      <c r="D61" s="61" t="s">
        <v>3658</v>
      </c>
      <c r="E61" s="158" t="str">
        <f>HYPERLINK("https://youtu.be/wgAUW9VVME8?t=6445","channel 1")</f>
        <v>channel 1</v>
      </c>
    </row>
    <row r="62">
      <c r="A62" s="141"/>
      <c r="B62" s="61" t="s">
        <v>2884</v>
      </c>
      <c r="C62" s="45" t="s">
        <v>362</v>
      </c>
      <c r="D62" s="61" t="s">
        <v>3937</v>
      </c>
      <c r="E62" s="11" t="str">
        <f>HYPERLINK("https://youtu.be/JTyjUH-YsSY?t=6490","channel 2")</f>
        <v>channel 2</v>
      </c>
    </row>
    <row r="63">
      <c r="A63" s="141"/>
      <c r="B63" s="61" t="s">
        <v>3936</v>
      </c>
      <c r="C63" s="57" t="s">
        <v>342</v>
      </c>
      <c r="D63" s="61" t="s">
        <v>3658</v>
      </c>
      <c r="E63" s="158" t="str">
        <f>HYPERLINK("https://youtu.be/wgAUW9VVME8?t=7407","channel 1")</f>
        <v>channel 1</v>
      </c>
    </row>
    <row r="64">
      <c r="A64" s="141"/>
      <c r="B64" s="61" t="s">
        <v>2884</v>
      </c>
      <c r="C64" s="57" t="s">
        <v>338</v>
      </c>
      <c r="D64" s="61" t="s">
        <v>3938</v>
      </c>
      <c r="E64" s="11" t="str">
        <f>HYPERLINK("https://youtu.be/JTyjUH-YsSY?t=7395","channel 2")</f>
        <v>channel 2</v>
      </c>
      <c r="G64" s="50" t="s">
        <v>3941</v>
      </c>
    </row>
    <row r="65">
      <c r="A65" s="141"/>
      <c r="B65" s="61" t="s">
        <v>3937</v>
      </c>
      <c r="C65" s="57" t="s">
        <v>198</v>
      </c>
      <c r="D65" s="61" t="s">
        <v>3658</v>
      </c>
      <c r="E65" s="158" t="str">
        <f>HYPERLINK("https://youtu.be/wgAUW9VVME8?t=8365","channel 1")</f>
        <v>channel 1</v>
      </c>
    </row>
    <row r="66">
      <c r="A66" s="141"/>
      <c r="B66" s="61" t="s">
        <v>3936</v>
      </c>
      <c r="C66" s="57" t="s">
        <v>247</v>
      </c>
      <c r="D66" s="61" t="s">
        <v>3938</v>
      </c>
      <c r="E66" s="11" t="str">
        <f>HYPERLINK("https://youtu.be/JTyjUH-YsSY?t=8320","channel 2")</f>
        <v>channel 2</v>
      </c>
    </row>
    <row r="67">
      <c r="A67" s="141"/>
      <c r="B67" s="160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832</v>
      </c>
      <c r="C69" s="57" t="s">
        <v>248</v>
      </c>
      <c r="D69" s="61" t="s">
        <v>3942</v>
      </c>
      <c r="E69" s="11" t="str">
        <f>HYPERLINK("https://youtu.be/Tj9vsMc2h8A","channel 2")</f>
        <v>channel 2</v>
      </c>
    </row>
    <row r="70">
      <c r="A70" s="141"/>
      <c r="B70" s="61" t="s">
        <v>3919</v>
      </c>
      <c r="C70" s="57" t="s">
        <v>958</v>
      </c>
      <c r="D70" s="61" t="s">
        <v>3943</v>
      </c>
      <c r="E70" s="11" t="str">
        <f>HYPERLINK("https://youtu.be/XyaJpZ39Eck","channel 4")</f>
        <v>channel 4</v>
      </c>
    </row>
    <row r="71">
      <c r="A71" s="141"/>
      <c r="B71" s="61" t="s">
        <v>3643</v>
      </c>
      <c r="C71" s="57" t="s">
        <v>908</v>
      </c>
      <c r="D71" s="61" t="s">
        <v>832</v>
      </c>
      <c r="E71" s="11" t="str">
        <f>HYPERLINK("https://youtu.be/Tj9vsMc2h8A?t=1482","channel 2")</f>
        <v>channel 2</v>
      </c>
    </row>
    <row r="72">
      <c r="A72" s="141"/>
      <c r="B72" s="61" t="s">
        <v>3919</v>
      </c>
      <c r="C72" s="57" t="s">
        <v>198</v>
      </c>
      <c r="D72" s="61" t="s">
        <v>3942</v>
      </c>
      <c r="E72" s="11" t="str">
        <f>HYPERLINK("https://youtu.be/XyaJpZ39Eck?t=1490","channel 4")</f>
        <v>channel 4</v>
      </c>
    </row>
    <row r="73">
      <c r="A73" s="141"/>
      <c r="B73" s="61" t="s">
        <v>3643</v>
      </c>
      <c r="C73" s="57" t="s">
        <v>525</v>
      </c>
      <c r="D73" s="61" t="s">
        <v>3943</v>
      </c>
      <c r="E73" s="11" t="str">
        <f>HYPERLINK("https://youtu.be/Tj9vsMc2h8A?t=2517","channel 2")</f>
        <v>channel 2</v>
      </c>
    </row>
    <row r="74">
      <c r="A74" s="141"/>
      <c r="B74" s="61" t="s">
        <v>3919</v>
      </c>
      <c r="C74" s="57" t="s">
        <v>216</v>
      </c>
      <c r="D74" s="61" t="s">
        <v>832</v>
      </c>
      <c r="E74" s="11" t="str">
        <f>HYPERLINK("https://youtu.be/XyaJpZ39Eck?t=2419","channel 4")</f>
        <v>channel 4</v>
      </c>
    </row>
    <row r="75">
      <c r="A75" s="141"/>
      <c r="B75" s="61" t="s">
        <v>3643</v>
      </c>
      <c r="C75" s="57" t="s">
        <v>573</v>
      </c>
      <c r="D75" s="61" t="s">
        <v>3942</v>
      </c>
      <c r="E75" s="11" t="str">
        <f>HYPERLINK("https://youtu.be/Tj9vsMc2h8A?t=3469","channel 2")</f>
        <v>channel 2</v>
      </c>
    </row>
    <row r="76">
      <c r="A76" s="141"/>
      <c r="B76" s="61" t="s">
        <v>3943</v>
      </c>
      <c r="C76" s="57" t="s">
        <v>336</v>
      </c>
      <c r="D76" s="61" t="s">
        <v>832</v>
      </c>
      <c r="E76" s="11" t="str">
        <f>HYPERLINK("https://youtu.be/XyaJpZ39Eck?t=3356","channel 4")</f>
        <v>channel 4</v>
      </c>
    </row>
    <row r="77">
      <c r="A77" s="141"/>
      <c r="B77" s="61" t="s">
        <v>3643</v>
      </c>
      <c r="C77" s="57" t="s">
        <v>395</v>
      </c>
      <c r="D77" s="61" t="s">
        <v>3919</v>
      </c>
      <c r="E77" s="11" t="str">
        <f>HYPERLINK("https://youtu.be/Tj9vsMc2h8A?t=4390","channel 2")</f>
        <v>channel 2</v>
      </c>
    </row>
    <row r="78">
      <c r="A78" s="141"/>
      <c r="B78" s="61" t="s">
        <v>3943</v>
      </c>
      <c r="C78" s="57" t="s">
        <v>271</v>
      </c>
      <c r="D78" s="61" t="s">
        <v>3942</v>
      </c>
      <c r="E78" s="11" t="str">
        <f>HYPERLINK("https://youtu.be/XyaJpZ39Eck?t=4288","channel 4")</f>
        <v>channel 4</v>
      </c>
    </row>
    <row r="79">
      <c r="A79" s="141"/>
      <c r="B79" s="61" t="s">
        <v>3942</v>
      </c>
      <c r="C79" s="57" t="s">
        <v>464</v>
      </c>
      <c r="D79" s="61" t="s">
        <v>832</v>
      </c>
      <c r="E79" s="11" t="str">
        <f>HYPERLINK("https://youtu.be/Tj9vsMc2h8A?t=5342","channel 2")</f>
        <v>channel 2</v>
      </c>
    </row>
    <row r="80">
      <c r="A80" s="141"/>
      <c r="B80" s="61" t="s">
        <v>3943</v>
      </c>
      <c r="C80" s="57" t="s">
        <v>751</v>
      </c>
      <c r="D80" s="61" t="s">
        <v>3919</v>
      </c>
      <c r="E80" s="11" t="str">
        <f>HYPERLINK("https://youtu.be/XyaJpZ39Eck?t=5261","channel 4")</f>
        <v>channel 4</v>
      </c>
    </row>
    <row r="81">
      <c r="A81" s="141"/>
      <c r="B81" s="61" t="s">
        <v>832</v>
      </c>
      <c r="C81" s="57" t="s">
        <v>368</v>
      </c>
      <c r="D81" s="61" t="s">
        <v>3643</v>
      </c>
      <c r="E81" s="11" t="str">
        <f>HYPERLINK("https://youtu.be/Tj9vsMc2h8A?t=6307","channel 2")</f>
        <v>channel 2</v>
      </c>
    </row>
    <row r="82">
      <c r="A82" s="141"/>
      <c r="B82" s="61" t="s">
        <v>3942</v>
      </c>
      <c r="C82" s="84" t="s">
        <v>182</v>
      </c>
      <c r="D82" s="61" t="s">
        <v>3919</v>
      </c>
      <c r="E82" s="11" t="str">
        <f>HYPERLINK("https://youtu.be/XyaJpZ39Eck?t=6229","channel 4")</f>
        <v>channel 4</v>
      </c>
    </row>
    <row r="83">
      <c r="A83" s="141"/>
      <c r="B83" s="61" t="s">
        <v>3943</v>
      </c>
      <c r="C83" s="57" t="s">
        <v>3069</v>
      </c>
      <c r="D83" s="61" t="s">
        <v>3643</v>
      </c>
      <c r="E83" s="11" t="str">
        <f>HYPERLINK("https://youtu.be/Tj9vsMc2h8A?t=7198","channel 2")</f>
        <v>channel 2</v>
      </c>
    </row>
    <row r="84">
      <c r="A84" s="141"/>
      <c r="B84" s="61" t="s">
        <v>832</v>
      </c>
      <c r="C84" s="57" t="s">
        <v>545</v>
      </c>
      <c r="D84" s="61" t="s">
        <v>3919</v>
      </c>
      <c r="E84" s="11" t="str">
        <f>HYPERLINK("https://youtu.be/XyaJpZ39Eck?t=7233","channel 4")</f>
        <v>channel 4</v>
      </c>
    </row>
    <row r="85">
      <c r="A85" s="141"/>
      <c r="B85" s="61" t="s">
        <v>3942</v>
      </c>
      <c r="C85" s="57" t="s">
        <v>14</v>
      </c>
      <c r="D85" s="61" t="s">
        <v>3643</v>
      </c>
      <c r="E85" s="11" t="str">
        <f>HYPERLINK("https://youtu.be/Tj9vsMc2h8A?t=8145","channel 2")</f>
        <v>channel 2</v>
      </c>
    </row>
    <row r="86">
      <c r="A86" s="141"/>
      <c r="B86" s="61" t="s">
        <v>832</v>
      </c>
      <c r="C86" s="57" t="s">
        <v>161</v>
      </c>
      <c r="D86" s="61" t="s">
        <v>3943</v>
      </c>
      <c r="E86" s="11" t="str">
        <f>HYPERLINK("https://youtu.be/XyaJpZ39Eck?t=8102","channel 4")</f>
        <v>channel 4</v>
      </c>
    </row>
    <row r="87">
      <c r="A87" s="141"/>
      <c r="B87" s="61" t="s">
        <v>3919</v>
      </c>
      <c r="C87" s="57" t="s">
        <v>195</v>
      </c>
      <c r="D87" s="61" t="s">
        <v>3643</v>
      </c>
      <c r="E87" s="11" t="str">
        <f>HYPERLINK("https://youtu.be/Tj9vsMc2h8A?t=9019","channel 2")</f>
        <v>channel 2</v>
      </c>
    </row>
    <row r="88">
      <c r="A88" s="141"/>
      <c r="B88" s="61" t="s">
        <v>3942</v>
      </c>
      <c r="C88" s="57" t="s">
        <v>547</v>
      </c>
      <c r="D88" s="61" t="s">
        <v>3943</v>
      </c>
      <c r="E88" s="11" t="str">
        <f>HYPERLINK("https://youtu.be/XyaJpZ39Eck?t=9022","channel 4")</f>
        <v>channel 4</v>
      </c>
    </row>
    <row r="89">
      <c r="A89" s="141"/>
      <c r="B89" s="96" t="s">
        <v>2607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3297</v>
      </c>
      <c r="C91" s="57" t="s">
        <v>219</v>
      </c>
      <c r="D91" s="61" t="s">
        <v>1904</v>
      </c>
      <c r="E91" s="11" t="str">
        <f>HYPERLINK("https://youtu.be/PFFNlGmuQtE","channel 2")</f>
        <v>channel 2</v>
      </c>
    </row>
    <row r="92">
      <c r="A92" s="141"/>
      <c r="B92" s="61" t="s">
        <v>2012</v>
      </c>
      <c r="C92" s="57" t="s">
        <v>245</v>
      </c>
      <c r="D92" s="61" t="s">
        <v>3028</v>
      </c>
      <c r="E92" s="11" t="str">
        <f>HYPERLINK("https://youtu.be/Z-8LlX4m0ws","channel 4")</f>
        <v>channel 4</v>
      </c>
    </row>
    <row r="93">
      <c r="A93" s="141"/>
      <c r="B93" s="61" t="s">
        <v>1699</v>
      </c>
      <c r="C93" s="57" t="s">
        <v>16</v>
      </c>
      <c r="D93" s="61" t="s">
        <v>3297</v>
      </c>
      <c r="E93" s="11" t="str">
        <f>HYPERLINK("https://youtu.be/PFFNlGmuQtE?t=1346","channel 2")</f>
        <v>channel 2</v>
      </c>
    </row>
    <row r="94">
      <c r="A94" s="141"/>
      <c r="B94" s="61" t="s">
        <v>2012</v>
      </c>
      <c r="C94" s="57" t="s">
        <v>157</v>
      </c>
      <c r="D94" s="61" t="s">
        <v>1904</v>
      </c>
      <c r="E94" s="11" t="str">
        <f>HYPERLINK("https://youtu.be/Z-8LlX4m0ws?t=1316","channel 4")</f>
        <v>channel 4</v>
      </c>
    </row>
    <row r="95">
      <c r="A95" s="141"/>
      <c r="B95" s="61" t="s">
        <v>1699</v>
      </c>
      <c r="C95" s="54" t="s">
        <v>2228</v>
      </c>
      <c r="D95" s="61" t="s">
        <v>3028</v>
      </c>
      <c r="E95" s="11" t="str">
        <f>HYPERLINK("https://youtu.be/PFFNlGmuQtE?t=2273","channel 2")</f>
        <v>channel 2</v>
      </c>
    </row>
    <row r="96">
      <c r="A96" s="141"/>
      <c r="B96" s="61" t="s">
        <v>2012</v>
      </c>
      <c r="C96" s="57" t="s">
        <v>278</v>
      </c>
      <c r="D96" s="61" t="s">
        <v>3297</v>
      </c>
      <c r="E96" s="11" t="str">
        <f>HYPERLINK("https://youtu.be/Z-8LlX4m0ws?t=2261","channel 4")</f>
        <v>channel 4</v>
      </c>
    </row>
    <row r="97">
      <c r="A97" s="141"/>
      <c r="B97" s="61" t="s">
        <v>1699</v>
      </c>
      <c r="C97" s="57" t="s">
        <v>222</v>
      </c>
      <c r="D97" s="61" t="s">
        <v>1904</v>
      </c>
      <c r="E97" s="11" t="str">
        <f>HYPERLINK("https://youtu.be/PFFNlGmuQtE?t=3181","channel 2")</f>
        <v>channel 2</v>
      </c>
    </row>
    <row r="98">
      <c r="A98" s="141"/>
      <c r="B98" s="61" t="s">
        <v>3028</v>
      </c>
      <c r="C98" s="57" t="s">
        <v>301</v>
      </c>
      <c r="D98" s="61" t="s">
        <v>3297</v>
      </c>
      <c r="E98" s="11" t="str">
        <f>HYPERLINK("https://youtu.be/Z-8LlX4m0ws?t=3145","channel 4")</f>
        <v>channel 4</v>
      </c>
    </row>
    <row r="99">
      <c r="A99" s="141"/>
      <c r="B99" s="61" t="s">
        <v>1699</v>
      </c>
      <c r="C99" s="57" t="s">
        <v>248</v>
      </c>
      <c r="D99" s="61" t="s">
        <v>2012</v>
      </c>
      <c r="E99" s="11" t="str">
        <f>HYPERLINK("https://youtu.be/PFFNlGmuQtE?t=4083","channel 2")</f>
        <v>channel 2</v>
      </c>
    </row>
    <row r="100">
      <c r="A100" s="141"/>
      <c r="B100" s="61" t="s">
        <v>3028</v>
      </c>
      <c r="C100" s="57" t="s">
        <v>198</v>
      </c>
      <c r="D100" s="61" t="s">
        <v>1904</v>
      </c>
      <c r="E100" s="11" t="str">
        <f>HYPERLINK("https://youtu.be/Z-8LlX4m0ws?t=4052","channel 4")</f>
        <v>channel 4</v>
      </c>
    </row>
    <row r="101">
      <c r="A101" s="141"/>
      <c r="B101" s="61" t="s">
        <v>1904</v>
      </c>
      <c r="C101" s="57" t="s">
        <v>41</v>
      </c>
      <c r="D101" s="61" t="s">
        <v>3297</v>
      </c>
      <c r="E101" s="11" t="str">
        <f>HYPERLINK("https://youtu.be/PFFNlGmuQtE?t=5004","channel 2")</f>
        <v>channel 2</v>
      </c>
    </row>
    <row r="102">
      <c r="A102" s="141"/>
      <c r="B102" s="61" t="s">
        <v>3028</v>
      </c>
      <c r="C102" s="57" t="s">
        <v>774</v>
      </c>
      <c r="D102" s="61" t="s">
        <v>2012</v>
      </c>
      <c r="E102" s="11" t="str">
        <f>HYPERLINK("https://youtu.be/Z-8LlX4m0ws?t=4923","channel 4")</f>
        <v>channel 4</v>
      </c>
    </row>
    <row r="103">
      <c r="A103" s="141"/>
      <c r="B103" s="61" t="s">
        <v>3297</v>
      </c>
      <c r="C103" s="57" t="s">
        <v>185</v>
      </c>
      <c r="D103" s="61" t="s">
        <v>1699</v>
      </c>
      <c r="E103" s="11" t="str">
        <f>HYPERLINK("https://youtu.be/PFFNlGmuQtE?t=5885","channel 2")</f>
        <v>channel 2</v>
      </c>
    </row>
    <row r="104">
      <c r="A104" s="141"/>
      <c r="B104" s="61" t="s">
        <v>1904</v>
      </c>
      <c r="C104" s="57" t="s">
        <v>322</v>
      </c>
      <c r="D104" s="61" t="s">
        <v>2012</v>
      </c>
      <c r="E104" s="11" t="str">
        <f>HYPERLINK("https://youtu.be/Z-8LlX4m0ws?t=5844","channel 4")</f>
        <v>channel 4</v>
      </c>
    </row>
    <row r="105">
      <c r="A105" s="141"/>
      <c r="B105" s="61" t="s">
        <v>3028</v>
      </c>
      <c r="C105" s="57" t="s">
        <v>1121</v>
      </c>
      <c r="D105" s="61" t="s">
        <v>1699</v>
      </c>
      <c r="E105" s="11" t="str">
        <f>HYPERLINK("https://youtu.be/PFFNlGmuQtE?t=6755","channel 2")</f>
        <v>channel 2</v>
      </c>
    </row>
    <row r="106">
      <c r="A106" s="141"/>
      <c r="B106" s="61" t="s">
        <v>3297</v>
      </c>
      <c r="C106" s="57" t="s">
        <v>381</v>
      </c>
      <c r="D106" s="61" t="s">
        <v>2012</v>
      </c>
      <c r="E106" s="11" t="str">
        <f>HYPERLINK("https://youtu.be/Z-8LlX4m0ws?t=6765","channel 4")</f>
        <v>channel 4</v>
      </c>
    </row>
    <row r="107">
      <c r="A107" s="141"/>
      <c r="B107" s="61" t="s">
        <v>1904</v>
      </c>
      <c r="C107" s="57" t="s">
        <v>264</v>
      </c>
      <c r="D107" s="61" t="s">
        <v>1699</v>
      </c>
      <c r="E107" s="11" t="str">
        <f>HYPERLINK("https://youtu.be/PFFNlGmuQtE?t=7699","channel 2")</f>
        <v>channel 2</v>
      </c>
    </row>
    <row r="108">
      <c r="A108" s="141"/>
      <c r="B108" s="61" t="s">
        <v>3297</v>
      </c>
      <c r="C108" s="57" t="s">
        <v>239</v>
      </c>
      <c r="D108" s="61" t="s">
        <v>3028</v>
      </c>
      <c r="E108" s="11" t="str">
        <f>HYPERLINK("https://youtu.be/Z-8LlX4m0ws?t=7669","channel 4")</f>
        <v>channel 4</v>
      </c>
    </row>
    <row r="109">
      <c r="A109" s="141"/>
      <c r="B109" s="61" t="s">
        <v>2012</v>
      </c>
      <c r="C109" s="57" t="s">
        <v>195</v>
      </c>
      <c r="D109" s="61" t="s">
        <v>1699</v>
      </c>
      <c r="E109" s="11" t="str">
        <f>HYPERLINK("https://youtu.be/PFFNlGmuQtE?t=8632","channel 2")</f>
        <v>channel 2</v>
      </c>
    </row>
    <row r="110">
      <c r="A110" s="141"/>
      <c r="B110" s="61" t="s">
        <v>1904</v>
      </c>
      <c r="C110" s="57" t="s">
        <v>16</v>
      </c>
      <c r="D110" s="61" t="s">
        <v>3028</v>
      </c>
      <c r="E110" s="11" t="str">
        <f>HYPERLINK("https://youtu.be/Z-8LlX4m0ws?t=8583","channel 4")</f>
        <v>channel 4</v>
      </c>
    </row>
    <row r="111">
      <c r="A111" s="141"/>
      <c r="B111" s="96" t="s">
        <v>2240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142" t="s">
        <v>3944</v>
      </c>
      <c r="C113" s="57" t="s">
        <v>163</v>
      </c>
      <c r="D113" s="61" t="s">
        <v>2538</v>
      </c>
      <c r="E113" s="11" t="str">
        <f>HYPERLINK("https://youtu.be/wIC7VIzeSQc","channel 2")</f>
        <v>channel 2</v>
      </c>
    </row>
    <row r="114">
      <c r="A114" s="141"/>
      <c r="B114" s="61" t="s">
        <v>1954</v>
      </c>
      <c r="C114" s="57" t="s">
        <v>233</v>
      </c>
      <c r="D114" s="61" t="s">
        <v>2838</v>
      </c>
      <c r="E114" s="11" t="str">
        <f>HYPERLINK("https://youtu.be/J_rd8MrEoI4","channel 4")</f>
        <v>channel 4</v>
      </c>
    </row>
    <row r="115">
      <c r="A115" s="141"/>
      <c r="B115" s="61" t="s">
        <v>3510</v>
      </c>
      <c r="C115" s="57" t="s">
        <v>23</v>
      </c>
      <c r="D115" s="61" t="s">
        <v>3944</v>
      </c>
      <c r="E115" s="11" t="str">
        <f>HYPERLINK("https://youtu.be/wIC7VIzeSQc?t=954","channel 2")</f>
        <v>channel 2</v>
      </c>
    </row>
    <row r="116">
      <c r="A116" s="141"/>
      <c r="B116" s="61" t="s">
        <v>1954</v>
      </c>
      <c r="C116" s="57" t="s">
        <v>344</v>
      </c>
      <c r="D116" s="61" t="s">
        <v>2538</v>
      </c>
      <c r="E116" s="11" t="str">
        <f>HYPERLINK("https://youtu.be/J_rd8MrEoI4?t=890","channel 4")</f>
        <v>channel 4</v>
      </c>
    </row>
    <row r="117">
      <c r="A117" s="141"/>
      <c r="B117" s="61" t="s">
        <v>3510</v>
      </c>
      <c r="C117" s="57" t="s">
        <v>1049</v>
      </c>
      <c r="D117" s="61" t="s">
        <v>2838</v>
      </c>
      <c r="E117" s="11" t="str">
        <f>HYPERLINK("https://youtu.be/wIC7VIzeSQc?t=1815","channel 2")</f>
        <v>channel 2</v>
      </c>
    </row>
    <row r="118">
      <c r="A118" s="141"/>
      <c r="B118" s="61" t="s">
        <v>1954</v>
      </c>
      <c r="C118" s="57" t="s">
        <v>14</v>
      </c>
      <c r="D118" s="61" t="s">
        <v>3944</v>
      </c>
      <c r="E118" s="11" t="str">
        <f>HYPERLINK("https://youtu.be/J_rd8MrEoI4?t=1822","channel 4")</f>
        <v>channel 4</v>
      </c>
    </row>
    <row r="119">
      <c r="A119" s="141"/>
      <c r="B119" s="61" t="s">
        <v>3510</v>
      </c>
      <c r="C119" s="57" t="s">
        <v>7</v>
      </c>
      <c r="D119" s="61" t="s">
        <v>2538</v>
      </c>
      <c r="E119" s="11" t="str">
        <f>HYPERLINK("https://youtu.be/wIC7VIzeSQc?t=2719","channel 2")</f>
        <v>channel 2</v>
      </c>
    </row>
    <row r="120">
      <c r="A120" s="141"/>
      <c r="B120" s="61" t="s">
        <v>2838</v>
      </c>
      <c r="C120" s="57" t="s">
        <v>39</v>
      </c>
      <c r="D120" s="61" t="s">
        <v>3944</v>
      </c>
      <c r="E120" s="11" t="str">
        <f>HYPERLINK("https://youtu.be/J_rd8MrEoI4?t=2661","channel 4")</f>
        <v>channel 4</v>
      </c>
    </row>
    <row r="121">
      <c r="A121" s="141"/>
      <c r="B121" s="61" t="s">
        <v>3510</v>
      </c>
      <c r="C121" s="57" t="s">
        <v>173</v>
      </c>
      <c r="D121" s="61" t="s">
        <v>1954</v>
      </c>
      <c r="E121" s="11" t="str">
        <f>HYPERLINK("https://youtu.be/wIC7VIzeSQc?t=3619","channel 2")</f>
        <v>channel 2</v>
      </c>
    </row>
    <row r="122">
      <c r="A122" s="141"/>
      <c r="B122" s="61" t="s">
        <v>2838</v>
      </c>
      <c r="C122" s="57" t="s">
        <v>3945</v>
      </c>
      <c r="D122" s="61" t="s">
        <v>2538</v>
      </c>
      <c r="E122" s="11" t="str">
        <f>HYPERLINK("https://youtu.be/J_rd8MrEoI4?t=3518","channel 4")</f>
        <v>channel 4</v>
      </c>
    </row>
    <row r="123">
      <c r="A123" s="141"/>
      <c r="B123" s="61" t="s">
        <v>2538</v>
      </c>
      <c r="C123" s="57" t="s">
        <v>18</v>
      </c>
      <c r="D123" s="61" t="s">
        <v>3944</v>
      </c>
      <c r="E123" s="11" t="str">
        <f>HYPERLINK("https://youtu.be/wIC7VIzeSQc?t=4532","channel 2")</f>
        <v>channel 2</v>
      </c>
    </row>
    <row r="124">
      <c r="A124" s="141"/>
      <c r="B124" s="61" t="s">
        <v>2838</v>
      </c>
      <c r="C124" s="57" t="s">
        <v>1277</v>
      </c>
      <c r="D124" s="61" t="s">
        <v>1954</v>
      </c>
      <c r="E124" s="11" t="str">
        <f>HYPERLINK("https://youtu.be/J_rd8MrEoI4?t=4390","channel 4")</f>
        <v>channel 4</v>
      </c>
    </row>
    <row r="125">
      <c r="A125" s="141"/>
      <c r="B125" s="61" t="s">
        <v>3944</v>
      </c>
      <c r="C125" s="57" t="s">
        <v>525</v>
      </c>
      <c r="D125" s="61" t="s">
        <v>3510</v>
      </c>
      <c r="E125" s="11" t="str">
        <f>HYPERLINK("https://youtu.be/wIC7VIzeSQc?t=5371","channel 2")</f>
        <v>channel 2</v>
      </c>
    </row>
    <row r="126">
      <c r="A126" s="141"/>
      <c r="B126" s="61" t="s">
        <v>2538</v>
      </c>
      <c r="C126" s="57" t="s">
        <v>507</v>
      </c>
      <c r="D126" s="61" t="s">
        <v>1954</v>
      </c>
      <c r="E126" s="11" t="str">
        <f>HYPERLINK("https://youtu.be/J_rd8MrEoI4?t=5336","channel 4")</f>
        <v>channel 4</v>
      </c>
    </row>
    <row r="127">
      <c r="A127" s="141"/>
      <c r="B127" s="61" t="s">
        <v>2838</v>
      </c>
      <c r="C127" s="57" t="s">
        <v>1108</v>
      </c>
      <c r="D127" s="61" t="s">
        <v>3510</v>
      </c>
      <c r="E127" s="11" t="str">
        <f>HYPERLINK("https://youtu.be/wIC7VIzeSQc?t=6260","channel 2")</f>
        <v>channel 2</v>
      </c>
    </row>
    <row r="128">
      <c r="A128" s="141"/>
      <c r="B128" s="61" t="s">
        <v>3944</v>
      </c>
      <c r="C128" s="57" t="s">
        <v>194</v>
      </c>
      <c r="D128" s="61" t="s">
        <v>1954</v>
      </c>
      <c r="E128" s="11" t="str">
        <f>HYPERLINK("https://youtu.be/J_rd8MrEoI4?t=6198","channel 4")</f>
        <v>channel 4</v>
      </c>
    </row>
    <row r="129">
      <c r="A129" s="141"/>
      <c r="B129" s="61" t="s">
        <v>2538</v>
      </c>
      <c r="C129" s="57" t="s">
        <v>194</v>
      </c>
      <c r="D129" s="61" t="s">
        <v>3510</v>
      </c>
      <c r="E129" s="11" t="str">
        <f>HYPERLINK("https://youtu.be/wIC7VIzeSQc?t=7151","channel 2")</f>
        <v>channel 2</v>
      </c>
    </row>
    <row r="130">
      <c r="A130" s="141"/>
      <c r="B130" s="61" t="s">
        <v>3944</v>
      </c>
      <c r="C130" s="57" t="s">
        <v>313</v>
      </c>
      <c r="D130" s="61" t="s">
        <v>2838</v>
      </c>
      <c r="E130" s="11" t="str">
        <f>HYPERLINK("https://youtu.be/J_rd8MrEoI4?t=7087","channel 4")</f>
        <v>channel 4</v>
      </c>
    </row>
    <row r="131">
      <c r="A131" s="141"/>
      <c r="B131" s="61" t="s">
        <v>1954</v>
      </c>
      <c r="C131" s="57" t="s">
        <v>7</v>
      </c>
      <c r="D131" s="61" t="s">
        <v>3510</v>
      </c>
      <c r="E131" s="11" t="str">
        <f>HYPERLINK("https://youtu.be/wIC7VIzeSQc?t=8527","channel 2")</f>
        <v>channel 2</v>
      </c>
    </row>
    <row r="132">
      <c r="A132" s="145"/>
      <c r="B132" s="61" t="s">
        <v>2538</v>
      </c>
      <c r="C132" s="57" t="s">
        <v>19</v>
      </c>
      <c r="D132" s="61" t="s">
        <v>2838</v>
      </c>
      <c r="E132" s="11" t="str">
        <f>HYPERLINK("https://youtu.be/J_rd8MrEoI4?t=8414","channel 4")</f>
        <v>channel 4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1777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1017</v>
      </c>
      <c r="C3" s="57" t="s">
        <v>209</v>
      </c>
      <c r="D3" s="61" t="s">
        <v>1962</v>
      </c>
      <c r="E3" s="158" t="str">
        <f>HYPERLINK("https://youtu.be/SOW7xE6bFjA","channel 1")</f>
        <v>channel 1</v>
      </c>
    </row>
    <row r="4">
      <c r="A4" s="141"/>
      <c r="B4" s="61" t="s">
        <v>3946</v>
      </c>
      <c r="C4" s="84" t="s">
        <v>538</v>
      </c>
      <c r="D4" s="61" t="s">
        <v>3947</v>
      </c>
      <c r="E4" s="11" t="str">
        <f>HYPERLINK("https://youtu.be/u1eaXysdSyA","channel 2")</f>
        <v>channel 2</v>
      </c>
    </row>
    <row r="5">
      <c r="A5" s="141"/>
      <c r="B5" s="61" t="s">
        <v>3948</v>
      </c>
      <c r="C5" s="57" t="s">
        <v>36</v>
      </c>
      <c r="D5" s="61" t="s">
        <v>1017</v>
      </c>
      <c r="E5" s="158" t="str">
        <f>HYPERLINK("https://youtu.be/SOW7xE6bFjA?t=1044","channel 1")</f>
        <v>channel 1</v>
      </c>
    </row>
    <row r="6">
      <c r="A6" s="141"/>
      <c r="B6" s="61" t="s">
        <v>3946</v>
      </c>
      <c r="C6" s="57" t="s">
        <v>278</v>
      </c>
      <c r="D6" s="61" t="s">
        <v>1962</v>
      </c>
      <c r="E6" s="11" t="str">
        <f>HYPERLINK("https://youtu.be/u1eaXysdSyA?t=887","channel 2")</f>
        <v>channel 2</v>
      </c>
    </row>
    <row r="7">
      <c r="A7" s="141"/>
      <c r="B7" s="61" t="s">
        <v>3948</v>
      </c>
      <c r="C7" s="57" t="s">
        <v>166</v>
      </c>
      <c r="D7" s="61" t="s">
        <v>3947</v>
      </c>
      <c r="E7" s="158" t="str">
        <f>HYPERLINK("https://youtu.be/SOW7xE6bFjA?t=2031","channel 1")</f>
        <v>channel 1</v>
      </c>
    </row>
    <row r="8">
      <c r="A8" s="141"/>
      <c r="B8" s="61" t="s">
        <v>3946</v>
      </c>
      <c r="C8" s="57" t="s">
        <v>24</v>
      </c>
      <c r="D8" s="61" t="s">
        <v>1017</v>
      </c>
      <c r="E8" s="11" t="str">
        <f>HYPERLINK("https://youtu.be/u1eaXysdSyA?t=1862","channel 2")</f>
        <v>channel 2</v>
      </c>
    </row>
    <row r="9">
      <c r="A9" s="141"/>
      <c r="B9" s="61" t="s">
        <v>3948</v>
      </c>
      <c r="C9" s="57" t="s">
        <v>210</v>
      </c>
      <c r="D9" s="61" t="s">
        <v>1962</v>
      </c>
      <c r="E9" s="158" t="str">
        <f>HYPERLINK("https://youtu.be/SOW7xE6bFjA?t=3036","channel 1")</f>
        <v>channel 1</v>
      </c>
    </row>
    <row r="10">
      <c r="A10" s="141"/>
      <c r="B10" s="61" t="s">
        <v>3947</v>
      </c>
      <c r="C10" s="57" t="s">
        <v>281</v>
      </c>
      <c r="D10" s="61" t="s">
        <v>1017</v>
      </c>
      <c r="E10" s="11" t="str">
        <f>HYPERLINK("https://youtu.be/u1eaXysdSyA?t=2867","channel 2")</f>
        <v>channel 2</v>
      </c>
    </row>
    <row r="11">
      <c r="A11" s="141"/>
      <c r="B11" s="61" t="s">
        <v>3948</v>
      </c>
      <c r="C11" s="57" t="s">
        <v>44</v>
      </c>
      <c r="D11" s="61" t="s">
        <v>3946</v>
      </c>
      <c r="E11" s="158" t="str">
        <f>HYPERLINK("https://youtu.be/SOW7xE6bFjA?t=3998","channel 1")</f>
        <v>channel 1</v>
      </c>
    </row>
    <row r="12">
      <c r="A12" s="141"/>
      <c r="B12" s="61" t="s">
        <v>3947</v>
      </c>
      <c r="C12" s="57" t="s">
        <v>166</v>
      </c>
      <c r="D12" s="61" t="s">
        <v>1962</v>
      </c>
      <c r="E12" s="11" t="str">
        <f>HYPERLINK("https://youtu.be/u1eaXysdSyA?t=3811","channel 2")</f>
        <v>channel 2</v>
      </c>
    </row>
    <row r="13">
      <c r="A13" s="141"/>
      <c r="B13" s="61" t="s">
        <v>1962</v>
      </c>
      <c r="C13" s="57" t="s">
        <v>36</v>
      </c>
      <c r="D13" s="61" t="s">
        <v>1017</v>
      </c>
      <c r="E13" s="158" t="str">
        <f>HYPERLINK("https://youtu.be/SOW7xE6bFjA?t=4946","channel 1")</f>
        <v>channel 1</v>
      </c>
    </row>
    <row r="14">
      <c r="A14" s="141"/>
      <c r="B14" s="61" t="s">
        <v>3947</v>
      </c>
      <c r="C14" s="57" t="s">
        <v>19</v>
      </c>
      <c r="D14" s="61" t="s">
        <v>3946</v>
      </c>
      <c r="E14" s="11" t="str">
        <f>HYPERLINK("https://youtu.be/u1eaXysdSyA?t=4776","channel 2")</f>
        <v>channel 2</v>
      </c>
    </row>
    <row r="15">
      <c r="A15" s="141"/>
      <c r="B15" s="61" t="s">
        <v>1017</v>
      </c>
      <c r="C15" s="54" t="s">
        <v>302</v>
      </c>
      <c r="D15" s="61" t="s">
        <v>3948</v>
      </c>
      <c r="E15" s="158" t="str">
        <f>HYPERLINK("https://youtu.be/SOW7xE6bFjA?t=5874","channel 1")</f>
        <v>channel 1</v>
      </c>
    </row>
    <row r="16">
      <c r="A16" s="141"/>
      <c r="B16" s="61" t="s">
        <v>1962</v>
      </c>
      <c r="C16" s="57" t="s">
        <v>155</v>
      </c>
      <c r="D16" s="61" t="s">
        <v>3946</v>
      </c>
      <c r="E16" s="11" t="str">
        <f>HYPERLINK("https://youtu.be/u1eaXysdSyA?t=5679","channel 2")</f>
        <v>channel 2</v>
      </c>
    </row>
    <row r="17">
      <c r="A17" s="141"/>
      <c r="B17" s="61" t="s">
        <v>3947</v>
      </c>
      <c r="C17" s="57" t="s">
        <v>1120</v>
      </c>
      <c r="D17" s="61" t="s">
        <v>3948</v>
      </c>
      <c r="E17" s="158" t="str">
        <f>HYPERLINK("https://youtu.be/SOW7xE6bFjA?t=6802","channel 1")</f>
        <v>channel 1</v>
      </c>
    </row>
    <row r="18">
      <c r="A18" s="141"/>
      <c r="B18" s="61" t="s">
        <v>1017</v>
      </c>
      <c r="C18" s="57" t="s">
        <v>432</v>
      </c>
      <c r="D18" s="61" t="s">
        <v>3946</v>
      </c>
      <c r="E18" s="11" t="str">
        <f>HYPERLINK("https://youtu.be/u1eaXysdSyA?t=6566","channel 2")</f>
        <v>channel 2</v>
      </c>
    </row>
    <row r="19">
      <c r="A19" s="141"/>
      <c r="B19" s="61" t="s">
        <v>1962</v>
      </c>
      <c r="C19" s="57" t="s">
        <v>267</v>
      </c>
      <c r="D19" s="61" t="s">
        <v>3948</v>
      </c>
      <c r="E19" s="158" t="str">
        <f>HYPERLINK("https://youtu.be/SOW7xE6bFjA?t=7763","channel 1")</f>
        <v>channel 1</v>
      </c>
    </row>
    <row r="20">
      <c r="A20" s="141"/>
      <c r="B20" s="61" t="s">
        <v>1017</v>
      </c>
      <c r="C20" s="57" t="s">
        <v>210</v>
      </c>
      <c r="D20" s="61" t="s">
        <v>3947</v>
      </c>
      <c r="E20" s="11" t="str">
        <f>HYPERLINK("https://youtu.be/u1eaXysdSyA?t=7520","channel 2")</f>
        <v>channel 2</v>
      </c>
    </row>
    <row r="21">
      <c r="A21" s="141"/>
      <c r="B21" s="61" t="s">
        <v>3946</v>
      </c>
      <c r="C21" s="57" t="s">
        <v>362</v>
      </c>
      <c r="D21" s="61" t="s">
        <v>3948</v>
      </c>
      <c r="E21" s="158" t="str">
        <f>HYPERLINK("https://youtu.be/SOW7xE6bFjA?t=8639","channel 1")</f>
        <v>channel 1</v>
      </c>
    </row>
    <row r="22">
      <c r="A22" s="141"/>
      <c r="B22" s="61" t="s">
        <v>1962</v>
      </c>
      <c r="C22" s="57" t="s">
        <v>173</v>
      </c>
      <c r="D22" s="61" t="s">
        <v>3947</v>
      </c>
      <c r="E22" s="11" t="str">
        <f>HYPERLINK("https://youtu.be/u1eaXysdSyA?t=8423","channel 2")</f>
        <v>channel 2</v>
      </c>
    </row>
    <row r="23">
      <c r="A23" s="141"/>
      <c r="B23" s="96" t="s">
        <v>3526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3949</v>
      </c>
      <c r="C25" s="57" t="s">
        <v>184</v>
      </c>
      <c r="D25" s="61" t="s">
        <v>937</v>
      </c>
      <c r="E25" s="158" t="str">
        <f>HYPERLINK("https://youtu.be/SFsc9p4P4wQ","channel 1")</f>
        <v>channel 1</v>
      </c>
    </row>
    <row r="26">
      <c r="A26" s="141"/>
      <c r="B26" s="61" t="s">
        <v>3950</v>
      </c>
      <c r="C26" s="57" t="s">
        <v>194</v>
      </c>
      <c r="D26" s="61" t="s">
        <v>3943</v>
      </c>
      <c r="E26" s="11" t="str">
        <f>HYPERLINK("https://youtu.be/oySeKBA8AcM","channel 2")</f>
        <v>channel 2</v>
      </c>
    </row>
    <row r="27">
      <c r="A27" s="141"/>
      <c r="B27" s="61" t="s">
        <v>3951</v>
      </c>
      <c r="C27" s="57" t="s">
        <v>18</v>
      </c>
      <c r="D27" s="61" t="s">
        <v>3949</v>
      </c>
      <c r="E27" s="158" t="str">
        <f>HYPERLINK("https://youtu.be/SFsc9p4P4wQ?t=979","channel 1")</f>
        <v>channel 1</v>
      </c>
    </row>
    <row r="28">
      <c r="A28" s="141"/>
      <c r="B28" s="61" t="s">
        <v>3950</v>
      </c>
      <c r="C28" s="57" t="s">
        <v>549</v>
      </c>
      <c r="D28" s="61" t="s">
        <v>937</v>
      </c>
      <c r="E28" s="11" t="str">
        <f>HYPERLINK("https://youtu.be/oySeKBA8AcM?t=927","channel 2")</f>
        <v>channel 2</v>
      </c>
    </row>
    <row r="29">
      <c r="A29" s="141"/>
      <c r="B29" s="61" t="s">
        <v>3951</v>
      </c>
      <c r="C29" s="57" t="s">
        <v>17</v>
      </c>
      <c r="D29" s="61" t="s">
        <v>3943</v>
      </c>
      <c r="E29" s="158" t="str">
        <f>HYPERLINK("https://youtu.be/SFsc9p4P4wQ?t=1881","channel 1")</f>
        <v>channel 1</v>
      </c>
    </row>
    <row r="30">
      <c r="A30" s="141"/>
      <c r="B30" s="61" t="s">
        <v>3950</v>
      </c>
      <c r="C30" s="57" t="s">
        <v>195</v>
      </c>
      <c r="D30" s="61" t="s">
        <v>3949</v>
      </c>
      <c r="E30" s="11" t="str">
        <f>HYPERLINK("https://youtu.be/oySeKBA8AcM?t=1808","channel 2")</f>
        <v>channel 2</v>
      </c>
    </row>
    <row r="31">
      <c r="A31" s="141"/>
      <c r="B31" s="61" t="s">
        <v>3951</v>
      </c>
      <c r="C31" s="57" t="s">
        <v>291</v>
      </c>
      <c r="D31" s="61" t="s">
        <v>937</v>
      </c>
      <c r="E31" s="158" t="str">
        <f>HYPERLINK("https://youtu.be/SFsc9p4P4wQ?t=2811","channel 1")</f>
        <v>channel 1</v>
      </c>
    </row>
    <row r="32">
      <c r="A32" s="141"/>
      <c r="B32" s="61" t="s">
        <v>3943</v>
      </c>
      <c r="C32" s="57" t="s">
        <v>185</v>
      </c>
      <c r="D32" s="61" t="s">
        <v>3949</v>
      </c>
      <c r="E32" s="11" t="str">
        <f>HYPERLINK("https://youtu.be/oySeKBA8AcM?t=2819","channel 2")</f>
        <v>channel 2</v>
      </c>
    </row>
    <row r="33">
      <c r="A33" s="141"/>
      <c r="B33" s="61" t="s">
        <v>3951</v>
      </c>
      <c r="C33" s="57" t="s">
        <v>210</v>
      </c>
      <c r="D33" s="61" t="s">
        <v>3950</v>
      </c>
      <c r="E33" s="158" t="str">
        <f>HYPERLINK("https://youtu.be/SFsc9p4P4wQ?t=3799","channel 1")</f>
        <v>channel 1</v>
      </c>
    </row>
    <row r="34">
      <c r="A34" s="141"/>
      <c r="B34" s="61" t="s">
        <v>3943</v>
      </c>
      <c r="C34" s="57" t="s">
        <v>36</v>
      </c>
      <c r="D34" s="61" t="s">
        <v>937</v>
      </c>
      <c r="E34" s="11" t="str">
        <f>HYPERLINK("https://youtu.be/oySeKBA8AcM?t=3736","channel 2")</f>
        <v>channel 2</v>
      </c>
    </row>
    <row r="35">
      <c r="A35" s="141"/>
      <c r="B35" s="61" t="s">
        <v>937</v>
      </c>
      <c r="C35" s="57" t="s">
        <v>487</v>
      </c>
      <c r="D35" s="61" t="s">
        <v>3949</v>
      </c>
      <c r="E35" s="158" t="str">
        <f>HYPERLINK("https://youtu.be/SFsc9p4P4wQ?t=4689","channel 1")</f>
        <v>channel 1</v>
      </c>
    </row>
    <row r="36">
      <c r="A36" s="141"/>
      <c r="B36" s="61" t="s">
        <v>3943</v>
      </c>
      <c r="C36" s="57" t="s">
        <v>208</v>
      </c>
      <c r="D36" s="61" t="s">
        <v>3950</v>
      </c>
      <c r="E36" s="11" t="str">
        <f>HYPERLINK("https://youtu.be/oySeKBA8AcM?t=4689","channel 2")</f>
        <v>channel 2</v>
      </c>
    </row>
    <row r="37">
      <c r="A37" s="141"/>
      <c r="B37" s="61" t="s">
        <v>3949</v>
      </c>
      <c r="C37" s="57" t="s">
        <v>193</v>
      </c>
      <c r="D37" s="61" t="s">
        <v>3951</v>
      </c>
      <c r="E37" s="158" t="str">
        <f>HYPERLINK("https://youtu.be/SFsc9p4P4wQ?t=5633","channel 1")</f>
        <v>channel 1</v>
      </c>
    </row>
    <row r="38">
      <c r="A38" s="141"/>
      <c r="B38" s="61" t="s">
        <v>937</v>
      </c>
      <c r="C38" s="57" t="s">
        <v>251</v>
      </c>
      <c r="D38" s="61" t="s">
        <v>3950</v>
      </c>
      <c r="E38" s="11" t="str">
        <f>HYPERLINK("https://youtu.be/oySeKBA8AcM?t=5658","channel 2")</f>
        <v>channel 2</v>
      </c>
    </row>
    <row r="39">
      <c r="A39" s="141"/>
      <c r="B39" s="61" t="s">
        <v>3943</v>
      </c>
      <c r="C39" s="45" t="s">
        <v>696</v>
      </c>
      <c r="D39" s="61" t="s">
        <v>3951</v>
      </c>
      <c r="E39" s="158" t="str">
        <f>HYPERLINK("https://youtu.be/SFsc9p4P4wQ?t=6556","channel 1")</f>
        <v>channel 1</v>
      </c>
    </row>
    <row r="40">
      <c r="A40" s="141"/>
      <c r="B40" s="61" t="s">
        <v>3949</v>
      </c>
      <c r="C40" s="57" t="s">
        <v>477</v>
      </c>
      <c r="D40" s="61" t="s">
        <v>3950</v>
      </c>
      <c r="E40" s="11" t="str">
        <f>HYPERLINK("https://youtu.be/oySeKBA8AcM?t=6555","channel 2")</f>
        <v>channel 2</v>
      </c>
    </row>
    <row r="41">
      <c r="A41" s="141"/>
      <c r="B41" s="61" t="s">
        <v>937</v>
      </c>
      <c r="C41" s="57" t="s">
        <v>244</v>
      </c>
      <c r="D41" s="61" t="s">
        <v>3951</v>
      </c>
      <c r="E41" s="158" t="str">
        <f>HYPERLINK("https://youtu.be/SFsc9p4P4wQ?t=7587","channel 1")</f>
        <v>channel 1</v>
      </c>
    </row>
    <row r="42">
      <c r="A42" s="141"/>
      <c r="B42" s="61" t="s">
        <v>3949</v>
      </c>
      <c r="C42" s="57" t="s">
        <v>490</v>
      </c>
      <c r="D42" s="61" t="s">
        <v>3943</v>
      </c>
      <c r="E42" s="11" t="str">
        <f>HYPERLINK("https://youtu.be/oySeKBA8AcM?t=7488","channel 2")</f>
        <v>channel 2</v>
      </c>
    </row>
    <row r="43">
      <c r="A43" s="141"/>
      <c r="B43" s="61" t="s">
        <v>3950</v>
      </c>
      <c r="C43" s="57" t="s">
        <v>3069</v>
      </c>
      <c r="D43" s="61" t="s">
        <v>3951</v>
      </c>
      <c r="E43" s="158" t="str">
        <f>HYPERLINK("https://youtu.be/SFsc9p4P4wQ?t=8536","channel 1")</f>
        <v>channel 1</v>
      </c>
    </row>
    <row r="44">
      <c r="A44" s="141"/>
      <c r="B44" s="61" t="s">
        <v>937</v>
      </c>
      <c r="C44" s="57" t="s">
        <v>278</v>
      </c>
      <c r="D44" s="61" t="s">
        <v>3943</v>
      </c>
      <c r="E44" s="11" t="str">
        <f>HYPERLINK("https://youtu.be/oySeKBA8AcM?t=8317","channel 2")</f>
        <v>channel 2</v>
      </c>
    </row>
    <row r="45">
      <c r="A45" s="141"/>
      <c r="B45" s="96" t="s">
        <v>3105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3443</v>
      </c>
      <c r="C47" s="57" t="s">
        <v>257</v>
      </c>
      <c r="D47" s="61" t="s">
        <v>3952</v>
      </c>
      <c r="E47" s="158" t="str">
        <f>HYPERLINK("https://youtu.be/SPL3WQHp5CA","channel 1")</f>
        <v>channel 1</v>
      </c>
    </row>
    <row r="48">
      <c r="A48" s="141"/>
      <c r="B48" s="61" t="s">
        <v>3953</v>
      </c>
      <c r="C48" s="57" t="s">
        <v>187</v>
      </c>
      <c r="D48" s="61" t="s">
        <v>3381</v>
      </c>
      <c r="E48" s="11" t="str">
        <f>HYPERLINK("https://youtu.be/bAGGuUlxQKc","channel 2")</f>
        <v>channel 2</v>
      </c>
    </row>
    <row r="49">
      <c r="A49" s="141"/>
      <c r="B49" s="61" t="s">
        <v>3954</v>
      </c>
      <c r="C49" s="57" t="s">
        <v>250</v>
      </c>
      <c r="D49" s="61" t="s">
        <v>3443</v>
      </c>
      <c r="E49" s="158" t="str">
        <f>HYPERLINK("https://youtu.be/SPL3WQHp5CA?t=1033","channel 1")</f>
        <v>channel 1</v>
      </c>
    </row>
    <row r="50">
      <c r="A50" s="141"/>
      <c r="B50" s="61" t="s">
        <v>3953</v>
      </c>
      <c r="C50" s="57" t="s">
        <v>195</v>
      </c>
      <c r="D50" s="61" t="s">
        <v>3952</v>
      </c>
      <c r="E50" s="11" t="str">
        <f>HYPERLINK("https://youtu.be/bAGGuUlxQKc?t=1107","channel 2")</f>
        <v>channel 2</v>
      </c>
    </row>
    <row r="51">
      <c r="A51" s="141"/>
      <c r="B51" s="61" t="s">
        <v>3954</v>
      </c>
      <c r="C51" s="57" t="s">
        <v>219</v>
      </c>
      <c r="D51" s="61" t="s">
        <v>3381</v>
      </c>
      <c r="E51" s="158" t="str">
        <f>HYPERLINK("https://youtu.be/SPL3WQHp5CA?t=1983","channel 1")</f>
        <v>channel 1</v>
      </c>
    </row>
    <row r="52">
      <c r="A52" s="141"/>
      <c r="B52" s="61" t="s">
        <v>3953</v>
      </c>
      <c r="C52" s="57" t="s">
        <v>2468</v>
      </c>
      <c r="D52" s="61" t="s">
        <v>3443</v>
      </c>
      <c r="E52" s="11" t="str">
        <f>HYPERLINK("https://youtu.be/bAGGuUlxQKc?t=2118","channel 2")</f>
        <v>channel 2</v>
      </c>
    </row>
    <row r="53">
      <c r="A53" s="141"/>
      <c r="B53" s="61" t="s">
        <v>3954</v>
      </c>
      <c r="C53" s="57" t="s">
        <v>1814</v>
      </c>
      <c r="D53" s="61" t="s">
        <v>3952</v>
      </c>
      <c r="E53" s="158" t="str">
        <f>HYPERLINK("https://youtu.be/SPL3WQHp5CA?t=2962","channel 1")</f>
        <v>channel 1</v>
      </c>
    </row>
    <row r="54">
      <c r="A54" s="141"/>
      <c r="B54" s="61" t="s">
        <v>3381</v>
      </c>
      <c r="C54" s="57" t="s">
        <v>786</v>
      </c>
      <c r="D54" s="61" t="s">
        <v>3443</v>
      </c>
      <c r="E54" s="11" t="str">
        <f>HYPERLINK("https://youtu.be/bAGGuUlxQKc?t=3054","channel 2")</f>
        <v>channel 2</v>
      </c>
    </row>
    <row r="55">
      <c r="A55" s="141"/>
      <c r="B55" s="61" t="s">
        <v>3954</v>
      </c>
      <c r="C55" s="57" t="s">
        <v>225</v>
      </c>
      <c r="D55" s="61" t="s">
        <v>3953</v>
      </c>
      <c r="E55" s="158" t="str">
        <f>HYPERLINK("https://youtu.be/SPL3WQHp5CA?t=3942","channel 1")</f>
        <v>channel 1</v>
      </c>
    </row>
    <row r="56">
      <c r="A56" s="141"/>
      <c r="B56" s="61" t="s">
        <v>3381</v>
      </c>
      <c r="C56" s="57" t="s">
        <v>173</v>
      </c>
      <c r="D56" s="61" t="s">
        <v>3952</v>
      </c>
      <c r="E56" s="11" t="str">
        <f>HYPERLINK("https://youtu.be/bAGGuUlxQKc?t=4057","channel 2")</f>
        <v>channel 2</v>
      </c>
    </row>
    <row r="57">
      <c r="A57" s="141"/>
      <c r="B57" s="61" t="s">
        <v>3952</v>
      </c>
      <c r="C57" s="57" t="s">
        <v>487</v>
      </c>
      <c r="D57" s="61" t="s">
        <v>3443</v>
      </c>
      <c r="E57" s="158" t="str">
        <f>HYPERLINK("https://youtu.be/SPL3WQHp5CA?t=4877","channel 1")</f>
        <v>channel 1</v>
      </c>
    </row>
    <row r="58">
      <c r="A58" s="141"/>
      <c r="B58" s="61" t="s">
        <v>3381</v>
      </c>
      <c r="C58" s="57" t="s">
        <v>257</v>
      </c>
      <c r="D58" s="61" t="s">
        <v>3953</v>
      </c>
      <c r="E58" s="11" t="str">
        <f>HYPERLINK("https://youtu.be/bAGGuUlxQKc?t=4973","channel 2")</f>
        <v>channel 2</v>
      </c>
    </row>
    <row r="59">
      <c r="A59" s="141"/>
      <c r="B59" s="61" t="s">
        <v>3443</v>
      </c>
      <c r="C59" s="57" t="s">
        <v>41</v>
      </c>
      <c r="D59" s="61" t="s">
        <v>3954</v>
      </c>
      <c r="E59" s="158" t="str">
        <f>HYPERLINK("https://youtu.be/SPL3WQHp5CA?t=5797","channel 1")</f>
        <v>channel 1</v>
      </c>
    </row>
    <row r="60">
      <c r="A60" s="141"/>
      <c r="B60" s="61" t="s">
        <v>3952</v>
      </c>
      <c r="C60" s="57" t="s">
        <v>16</v>
      </c>
      <c r="D60" s="61" t="s">
        <v>3953</v>
      </c>
      <c r="E60" s="11" t="str">
        <f>HYPERLINK("https://youtu.be/bAGGuUlxQKc?t=5910","channel 2")</f>
        <v>channel 2</v>
      </c>
    </row>
    <row r="61">
      <c r="A61" s="141"/>
      <c r="B61" s="61" t="s">
        <v>3381</v>
      </c>
      <c r="C61" s="57" t="s">
        <v>344</v>
      </c>
      <c r="D61" s="61" t="s">
        <v>3954</v>
      </c>
      <c r="E61" s="158" t="str">
        <f>HYPERLINK("https://youtu.be/SPL3WQHp5CA?t=6708","channel 1")</f>
        <v>channel 1</v>
      </c>
    </row>
    <row r="62">
      <c r="A62" s="141"/>
      <c r="B62" s="61" t="s">
        <v>3443</v>
      </c>
      <c r="C62" s="45" t="s">
        <v>227</v>
      </c>
      <c r="D62" s="61" t="s">
        <v>3953</v>
      </c>
      <c r="E62" s="11" t="str">
        <f>HYPERLINK("https://youtu.be/bAGGuUlxQKc?t=6840","channel 2")</f>
        <v>channel 2</v>
      </c>
    </row>
    <row r="63">
      <c r="A63" s="141"/>
      <c r="B63" s="61" t="s">
        <v>3952</v>
      </c>
      <c r="C63" s="57" t="s">
        <v>193</v>
      </c>
      <c r="D63" s="61" t="s">
        <v>3954</v>
      </c>
      <c r="E63" s="158" t="str">
        <f>HYPERLINK("https://youtu.be/SPL3WQHp5CA?t=7667","channel 1")</f>
        <v>channel 1</v>
      </c>
    </row>
    <row r="64">
      <c r="A64" s="141"/>
      <c r="B64" s="61" t="s">
        <v>3443</v>
      </c>
      <c r="C64" s="57" t="s">
        <v>1334</v>
      </c>
      <c r="D64" s="61" t="s">
        <v>3381</v>
      </c>
      <c r="E64" s="11" t="str">
        <f>HYPERLINK("https://youtu.be/bAGGuUlxQKc?t=7792","channel 2")</f>
        <v>channel 2</v>
      </c>
    </row>
    <row r="65">
      <c r="A65" s="141"/>
      <c r="B65" s="61" t="s">
        <v>3953</v>
      </c>
      <c r="C65" s="57" t="s">
        <v>176</v>
      </c>
      <c r="D65" s="61" t="s">
        <v>3954</v>
      </c>
      <c r="E65" s="158" t="str">
        <f>HYPERLINK("https://youtu.be/SPL3WQHp5CA?t=8622","channel 1")</f>
        <v>channel 1</v>
      </c>
    </row>
    <row r="66">
      <c r="A66" s="141"/>
      <c r="B66" s="61" t="s">
        <v>3952</v>
      </c>
      <c r="C66" s="57" t="s">
        <v>744</v>
      </c>
      <c r="D66" s="61" t="s">
        <v>3381</v>
      </c>
      <c r="E66" s="11" t="str">
        <f>HYPERLINK("https://youtu.be/bAGGuUlxQKc?t=8723","channel 2")</f>
        <v>channel 2</v>
      </c>
    </row>
    <row r="67">
      <c r="A67" s="141"/>
      <c r="B67" s="160" t="s">
        <v>1803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3955</v>
      </c>
      <c r="C69" s="57" t="s">
        <v>225</v>
      </c>
      <c r="D69" s="61" t="s">
        <v>3956</v>
      </c>
      <c r="E69" s="158" t="str">
        <f>HYPERLINK("https://youtu.be/nmZi5nEl_7E","channel 1")</f>
        <v>channel 1</v>
      </c>
    </row>
    <row r="70">
      <c r="A70" s="141"/>
      <c r="B70" s="61" t="s">
        <v>3957</v>
      </c>
      <c r="C70" s="57" t="s">
        <v>369</v>
      </c>
      <c r="D70" s="61" t="s">
        <v>3269</v>
      </c>
      <c r="E70" s="11" t="str">
        <f>HYPERLINK("https://youtu.be/KRRmDWg71iI","channel 2")</f>
        <v>channel 2</v>
      </c>
    </row>
    <row r="71">
      <c r="A71" s="141"/>
      <c r="B71" s="61" t="s">
        <v>3958</v>
      </c>
      <c r="C71" s="57" t="s">
        <v>185</v>
      </c>
      <c r="D71" s="61" t="s">
        <v>3955</v>
      </c>
      <c r="E71" s="164" t="s">
        <v>9</v>
      </c>
    </row>
    <row r="72">
      <c r="A72" s="141"/>
      <c r="B72" s="61" t="s">
        <v>3957</v>
      </c>
      <c r="C72" s="57" t="s">
        <v>208</v>
      </c>
      <c r="D72" s="61" t="s">
        <v>3956</v>
      </c>
      <c r="E72" s="11" t="str">
        <f>HYPERLINK("https://youtu.be/KRRmDWg71iI?t=1165","channel 2")</f>
        <v>channel 2</v>
      </c>
    </row>
    <row r="73">
      <c r="A73" s="141"/>
      <c r="B73" s="61" t="s">
        <v>3958</v>
      </c>
      <c r="C73" s="57" t="s">
        <v>18</v>
      </c>
      <c r="D73" s="61" t="s">
        <v>3269</v>
      </c>
      <c r="E73" s="164" t="s">
        <v>9</v>
      </c>
    </row>
    <row r="74">
      <c r="A74" s="141"/>
      <c r="B74" s="61" t="s">
        <v>3957</v>
      </c>
      <c r="C74" s="57" t="s">
        <v>3193</v>
      </c>
      <c r="D74" s="61" t="s">
        <v>3955</v>
      </c>
      <c r="E74" s="11" t="str">
        <f>HYPERLINK("https://youtu.be/KRRmDWg71iI?t=2134","channel 2")</f>
        <v>channel 2</v>
      </c>
    </row>
    <row r="75">
      <c r="A75" s="141"/>
      <c r="B75" s="61" t="s">
        <v>3958</v>
      </c>
      <c r="C75" s="57" t="s">
        <v>251</v>
      </c>
      <c r="D75" s="61" t="s">
        <v>3956</v>
      </c>
      <c r="E75" s="164" t="s">
        <v>9</v>
      </c>
    </row>
    <row r="76">
      <c r="A76" s="141"/>
      <c r="B76" s="61" t="s">
        <v>3269</v>
      </c>
      <c r="C76" s="57" t="s">
        <v>7</v>
      </c>
      <c r="D76" s="61" t="s">
        <v>3955</v>
      </c>
      <c r="E76" s="11" t="str">
        <f>HYPERLINK("https://youtu.be/KRRmDWg71iI?t=3152","channel 2")</f>
        <v>channel 2</v>
      </c>
    </row>
    <row r="77">
      <c r="A77" s="141"/>
      <c r="B77" s="61" t="s">
        <v>3958</v>
      </c>
      <c r="C77" s="57" t="s">
        <v>16</v>
      </c>
      <c r="D77" s="61" t="s">
        <v>3957</v>
      </c>
      <c r="E77" s="164" t="s">
        <v>9</v>
      </c>
    </row>
    <row r="78">
      <c r="A78" s="141"/>
      <c r="B78" s="61" t="s">
        <v>3269</v>
      </c>
      <c r="C78" s="57" t="s">
        <v>162</v>
      </c>
      <c r="D78" s="61" t="s">
        <v>3956</v>
      </c>
      <c r="E78" s="11" t="str">
        <f>HYPERLINK("https://youtu.be/KRRmDWg71iI?t=4265","channel 2")</f>
        <v>channel 2</v>
      </c>
    </row>
    <row r="79">
      <c r="A79" s="141"/>
      <c r="B79" s="61" t="s">
        <v>3956</v>
      </c>
      <c r="C79" s="57" t="s">
        <v>41</v>
      </c>
      <c r="D79" s="61" t="s">
        <v>3955</v>
      </c>
      <c r="E79" s="164" t="s">
        <v>9</v>
      </c>
    </row>
    <row r="80">
      <c r="A80" s="141"/>
      <c r="B80" s="61" t="s">
        <v>3269</v>
      </c>
      <c r="C80" s="57" t="s">
        <v>16</v>
      </c>
      <c r="D80" s="61" t="s">
        <v>3957</v>
      </c>
      <c r="E80" s="11" t="str">
        <f>HYPERLINK("https://youtu.be/KRRmDWg71iI?t=5159","channel 2")</f>
        <v>channel 2</v>
      </c>
    </row>
    <row r="81">
      <c r="A81" s="141"/>
      <c r="B81" s="61" t="s">
        <v>3955</v>
      </c>
      <c r="C81" s="57" t="s">
        <v>19</v>
      </c>
      <c r="D81" s="61" t="s">
        <v>3958</v>
      </c>
      <c r="E81" s="164" t="s">
        <v>9</v>
      </c>
    </row>
    <row r="82">
      <c r="A82" s="141"/>
      <c r="B82" s="61" t="s">
        <v>3956</v>
      </c>
      <c r="C82" s="57" t="s">
        <v>251</v>
      </c>
      <c r="D82" s="61" t="s">
        <v>3957</v>
      </c>
      <c r="E82" s="11" t="str">
        <f>HYPERLINK("https://youtu.be/KRRmDWg71iI?t=6074","channel 2")</f>
        <v>channel 2</v>
      </c>
    </row>
    <row r="83">
      <c r="A83" s="141"/>
      <c r="B83" s="61" t="s">
        <v>3269</v>
      </c>
      <c r="C83" s="57" t="s">
        <v>744</v>
      </c>
      <c r="D83" s="61" t="s">
        <v>3958</v>
      </c>
      <c r="E83" s="164" t="s">
        <v>9</v>
      </c>
    </row>
    <row r="84">
      <c r="A84" s="141"/>
      <c r="B84" s="61" t="s">
        <v>3955</v>
      </c>
      <c r="C84" s="57" t="s">
        <v>244</v>
      </c>
      <c r="D84" s="61" t="s">
        <v>3957</v>
      </c>
      <c r="E84" s="11" t="str">
        <f>HYPERLINK("https://youtu.be/KRRmDWg71iI?t=7085","channel 2")</f>
        <v>channel 2</v>
      </c>
    </row>
    <row r="85">
      <c r="A85" s="141"/>
      <c r="B85" s="61" t="s">
        <v>3956</v>
      </c>
      <c r="C85" s="57" t="s">
        <v>1468</v>
      </c>
      <c r="D85" s="61" t="s">
        <v>3958</v>
      </c>
      <c r="E85" s="164" t="s">
        <v>9</v>
      </c>
    </row>
    <row r="86">
      <c r="A86" s="141"/>
      <c r="B86" s="61" t="s">
        <v>3955</v>
      </c>
      <c r="C86" s="57" t="s">
        <v>352</v>
      </c>
      <c r="D86" s="61" t="s">
        <v>3269</v>
      </c>
      <c r="E86" s="11" t="str">
        <f>HYPERLINK("https://youtu.be/KRRmDWg71iI?t=7948","channel 2")</f>
        <v>channel 2</v>
      </c>
    </row>
    <row r="87">
      <c r="A87" s="141"/>
      <c r="B87" s="61" t="s">
        <v>3957</v>
      </c>
      <c r="C87" s="57" t="s">
        <v>230</v>
      </c>
      <c r="D87" s="61" t="s">
        <v>3958</v>
      </c>
      <c r="E87" s="164" t="s">
        <v>9</v>
      </c>
    </row>
    <row r="88">
      <c r="A88" s="141"/>
      <c r="B88" s="61" t="s">
        <v>3956</v>
      </c>
      <c r="C88" s="57" t="s">
        <v>162</v>
      </c>
      <c r="D88" s="61" t="s">
        <v>3269</v>
      </c>
      <c r="E88" s="11" t="str">
        <f>HYPERLINK("https://youtu.be/KRRmDWg71iI?t=8949","channel 2")</f>
        <v>channel 2</v>
      </c>
    </row>
    <row r="89">
      <c r="A89" s="141"/>
      <c r="B89" s="96" t="s">
        <v>2995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3959</v>
      </c>
      <c r="C91" s="57" t="s">
        <v>24</v>
      </c>
      <c r="D91" s="61" t="s">
        <v>3960</v>
      </c>
      <c r="E91" s="158" t="str">
        <f>HYPERLINK("https://youtu.be/Lf21egzRqtc","channel 1")</f>
        <v>channel 1</v>
      </c>
    </row>
    <row r="92">
      <c r="A92" s="141"/>
      <c r="B92" s="61" t="s">
        <v>2189</v>
      </c>
      <c r="C92" s="57" t="s">
        <v>248</v>
      </c>
      <c r="D92" s="61" t="s">
        <v>3665</v>
      </c>
      <c r="E92" s="11" t="str">
        <f>HYPERLINK("https://youtu.be/EygD66W9e-E","channel 2")</f>
        <v>channel 2</v>
      </c>
    </row>
    <row r="93">
      <c r="A93" s="141"/>
      <c r="B93" s="61" t="s">
        <v>3632</v>
      </c>
      <c r="C93" s="57" t="s">
        <v>225</v>
      </c>
      <c r="D93" s="61" t="s">
        <v>3959</v>
      </c>
      <c r="E93" s="158" t="str">
        <f>HYPERLINK("https://youtu.be/Lf21egzRqtc?t=1007","channel 1")</f>
        <v>channel 1</v>
      </c>
    </row>
    <row r="94">
      <c r="A94" s="141"/>
      <c r="B94" s="61" t="s">
        <v>2189</v>
      </c>
      <c r="C94" s="57" t="s">
        <v>155</v>
      </c>
      <c r="D94" s="61" t="s">
        <v>3960</v>
      </c>
      <c r="E94" s="11" t="str">
        <f>HYPERLINK("https://youtu.be/EygD66W9e-E?t=1103","channel 2")</f>
        <v>channel 2</v>
      </c>
    </row>
    <row r="95">
      <c r="A95" s="141"/>
      <c r="B95" s="61" t="s">
        <v>3632</v>
      </c>
      <c r="C95" s="54" t="s">
        <v>7</v>
      </c>
      <c r="D95" s="61" t="s">
        <v>3665</v>
      </c>
      <c r="E95" s="158" t="str">
        <f>HYPERLINK("https://youtu.be/Lf21egzRqtc?t=1977","channel 1")</f>
        <v>channel 1</v>
      </c>
    </row>
    <row r="96">
      <c r="A96" s="141"/>
      <c r="B96" s="61" t="s">
        <v>2189</v>
      </c>
      <c r="C96" s="57" t="s">
        <v>227</v>
      </c>
      <c r="D96" s="61" t="s">
        <v>3959</v>
      </c>
      <c r="E96" s="11" t="str">
        <f>HYPERLINK("https://youtu.be/EygD66W9e-E?t=2069","channel 2")</f>
        <v>channel 2</v>
      </c>
    </row>
    <row r="97">
      <c r="A97" s="141"/>
      <c r="B97" s="61" t="s">
        <v>3632</v>
      </c>
      <c r="C97" s="57" t="s">
        <v>161</v>
      </c>
      <c r="D97" s="61" t="s">
        <v>3960</v>
      </c>
      <c r="E97" s="158" t="str">
        <f>HYPERLINK("https://youtu.be/Lf21egzRqtc?t=2953","channel 1")</f>
        <v>channel 1</v>
      </c>
    </row>
    <row r="98">
      <c r="A98" s="141"/>
      <c r="B98" s="61" t="s">
        <v>3665</v>
      </c>
      <c r="C98" s="57" t="s">
        <v>44</v>
      </c>
      <c r="D98" s="61" t="s">
        <v>3959</v>
      </c>
      <c r="E98" s="11" t="str">
        <f>HYPERLINK("https://youtu.be/EygD66W9e-E?t=2966","channel 2")</f>
        <v>channel 2</v>
      </c>
    </row>
    <row r="99">
      <c r="A99" s="141"/>
      <c r="B99" s="61" t="s">
        <v>3632</v>
      </c>
      <c r="C99" s="57" t="s">
        <v>14</v>
      </c>
      <c r="D99" s="61" t="s">
        <v>2189</v>
      </c>
      <c r="E99" s="158" t="str">
        <f>HYPERLINK("https://youtu.be/Lf21egzRqtc?t=3906","channel 1")</f>
        <v>channel 1</v>
      </c>
    </row>
    <row r="100">
      <c r="A100" s="141"/>
      <c r="B100" s="61" t="s">
        <v>3665</v>
      </c>
      <c r="C100" s="57" t="s">
        <v>157</v>
      </c>
      <c r="D100" s="61" t="s">
        <v>3960</v>
      </c>
      <c r="E100" s="11" t="str">
        <f>HYPERLINK("https://youtu.be/EygD66W9e-E?t=4038","channel 2")</f>
        <v>channel 2</v>
      </c>
    </row>
    <row r="101">
      <c r="A101" s="141"/>
      <c r="B101" s="61" t="s">
        <v>3960</v>
      </c>
      <c r="C101" s="57" t="s">
        <v>155</v>
      </c>
      <c r="D101" s="61" t="s">
        <v>3959</v>
      </c>
      <c r="E101" s="158" t="str">
        <f>HYPERLINK("https://youtu.be/Lf21egzRqtc?t=4860","channel 1")</f>
        <v>channel 1</v>
      </c>
    </row>
    <row r="102">
      <c r="A102" s="141"/>
      <c r="B102" s="61" t="s">
        <v>3665</v>
      </c>
      <c r="C102" s="57" t="s">
        <v>448</v>
      </c>
      <c r="D102" s="61" t="s">
        <v>2189</v>
      </c>
      <c r="E102" s="11" t="str">
        <f>HYPERLINK("https://youtu.be/EygD66W9e-E?t=4038","channel 2")</f>
        <v>channel 2</v>
      </c>
    </row>
    <row r="103">
      <c r="A103" s="141"/>
      <c r="B103" s="61" t="s">
        <v>3959</v>
      </c>
      <c r="C103" s="57" t="s">
        <v>19</v>
      </c>
      <c r="D103" s="61" t="s">
        <v>3632</v>
      </c>
      <c r="E103" s="158" t="str">
        <f>HYPERLINK("https://youtu.be/Lf21egzRqtc?t=5813","channel 1")</f>
        <v>channel 1</v>
      </c>
    </row>
    <row r="104">
      <c r="A104" s="141"/>
      <c r="B104" s="61" t="s">
        <v>3960</v>
      </c>
      <c r="C104" s="57" t="s">
        <v>394</v>
      </c>
      <c r="D104" s="61" t="s">
        <v>2189</v>
      </c>
      <c r="E104" s="11" t="str">
        <f>HYPERLINK("https://youtu.be/EygD66W9e-E?t=5930","channel 2")</f>
        <v>channel 2</v>
      </c>
    </row>
    <row r="105">
      <c r="A105" s="141"/>
      <c r="B105" s="61" t="s">
        <v>3665</v>
      </c>
      <c r="C105" s="57" t="s">
        <v>394</v>
      </c>
      <c r="D105" s="61" t="s">
        <v>3632</v>
      </c>
      <c r="E105" s="158" t="str">
        <f>HYPERLINK("https://youtu.be/Lf21egzRqtc?t=6766","channel 1")</f>
        <v>channel 1</v>
      </c>
    </row>
    <row r="106">
      <c r="A106" s="141"/>
      <c r="B106" s="61" t="s">
        <v>3959</v>
      </c>
      <c r="C106" s="57" t="s">
        <v>20</v>
      </c>
      <c r="D106" s="61" t="s">
        <v>2189</v>
      </c>
      <c r="E106" s="11" t="str">
        <f>HYPERLINK("https://youtu.be/EygD66W9e-E?t=6917","channel 2")</f>
        <v>channel 2</v>
      </c>
    </row>
    <row r="107">
      <c r="A107" s="141"/>
      <c r="B107" s="61" t="s">
        <v>3960</v>
      </c>
      <c r="C107" s="57" t="s">
        <v>496</v>
      </c>
      <c r="D107" s="61" t="s">
        <v>3632</v>
      </c>
      <c r="E107" s="158" t="str">
        <f>HYPERLINK("https://youtu.be/Lf21egzRqtc?t=7719","channel 1")</f>
        <v>channel 1</v>
      </c>
    </row>
    <row r="108">
      <c r="A108" s="141"/>
      <c r="B108" s="61" t="s">
        <v>3959</v>
      </c>
      <c r="C108" s="57" t="s">
        <v>573</v>
      </c>
      <c r="D108" s="61" t="s">
        <v>3665</v>
      </c>
      <c r="E108" s="11" t="str">
        <f>HYPERLINK("https://youtu.be/EygD66W9e-E?t=7841","channel 2")</f>
        <v>channel 2</v>
      </c>
    </row>
    <row r="109">
      <c r="A109" s="141"/>
      <c r="B109" s="61" t="s">
        <v>2189</v>
      </c>
      <c r="C109" s="57" t="s">
        <v>16</v>
      </c>
      <c r="D109" s="61" t="s">
        <v>3632</v>
      </c>
      <c r="E109" s="158" t="str">
        <f>HYPERLINK("https://youtu.be/Lf21egzRqtc?t=8708","channel 1")</f>
        <v>channel 1</v>
      </c>
    </row>
    <row r="110">
      <c r="A110" s="141"/>
      <c r="B110" s="61" t="s">
        <v>3960</v>
      </c>
      <c r="C110" s="57" t="s">
        <v>517</v>
      </c>
      <c r="D110" s="61" t="s">
        <v>3665</v>
      </c>
      <c r="E110" s="11" t="str">
        <f>HYPERLINK("https://youtu.be/EygD66W9e-E?t=8719","channel 2")</f>
        <v>channel 2</v>
      </c>
    </row>
    <row r="111">
      <c r="A111" s="141"/>
      <c r="B111" s="96" t="s">
        <v>2375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142" t="s">
        <v>3204</v>
      </c>
      <c r="C113" s="57" t="s">
        <v>162</v>
      </c>
      <c r="D113" s="61" t="s">
        <v>2501</v>
      </c>
      <c r="E113" s="158" t="str">
        <f>HYPERLINK("https://youtu.be/FMUwsbUIDLc","channel 1")</f>
        <v>channel 1</v>
      </c>
    </row>
    <row r="114">
      <c r="A114" s="141"/>
      <c r="B114" s="61" t="s">
        <v>154</v>
      </c>
      <c r="C114" s="57" t="s">
        <v>248</v>
      </c>
      <c r="D114" s="61" t="s">
        <v>3961</v>
      </c>
      <c r="E114" s="11" t="str">
        <f>HYPERLINK("https://youtu.be/OJwaZ3fkl8Q","channel 2")</f>
        <v>channel 2</v>
      </c>
    </row>
    <row r="115">
      <c r="A115" s="141"/>
      <c r="B115" s="61" t="s">
        <v>3962</v>
      </c>
      <c r="C115" s="57" t="s">
        <v>225</v>
      </c>
      <c r="D115" s="61" t="s">
        <v>3204</v>
      </c>
      <c r="E115" s="158" t="str">
        <f>HYPERLINK("https://youtu.be/FMUwsbUIDLc?t=967","channel 1")</f>
        <v>channel 1</v>
      </c>
    </row>
    <row r="116">
      <c r="A116" s="141"/>
      <c r="B116" s="61" t="s">
        <v>154</v>
      </c>
      <c r="C116" s="57" t="s">
        <v>3963</v>
      </c>
      <c r="D116" s="61" t="s">
        <v>2501</v>
      </c>
      <c r="E116" s="11" t="str">
        <f>HYPERLINK("https://youtu.be/OJwaZ3fkl8Q?t=1062","channel 2")</f>
        <v>channel 2</v>
      </c>
    </row>
    <row r="117">
      <c r="A117" s="141"/>
      <c r="B117" s="61" t="s">
        <v>3962</v>
      </c>
      <c r="C117" s="57" t="s">
        <v>16</v>
      </c>
      <c r="D117" s="61" t="s">
        <v>3961</v>
      </c>
      <c r="E117" s="158" t="str">
        <f>HYPERLINK("https://youtu.be/FMUwsbUIDLc?t=1901","channel 1")</f>
        <v>channel 1</v>
      </c>
    </row>
    <row r="118">
      <c r="A118" s="141"/>
      <c r="B118" s="61" t="s">
        <v>154</v>
      </c>
      <c r="C118" s="57" t="s">
        <v>248</v>
      </c>
      <c r="D118" s="61" t="s">
        <v>3204</v>
      </c>
      <c r="E118" s="11" t="str">
        <f>HYPERLINK("https://youtu.be/OJwaZ3fkl8Q?t=2036","channel 2")</f>
        <v>channel 2</v>
      </c>
    </row>
    <row r="119">
      <c r="A119" s="141"/>
      <c r="B119" s="61" t="s">
        <v>3962</v>
      </c>
      <c r="C119" s="57" t="s">
        <v>209</v>
      </c>
      <c r="D119" s="61" t="s">
        <v>2501</v>
      </c>
      <c r="E119" s="158" t="str">
        <f>HYPERLINK("https://youtu.be/FMUwsbUIDLc?t=2804","channel 1")</f>
        <v>channel 1</v>
      </c>
    </row>
    <row r="120">
      <c r="A120" s="141"/>
      <c r="B120" s="61" t="s">
        <v>3961</v>
      </c>
      <c r="C120" s="57" t="s">
        <v>182</v>
      </c>
      <c r="D120" s="61" t="s">
        <v>3204</v>
      </c>
      <c r="E120" s="11" t="str">
        <f>HYPERLINK("https://youtu.be/OJwaZ3fkl8Q?t=2927","channel 2")</f>
        <v>channel 2</v>
      </c>
    </row>
    <row r="121">
      <c r="A121" s="141"/>
      <c r="B121" s="61" t="s">
        <v>3962</v>
      </c>
      <c r="C121" s="57" t="s">
        <v>158</v>
      </c>
      <c r="D121" s="61" t="s">
        <v>154</v>
      </c>
      <c r="E121" s="158" t="str">
        <f>HYPERLINK("https://youtu.be/FMUwsbUIDLc?t=3725","channel 1")</f>
        <v>channel 1</v>
      </c>
    </row>
    <row r="122">
      <c r="A122" s="141"/>
      <c r="B122" s="61" t="s">
        <v>3961</v>
      </c>
      <c r="C122" s="57" t="s">
        <v>744</v>
      </c>
      <c r="D122" s="61" t="s">
        <v>2501</v>
      </c>
      <c r="E122" s="11" t="str">
        <f>HYPERLINK("https://youtu.be/OJwaZ3fkl8Q?t=3887","channel 2")</f>
        <v>channel 2</v>
      </c>
    </row>
    <row r="123">
      <c r="A123" s="141"/>
      <c r="B123" s="61" t="s">
        <v>2501</v>
      </c>
      <c r="C123" s="57" t="s">
        <v>250</v>
      </c>
      <c r="D123" s="61" t="s">
        <v>3204</v>
      </c>
      <c r="E123" s="158" t="str">
        <f>HYPERLINK("https://youtu.be/FMUwsbUIDLc?t=4643","channel 1")</f>
        <v>channel 1</v>
      </c>
    </row>
    <row r="124">
      <c r="A124" s="141"/>
      <c r="B124" s="61" t="s">
        <v>3961</v>
      </c>
      <c r="C124" s="57" t="s">
        <v>464</v>
      </c>
      <c r="D124" s="61" t="s">
        <v>154</v>
      </c>
      <c r="E124" s="11" t="str">
        <f>HYPERLINK("https://youtu.be/OJwaZ3fkl8Q?t=4770","channel 2")</f>
        <v>channel 2</v>
      </c>
    </row>
    <row r="125">
      <c r="A125" s="141"/>
      <c r="B125" s="61" t="s">
        <v>3204</v>
      </c>
      <c r="C125" s="57" t="s">
        <v>426</v>
      </c>
      <c r="D125" s="61" t="s">
        <v>3962</v>
      </c>
      <c r="E125" s="158" t="str">
        <f>HYPERLINK("https://youtu.be/FMUwsbUIDLc?t=5552","channel 1")</f>
        <v>channel 1</v>
      </c>
    </row>
    <row r="126">
      <c r="A126" s="141"/>
      <c r="B126" s="61" t="s">
        <v>2501</v>
      </c>
      <c r="C126" s="57" t="s">
        <v>245</v>
      </c>
      <c r="D126" s="61" t="s">
        <v>154</v>
      </c>
      <c r="E126" s="11" t="str">
        <f>HYPERLINK("https://youtu.be/OJwaZ3fkl8Q?t=5671","channel 2")</f>
        <v>channel 2</v>
      </c>
    </row>
    <row r="127">
      <c r="A127" s="141"/>
      <c r="B127" s="61" t="s">
        <v>3961</v>
      </c>
      <c r="C127" s="57" t="s">
        <v>289</v>
      </c>
      <c r="D127" s="61" t="s">
        <v>3962</v>
      </c>
      <c r="E127" s="158" t="str">
        <f>HYPERLINK("https://youtu.be/FMUwsbUIDLc?t=6493","channel 1")</f>
        <v>channel 1</v>
      </c>
    </row>
    <row r="128">
      <c r="A128" s="141"/>
      <c r="B128" s="61" t="s">
        <v>3204</v>
      </c>
      <c r="C128" s="57" t="s">
        <v>232</v>
      </c>
      <c r="D128" s="61" t="s">
        <v>154</v>
      </c>
      <c r="E128" s="11" t="str">
        <f>HYPERLINK("https://youtu.be/OJwaZ3fkl8Q?t=6567","channel 2")</f>
        <v>channel 2</v>
      </c>
    </row>
    <row r="129">
      <c r="A129" s="141"/>
      <c r="B129" s="61" t="s">
        <v>2501</v>
      </c>
      <c r="C129" s="57" t="s">
        <v>20</v>
      </c>
      <c r="D129" s="61" t="s">
        <v>3962</v>
      </c>
      <c r="E129" s="158" t="str">
        <f>HYPERLINK("https://youtu.be/FMUwsbUIDLc?t=7461","channel 1")</f>
        <v>channel 1</v>
      </c>
    </row>
    <row r="130">
      <c r="A130" s="141"/>
      <c r="B130" s="61" t="s">
        <v>3204</v>
      </c>
      <c r="C130" s="57" t="s">
        <v>209</v>
      </c>
      <c r="D130" s="61" t="s">
        <v>3961</v>
      </c>
      <c r="E130" s="11" t="str">
        <f>HYPERLINK("https://youtu.be/OJwaZ3fkl8Q?t=7518","channel 2")</f>
        <v>channel 2</v>
      </c>
    </row>
    <row r="131">
      <c r="A131" s="141"/>
      <c r="B131" s="61" t="s">
        <v>154</v>
      </c>
      <c r="C131" s="57" t="s">
        <v>173</v>
      </c>
      <c r="D131" s="61" t="s">
        <v>3962</v>
      </c>
      <c r="E131" s="158" t="str">
        <f>HYPERLINK("https://youtu.be/FMUwsbUIDLc?t=8320","channel 1")</f>
        <v>channel 1</v>
      </c>
    </row>
    <row r="132">
      <c r="A132" s="145"/>
      <c r="B132" s="61" t="s">
        <v>2501</v>
      </c>
      <c r="C132" s="57" t="s">
        <v>344</v>
      </c>
      <c r="D132" s="61" t="s">
        <v>3961</v>
      </c>
      <c r="E132" s="11" t="str">
        <f>HYPERLINK("https://youtu.be/OJwaZ3fkl8Q?t=8476","channel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1526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1666</v>
      </c>
      <c r="C3" s="57" t="s">
        <v>158</v>
      </c>
      <c r="D3" s="61" t="s">
        <v>3964</v>
      </c>
      <c r="E3" s="158" t="str">
        <f>HYPERLINK("https://youtu.be/fW5dlztlfcY","channel 1")</f>
        <v>channel 1</v>
      </c>
    </row>
    <row r="4">
      <c r="A4" s="141"/>
      <c r="B4" s="61" t="s">
        <v>3965</v>
      </c>
      <c r="C4" s="84" t="s">
        <v>545</v>
      </c>
      <c r="D4" s="61" t="s">
        <v>3966</v>
      </c>
      <c r="E4" s="11" t="str">
        <f>HYPERLINK("https://youtu.be/u7yhYTSoYjg","channel 2")</f>
        <v>channel 2</v>
      </c>
    </row>
    <row r="5">
      <c r="A5" s="141"/>
      <c r="B5" s="61" t="s">
        <v>3785</v>
      </c>
      <c r="C5" s="57" t="s">
        <v>301</v>
      </c>
      <c r="D5" s="61" t="s">
        <v>1666</v>
      </c>
      <c r="E5" s="158" t="str">
        <f>HYPERLINK("https://youtu.be/fW5dlztlfcY?t=816","channel 1")</f>
        <v>channel 1</v>
      </c>
    </row>
    <row r="6">
      <c r="A6" s="141"/>
      <c r="B6" s="61" t="s">
        <v>3965</v>
      </c>
      <c r="C6" s="57" t="s">
        <v>352</v>
      </c>
      <c r="D6" s="61" t="s">
        <v>3964</v>
      </c>
      <c r="E6" s="11" t="str">
        <f>HYPERLINK("https://youtu.be/u7yhYTSoYjg?t=978","channel 2")</f>
        <v>channel 2</v>
      </c>
    </row>
    <row r="7">
      <c r="A7" s="141"/>
      <c r="B7" s="61" t="s">
        <v>3785</v>
      </c>
      <c r="C7" s="57" t="s">
        <v>41</v>
      </c>
      <c r="D7" s="61" t="s">
        <v>3966</v>
      </c>
      <c r="E7" s="158" t="str">
        <f>HYPERLINK("https://youtu.be/fW5dlztlfcY?t=1855","channel 1")</f>
        <v>channel 1</v>
      </c>
    </row>
    <row r="8">
      <c r="A8" s="141"/>
      <c r="B8" s="61" t="s">
        <v>3965</v>
      </c>
      <c r="C8" s="57" t="s">
        <v>291</v>
      </c>
      <c r="D8" s="61" t="s">
        <v>1666</v>
      </c>
      <c r="E8" s="11" t="str">
        <f>HYPERLINK("https://youtu.be/u7yhYTSoYjg?t=1952","channel 2")</f>
        <v>channel 2</v>
      </c>
    </row>
    <row r="9">
      <c r="A9" s="141"/>
      <c r="B9" s="61" t="s">
        <v>3785</v>
      </c>
      <c r="C9" s="57" t="s">
        <v>7</v>
      </c>
      <c r="D9" s="61" t="s">
        <v>3964</v>
      </c>
      <c r="E9" s="158" t="str">
        <f>HYPERLINK("https://youtu.be/fW5dlztlfcY?t=2851","channel 1")</f>
        <v>channel 1</v>
      </c>
    </row>
    <row r="10">
      <c r="A10" s="141"/>
      <c r="B10" s="61" t="s">
        <v>3966</v>
      </c>
      <c r="C10" s="57" t="s">
        <v>38</v>
      </c>
      <c r="D10" s="61" t="s">
        <v>1666</v>
      </c>
      <c r="E10" s="11" t="str">
        <f>HYPERLINK("https://youtu.be/u7yhYTSoYjg?t=2904","channel 2")</f>
        <v>channel 2</v>
      </c>
    </row>
    <row r="11">
      <c r="A11" s="141"/>
      <c r="B11" s="61" t="s">
        <v>3785</v>
      </c>
      <c r="C11" s="57" t="s">
        <v>18</v>
      </c>
      <c r="D11" s="61" t="s">
        <v>3965</v>
      </c>
      <c r="E11" s="158" t="str">
        <f>HYPERLINK("https://youtu.be/fW5dlztlfcY?t=3769","channel 1")</f>
        <v>channel 1</v>
      </c>
    </row>
    <row r="12">
      <c r="A12" s="141"/>
      <c r="B12" s="61" t="s">
        <v>3966</v>
      </c>
      <c r="C12" s="57" t="s">
        <v>289</v>
      </c>
      <c r="D12" s="61" t="s">
        <v>3964</v>
      </c>
      <c r="E12" s="11" t="str">
        <f>HYPERLINK("https://youtu.be/u7yhYTSoYjg?t=3875","channel 2")</f>
        <v>channel 2</v>
      </c>
    </row>
    <row r="13">
      <c r="A13" s="141"/>
      <c r="B13" s="61" t="s">
        <v>3964</v>
      </c>
      <c r="C13" s="57" t="s">
        <v>525</v>
      </c>
      <c r="D13" s="61" t="s">
        <v>1666</v>
      </c>
      <c r="E13" s="158" t="str">
        <f>HYPERLINK("https://youtu.be/fW5dlztlfcY?t=4773","channel 1")</f>
        <v>channel 1</v>
      </c>
    </row>
    <row r="14">
      <c r="A14" s="141"/>
      <c r="B14" s="61" t="s">
        <v>3966</v>
      </c>
      <c r="C14" s="57" t="s">
        <v>465</v>
      </c>
      <c r="D14" s="61" t="s">
        <v>3965</v>
      </c>
      <c r="E14" s="11" t="str">
        <f>HYPERLINK("https://youtu.be/u7yhYTSoYjg?t=4803","channel 2")</f>
        <v>channel 2</v>
      </c>
    </row>
    <row r="15">
      <c r="A15" s="141"/>
      <c r="B15" s="61" t="s">
        <v>1666</v>
      </c>
      <c r="C15" s="57" t="s">
        <v>219</v>
      </c>
      <c r="D15" s="61" t="s">
        <v>3785</v>
      </c>
      <c r="E15" s="158" t="str">
        <f>HYPERLINK("https://youtu.be/fW5dlztlfcY?t=5692","channel 1")</f>
        <v>channel 1</v>
      </c>
    </row>
    <row r="16">
      <c r="A16" s="141"/>
      <c r="B16" s="61" t="s">
        <v>3964</v>
      </c>
      <c r="C16" s="57" t="s">
        <v>181</v>
      </c>
      <c r="D16" s="61" t="s">
        <v>3965</v>
      </c>
      <c r="E16" s="11" t="str">
        <f>HYPERLINK("https://youtu.be/u7yhYTSoYjg?t=5804","channel 2")</f>
        <v>channel 2</v>
      </c>
    </row>
    <row r="17">
      <c r="A17" s="141"/>
      <c r="B17" s="61" t="s">
        <v>3966</v>
      </c>
      <c r="C17" s="57" t="s">
        <v>425</v>
      </c>
      <c r="D17" s="61" t="s">
        <v>3785</v>
      </c>
      <c r="E17" s="158" t="str">
        <f>HYPERLINK("https://youtu.be/fW5dlztlfcY?t=6756","channel 1")</f>
        <v>channel 1</v>
      </c>
    </row>
    <row r="18">
      <c r="A18" s="141"/>
      <c r="B18" s="61" t="s">
        <v>1666</v>
      </c>
      <c r="C18" s="57" t="s">
        <v>41</v>
      </c>
      <c r="D18" s="61" t="s">
        <v>3965</v>
      </c>
      <c r="E18" s="11" t="str">
        <f>HYPERLINK("https://youtu.be/u7yhYTSoYjg?t=6860","channel 2")</f>
        <v>channel 2</v>
      </c>
    </row>
    <row r="19">
      <c r="A19" s="141"/>
      <c r="B19" s="61" t="s">
        <v>3964</v>
      </c>
      <c r="C19" s="57" t="s">
        <v>264</v>
      </c>
      <c r="D19" s="61" t="s">
        <v>3785</v>
      </c>
      <c r="E19" s="158" t="str">
        <f>HYPERLINK("https://youtu.be/fW5dlztlfcY?t=7735","channel 1")</f>
        <v>channel 1</v>
      </c>
    </row>
    <row r="20">
      <c r="A20" s="141"/>
      <c r="B20" s="61" t="s">
        <v>1666</v>
      </c>
      <c r="C20" s="57" t="s">
        <v>466</v>
      </c>
      <c r="D20" s="61" t="s">
        <v>3966</v>
      </c>
      <c r="E20" s="11" t="str">
        <f>HYPERLINK("https://youtu.be/u7yhYTSoYjg?t=7878","channel 2")</f>
        <v>channel 2</v>
      </c>
    </row>
    <row r="21">
      <c r="A21" s="141"/>
      <c r="B21" s="61" t="s">
        <v>3965</v>
      </c>
      <c r="C21" s="57" t="s">
        <v>18</v>
      </c>
      <c r="D21" s="61" t="s">
        <v>3785</v>
      </c>
      <c r="E21" s="158" t="str">
        <f>HYPERLINK("https://youtu.be/fW5dlztlfcY?t=8644","channel 1")</f>
        <v>channel 1</v>
      </c>
    </row>
    <row r="22">
      <c r="A22" s="141"/>
      <c r="B22" s="61" t="s">
        <v>3964</v>
      </c>
      <c r="C22" s="57" t="s">
        <v>324</v>
      </c>
      <c r="D22" s="61" t="s">
        <v>3966</v>
      </c>
      <c r="E22" s="11" t="str">
        <f>HYPERLINK("https://youtu.be/u7yhYTSoYjg?t=8827","channel 2")</f>
        <v>channel 2</v>
      </c>
    </row>
    <row r="23">
      <c r="A23" s="141"/>
      <c r="B23" s="96" t="s">
        <v>2335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2261</v>
      </c>
      <c r="C25" s="57" t="s">
        <v>440</v>
      </c>
      <c r="D25" s="61" t="s">
        <v>3967</v>
      </c>
      <c r="E25" s="158" t="str">
        <f>HYPERLINK("https://youtu.be/hzj-K1GVIr0","channel 1")</f>
        <v>channel 1</v>
      </c>
    </row>
    <row r="26">
      <c r="A26" s="141"/>
      <c r="B26" s="61" t="s">
        <v>1010</v>
      </c>
      <c r="C26" s="57" t="s">
        <v>193</v>
      </c>
      <c r="D26" s="61" t="s">
        <v>3195</v>
      </c>
      <c r="E26" s="11" t="str">
        <f>HYPERLINK("https://youtu.be/_8yzAWLjI98","channel 2")</f>
        <v>channel 2</v>
      </c>
    </row>
    <row r="27">
      <c r="A27" s="141"/>
      <c r="B27" s="61" t="s">
        <v>3968</v>
      </c>
      <c r="C27" s="57" t="s">
        <v>290</v>
      </c>
      <c r="D27" s="61" t="s">
        <v>2261</v>
      </c>
      <c r="E27" s="158" t="str">
        <f>HYPERLINK("https://youtu.be/hzj-K1GVIr0?t=868","channel 1")</f>
        <v>channel 1</v>
      </c>
    </row>
    <row r="28">
      <c r="A28" s="141"/>
      <c r="B28" s="61" t="s">
        <v>1010</v>
      </c>
      <c r="C28" s="57" t="s">
        <v>250</v>
      </c>
      <c r="D28" s="61" t="s">
        <v>3967</v>
      </c>
      <c r="E28" s="11" t="str">
        <f>HYPERLINK("https://youtu.be/_8yzAWLjI98?t=1038","channel 2")</f>
        <v>channel 2</v>
      </c>
    </row>
    <row r="29">
      <c r="A29" s="141"/>
      <c r="B29" s="61" t="s">
        <v>3968</v>
      </c>
      <c r="C29" s="57" t="s">
        <v>19</v>
      </c>
      <c r="D29" s="61" t="s">
        <v>3195</v>
      </c>
      <c r="E29" s="158" t="str">
        <f>HYPERLINK("https://youtu.be/hzj-K1GVIr0?t=2440","channel 1")</f>
        <v>channel 1</v>
      </c>
    </row>
    <row r="30">
      <c r="A30" s="141"/>
      <c r="B30" s="61" t="s">
        <v>1010</v>
      </c>
      <c r="C30" s="57" t="s">
        <v>502</v>
      </c>
      <c r="D30" s="61" t="s">
        <v>2261</v>
      </c>
      <c r="E30" s="11" t="str">
        <f>HYPERLINK("https://youtu.be/_8yzAWLjI98?t=2503","channel 2")</f>
        <v>channel 2</v>
      </c>
    </row>
    <row r="31">
      <c r="A31" s="141"/>
      <c r="B31" s="61" t="s">
        <v>3968</v>
      </c>
      <c r="C31" s="57" t="s">
        <v>433</v>
      </c>
      <c r="D31" s="61" t="s">
        <v>3967</v>
      </c>
      <c r="E31" s="158" t="str">
        <f>HYPERLINK("https://youtu.be/hzj-K1GVIr0?t=3299","channel 1")</f>
        <v>channel 1</v>
      </c>
    </row>
    <row r="32">
      <c r="A32" s="141"/>
      <c r="B32" s="61" t="s">
        <v>3195</v>
      </c>
      <c r="C32" s="57" t="s">
        <v>250</v>
      </c>
      <c r="D32" s="61" t="s">
        <v>2261</v>
      </c>
      <c r="E32" s="11" t="str">
        <f>HYPERLINK("https://youtu.be/_8yzAWLjI98?t=3465","channel 2")</f>
        <v>channel 2</v>
      </c>
    </row>
    <row r="33">
      <c r="A33" s="141"/>
      <c r="B33" s="61" t="s">
        <v>3968</v>
      </c>
      <c r="C33" s="57" t="s">
        <v>23</v>
      </c>
      <c r="D33" s="61" t="s">
        <v>1010</v>
      </c>
      <c r="E33" s="158" t="str">
        <f>HYPERLINK("https://youtu.be/hzj-K1GVIr0?t=4236","channel 1")</f>
        <v>channel 1</v>
      </c>
    </row>
    <row r="34">
      <c r="A34" s="141"/>
      <c r="B34" s="61" t="s">
        <v>3195</v>
      </c>
      <c r="C34" s="57" t="s">
        <v>158</v>
      </c>
      <c r="D34" s="61" t="s">
        <v>3967</v>
      </c>
      <c r="E34" s="11" t="str">
        <f>HYPERLINK("https://youtu.be/_8yzAWLjI98?t=4383","channel 2")</f>
        <v>channel 2</v>
      </c>
    </row>
    <row r="35">
      <c r="A35" s="141"/>
      <c r="B35" s="61" t="s">
        <v>3967</v>
      </c>
      <c r="C35" s="57" t="s">
        <v>17</v>
      </c>
      <c r="D35" s="61" t="s">
        <v>2261</v>
      </c>
      <c r="E35" s="158" t="str">
        <f>HYPERLINK("https://youtu.be/hzj-K1GVIr0?t=5042","channel 1")</f>
        <v>channel 1</v>
      </c>
    </row>
    <row r="36">
      <c r="A36" s="141"/>
      <c r="B36" s="61" t="s">
        <v>3195</v>
      </c>
      <c r="C36" s="57" t="s">
        <v>256</v>
      </c>
      <c r="D36" s="61" t="s">
        <v>1010</v>
      </c>
      <c r="E36" s="11" t="str">
        <f>HYPERLINK("https://youtu.be/_8yzAWLjI98?t=5338","channel 2")</f>
        <v>channel 2</v>
      </c>
    </row>
    <row r="37">
      <c r="A37" s="141"/>
      <c r="B37" s="61" t="s">
        <v>2261</v>
      </c>
      <c r="C37" s="57" t="s">
        <v>219</v>
      </c>
      <c r="D37" s="61" t="s">
        <v>3968</v>
      </c>
      <c r="E37" s="158" t="str">
        <f>HYPERLINK("https://youtu.be/hzj-K1GVIr0?t=6025","channel 1")</f>
        <v>channel 1</v>
      </c>
    </row>
    <row r="38">
      <c r="A38" s="141"/>
      <c r="B38" s="61" t="s">
        <v>3967</v>
      </c>
      <c r="C38" s="57" t="s">
        <v>41</v>
      </c>
      <c r="D38" s="61" t="s">
        <v>1010</v>
      </c>
      <c r="E38" s="11" t="str">
        <f>HYPERLINK("https://youtu.be/_8yzAWLjI98?t=6279","channel 2")</f>
        <v>channel 2</v>
      </c>
    </row>
    <row r="39">
      <c r="A39" s="141"/>
      <c r="B39" s="61" t="s">
        <v>3195</v>
      </c>
      <c r="C39" s="45" t="s">
        <v>338</v>
      </c>
      <c r="D39" s="61" t="s">
        <v>3968</v>
      </c>
      <c r="E39" s="158" t="str">
        <f>HYPERLINK("https://youtu.be/hzj-K1GVIr0?t=6954","channel 1")</f>
        <v>channel 1</v>
      </c>
    </row>
    <row r="40">
      <c r="A40" s="141"/>
      <c r="B40" s="61" t="s">
        <v>2261</v>
      </c>
      <c r="C40" s="57" t="s">
        <v>198</v>
      </c>
      <c r="D40" s="61" t="s">
        <v>1010</v>
      </c>
      <c r="E40" s="11" t="str">
        <f>HYPERLINK("https://youtu.be/_8yzAWLjI98?t=7182","channel 2")</f>
        <v>channel 2</v>
      </c>
    </row>
    <row r="41">
      <c r="A41" s="141"/>
      <c r="B41" s="61" t="s">
        <v>3967</v>
      </c>
      <c r="C41" s="57" t="s">
        <v>291</v>
      </c>
      <c r="D41" s="61" t="s">
        <v>3968</v>
      </c>
      <c r="E41" s="158" t="str">
        <f>HYPERLINK("https://youtu.be/PRrRWnp5xC8","channel 1")</f>
        <v>channel 1</v>
      </c>
    </row>
    <row r="42">
      <c r="A42" s="141"/>
      <c r="B42" s="61" t="s">
        <v>2261</v>
      </c>
      <c r="C42" s="57" t="s">
        <v>737</v>
      </c>
      <c r="D42" s="61" t="s">
        <v>3195</v>
      </c>
      <c r="E42" s="11" t="str">
        <f>HYPERLINK("https://youtu.be/jHPXs6fbB74","channel 2")</f>
        <v>channel 2</v>
      </c>
    </row>
    <row r="43">
      <c r="A43" s="141"/>
      <c r="B43" s="61" t="s">
        <v>1010</v>
      </c>
      <c r="C43" s="165" t="s">
        <v>668</v>
      </c>
      <c r="D43" s="61" t="s">
        <v>3968</v>
      </c>
      <c r="E43" s="164" t="s">
        <v>9</v>
      </c>
    </row>
    <row r="44">
      <c r="A44" s="141"/>
      <c r="B44" s="61" t="s">
        <v>3967</v>
      </c>
      <c r="C44" s="165" t="s">
        <v>668</v>
      </c>
      <c r="D44" s="61" t="s">
        <v>3195</v>
      </c>
      <c r="E44" s="125" t="s">
        <v>13</v>
      </c>
    </row>
    <row r="45">
      <c r="A45" s="141"/>
      <c r="B45" s="96" t="s">
        <v>2780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792</v>
      </c>
      <c r="C47" s="57" t="s">
        <v>24</v>
      </c>
      <c r="D47" s="61" t="s">
        <v>1778</v>
      </c>
      <c r="E47" s="158" t="str">
        <f>HYPERLINK("https://youtu.be/YZ1e5foO1pw?t=78","channel 1")</f>
        <v>channel 1</v>
      </c>
    </row>
    <row r="48">
      <c r="A48" s="141"/>
      <c r="B48" s="61" t="s">
        <v>3969</v>
      </c>
      <c r="C48" s="57" t="s">
        <v>176</v>
      </c>
      <c r="D48" s="61" t="s">
        <v>3947</v>
      </c>
      <c r="E48" s="11" t="str">
        <f>HYPERLINK("https://youtu.be/IbQjqigOScI","channel 2")</f>
        <v>channel 2</v>
      </c>
    </row>
    <row r="49">
      <c r="A49" s="141"/>
      <c r="B49" s="61" t="s">
        <v>3970</v>
      </c>
      <c r="C49" s="57" t="s">
        <v>534</v>
      </c>
      <c r="D49" s="61" t="s">
        <v>792</v>
      </c>
      <c r="E49" s="158" t="str">
        <f>HYPERLINK("https://youtu.be/YZ1e5foO1pw?t=1126","channel 1")</f>
        <v>channel 1</v>
      </c>
    </row>
    <row r="50">
      <c r="A50" s="141"/>
      <c r="B50" s="61" t="s">
        <v>3969</v>
      </c>
      <c r="C50" s="57" t="s">
        <v>43</v>
      </c>
      <c r="D50" s="61" t="s">
        <v>1778</v>
      </c>
      <c r="E50" s="11" t="str">
        <f>HYPERLINK("https://youtu.be/IbQjqigOScI?t=1115","channel 2")</f>
        <v>channel 2</v>
      </c>
    </row>
    <row r="51">
      <c r="A51" s="141"/>
      <c r="B51" s="61" t="s">
        <v>3970</v>
      </c>
      <c r="C51" s="57" t="s">
        <v>166</v>
      </c>
      <c r="D51" s="61" t="s">
        <v>3947</v>
      </c>
      <c r="E51" s="158" t="str">
        <f>HYPERLINK("https://youtu.be/YZ1e5foO1pw?t=2122","channel 1")</f>
        <v>channel 1</v>
      </c>
    </row>
    <row r="52">
      <c r="A52" s="141"/>
      <c r="B52" s="61" t="s">
        <v>3969</v>
      </c>
      <c r="C52" s="57" t="s">
        <v>195</v>
      </c>
      <c r="D52" s="61" t="s">
        <v>792</v>
      </c>
      <c r="E52" s="11" t="str">
        <f>HYPERLINK("https://youtu.be/IbQjqigOScI?t=2051","channel 2")</f>
        <v>channel 2</v>
      </c>
    </row>
    <row r="53">
      <c r="A53" s="141"/>
      <c r="B53" s="61" t="s">
        <v>3970</v>
      </c>
      <c r="C53" s="57" t="s">
        <v>210</v>
      </c>
      <c r="D53" s="61" t="s">
        <v>1778</v>
      </c>
      <c r="E53" s="158" t="str">
        <f>HYPERLINK("https://youtu.be/S75uJ4n9Q8o","channel 1")</f>
        <v>channel 1</v>
      </c>
    </row>
    <row r="54">
      <c r="A54" s="141"/>
      <c r="B54" s="61" t="s">
        <v>3947</v>
      </c>
      <c r="C54" s="57" t="s">
        <v>534</v>
      </c>
      <c r="D54" s="61" t="s">
        <v>792</v>
      </c>
      <c r="E54" s="11" t="str">
        <f>HYPERLINK("https://youtu.be/Ex8sf32yYJo","channel 2")</f>
        <v>channel 2</v>
      </c>
    </row>
    <row r="55">
      <c r="A55" s="141"/>
      <c r="B55" s="61" t="s">
        <v>3970</v>
      </c>
      <c r="C55" s="57" t="s">
        <v>290</v>
      </c>
      <c r="D55" s="61" t="s">
        <v>3969</v>
      </c>
      <c r="E55" s="158" t="str">
        <f>HYPERLINK("https://youtu.be/S75uJ4n9Q8o?t=975","channel 1")</f>
        <v>channel 1</v>
      </c>
    </row>
    <row r="56">
      <c r="A56" s="141"/>
      <c r="B56" s="61" t="s">
        <v>3947</v>
      </c>
      <c r="C56" s="57" t="s">
        <v>233</v>
      </c>
      <c r="D56" s="61" t="s">
        <v>1778</v>
      </c>
      <c r="E56" s="11" t="str">
        <f>HYPERLINK("https://youtu.be/Ex8sf32yYJo?t=936","channel 2")</f>
        <v>channel 2</v>
      </c>
    </row>
    <row r="57">
      <c r="A57" s="141"/>
      <c r="B57" s="61" t="s">
        <v>1778</v>
      </c>
      <c r="C57" s="57" t="s">
        <v>210</v>
      </c>
      <c r="D57" s="61" t="s">
        <v>792</v>
      </c>
      <c r="E57" s="158" t="str">
        <f>HYPERLINK("https://youtu.be/S75uJ4n9Q8o?t=1947","channel 1")</f>
        <v>channel 1</v>
      </c>
    </row>
    <row r="58">
      <c r="A58" s="141"/>
      <c r="B58" s="61" t="s">
        <v>3947</v>
      </c>
      <c r="C58" s="57" t="s">
        <v>173</v>
      </c>
      <c r="D58" s="61" t="s">
        <v>3969</v>
      </c>
      <c r="E58" s="11" t="str">
        <f>HYPERLINK("https://youtu.be/Ex8sf32yYJo?t=1848","channel 2")</f>
        <v>channel 2</v>
      </c>
    </row>
    <row r="59">
      <c r="A59" s="141"/>
      <c r="B59" s="61" t="s">
        <v>792</v>
      </c>
      <c r="C59" s="57" t="s">
        <v>41</v>
      </c>
      <c r="D59" s="61" t="s">
        <v>3970</v>
      </c>
      <c r="E59" s="158" t="str">
        <f>HYPERLINK("https://youtu.be/S75uJ4n9Q8o?t=2911","channel 1")</f>
        <v>channel 1</v>
      </c>
    </row>
    <row r="60">
      <c r="A60" s="141"/>
      <c r="B60" s="61" t="s">
        <v>1778</v>
      </c>
      <c r="C60" s="57" t="s">
        <v>41</v>
      </c>
      <c r="D60" s="61" t="s">
        <v>3969</v>
      </c>
      <c r="E60" s="11" t="str">
        <f>HYPERLINK("https://youtu.be/Ex8sf32yYJo?t=2800","channel 2")</f>
        <v>channel 2</v>
      </c>
    </row>
    <row r="61">
      <c r="A61" s="141"/>
      <c r="B61" s="61" t="s">
        <v>3947</v>
      </c>
      <c r="C61" s="57" t="s">
        <v>27</v>
      </c>
      <c r="D61" s="61" t="s">
        <v>3970</v>
      </c>
      <c r="E61" s="158" t="str">
        <f>HYPERLINK("https://youtu.be/S75uJ4n9Q8o?t=3819","channel 1")</f>
        <v>channel 1</v>
      </c>
    </row>
    <row r="62">
      <c r="A62" s="141"/>
      <c r="B62" s="61" t="s">
        <v>792</v>
      </c>
      <c r="C62" s="45" t="s">
        <v>19</v>
      </c>
      <c r="D62" s="61" t="s">
        <v>3969</v>
      </c>
      <c r="E62" s="11" t="str">
        <f>HYPERLINK("https://youtu.be/Ex8sf32yYJo?t=3791","channel 2")</f>
        <v>channel 2</v>
      </c>
    </row>
    <row r="63">
      <c r="A63" s="141"/>
      <c r="B63" s="61" t="s">
        <v>1778</v>
      </c>
      <c r="C63" s="57" t="s">
        <v>18</v>
      </c>
      <c r="D63" s="61" t="s">
        <v>3970</v>
      </c>
      <c r="E63" s="158" t="str">
        <f>HYPERLINK("https://youtu.be/S75uJ4n9Q8o?t=4812","channel 1")</f>
        <v>channel 1</v>
      </c>
    </row>
    <row r="64">
      <c r="A64" s="141"/>
      <c r="B64" s="61" t="s">
        <v>792</v>
      </c>
      <c r="C64" s="57" t="s">
        <v>203</v>
      </c>
      <c r="D64" s="61" t="s">
        <v>3947</v>
      </c>
      <c r="E64" s="11" t="str">
        <f>HYPERLINK("https://youtu.be/Ex8sf32yYJo?t=4846","channel 2")</f>
        <v>channel 2</v>
      </c>
    </row>
    <row r="65">
      <c r="A65" s="141"/>
      <c r="B65" s="61" t="s">
        <v>3969</v>
      </c>
      <c r="C65" s="57" t="s">
        <v>20</v>
      </c>
      <c r="D65" s="61" t="s">
        <v>3970</v>
      </c>
      <c r="E65" s="158" t="str">
        <f>HYPERLINK("https://youtu.be/S75uJ4n9Q8o?t=5766","channel 1")</f>
        <v>channel 1</v>
      </c>
    </row>
    <row r="66">
      <c r="A66" s="141"/>
      <c r="B66" s="61" t="s">
        <v>1778</v>
      </c>
      <c r="C66" s="57" t="s">
        <v>640</v>
      </c>
      <c r="D66" s="61" t="s">
        <v>3947</v>
      </c>
      <c r="E66" s="11" t="str">
        <f>HYPERLINK("https://youtu.be/Ex8sf32yYJo?t=5777","channel 2")</f>
        <v>channel 2</v>
      </c>
    </row>
    <row r="67">
      <c r="A67" s="141"/>
      <c r="B67" s="160" t="s">
        <v>1803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1967</v>
      </c>
      <c r="C69" s="57" t="s">
        <v>313</v>
      </c>
      <c r="D69" s="61" t="s">
        <v>892</v>
      </c>
      <c r="E69" s="158" t="str">
        <f>HYPERLINK("https://youtu.be/VSLGHcpcJoU","channel 1")</f>
        <v>channel 1</v>
      </c>
    </row>
    <row r="70">
      <c r="A70" s="141"/>
      <c r="B70" s="61" t="s">
        <v>3971</v>
      </c>
      <c r="C70" s="57" t="s">
        <v>1335</v>
      </c>
      <c r="D70" s="61" t="s">
        <v>3330</v>
      </c>
      <c r="E70" s="11" t="str">
        <f>HYPERLINK("https://youtu.be/eSFQpJNuqTM","channel 2")</f>
        <v>channel 2</v>
      </c>
    </row>
    <row r="71">
      <c r="A71" s="141"/>
      <c r="B71" s="61" t="s">
        <v>3476</v>
      </c>
      <c r="C71" s="57" t="s">
        <v>162</v>
      </c>
      <c r="D71" s="61" t="s">
        <v>1967</v>
      </c>
      <c r="E71" s="158" t="str">
        <f>HYPERLINK("https://youtu.be/nTMgUgbrYv4","channel 1")</f>
        <v>channel 1</v>
      </c>
    </row>
    <row r="72">
      <c r="A72" s="141"/>
      <c r="B72" s="61" t="s">
        <v>3971</v>
      </c>
      <c r="C72" s="57" t="s">
        <v>195</v>
      </c>
      <c r="D72" s="61" t="s">
        <v>892</v>
      </c>
      <c r="E72" s="11" t="str">
        <f>HYPERLINK("https://youtu.be/-fdzBNZA00M","channel 2")</f>
        <v>channel 2</v>
      </c>
    </row>
    <row r="73">
      <c r="A73" s="141"/>
      <c r="B73" s="61" t="s">
        <v>3476</v>
      </c>
      <c r="C73" s="57" t="s">
        <v>237</v>
      </c>
      <c r="D73" s="61" t="s">
        <v>3330</v>
      </c>
      <c r="E73" s="158" t="str">
        <f>HYPERLINK("https://youtu.be/nTMgUgbrYv4?t=1030","channel 1")</f>
        <v>channel 1</v>
      </c>
    </row>
    <row r="74">
      <c r="A74" s="141"/>
      <c r="B74" s="61" t="s">
        <v>3971</v>
      </c>
      <c r="C74" s="57" t="s">
        <v>1314</v>
      </c>
      <c r="D74" s="61" t="s">
        <v>1967</v>
      </c>
      <c r="E74" s="11" t="str">
        <f>HYPERLINK("https://youtu.be/-fdzBNZA00M?t=1043","channel 2")</f>
        <v>channel 2</v>
      </c>
    </row>
    <row r="75">
      <c r="A75" s="141"/>
      <c r="B75" s="61" t="s">
        <v>3476</v>
      </c>
      <c r="C75" s="57" t="s">
        <v>257</v>
      </c>
      <c r="D75" s="61" t="s">
        <v>892</v>
      </c>
      <c r="E75" s="158" t="str">
        <f>HYPERLINK("https://youtu.be/nTMgUgbrYv4?t=1974","channel 1")</f>
        <v>channel 1</v>
      </c>
    </row>
    <row r="76">
      <c r="A76" s="141"/>
      <c r="B76" s="61" t="s">
        <v>3330</v>
      </c>
      <c r="C76" s="57" t="s">
        <v>239</v>
      </c>
      <c r="D76" s="61" t="s">
        <v>1967</v>
      </c>
      <c r="E76" s="11" t="str">
        <f>HYPERLINK("https://youtu.be/-fdzBNZA00M?t=2042","channel 2")</f>
        <v>channel 2</v>
      </c>
    </row>
    <row r="77">
      <c r="A77" s="141"/>
      <c r="B77" s="61" t="s">
        <v>3476</v>
      </c>
      <c r="C77" s="57" t="s">
        <v>750</v>
      </c>
      <c r="D77" s="61" t="s">
        <v>3971</v>
      </c>
      <c r="E77" s="158" t="str">
        <f>HYPERLINK("https://youtu.be/nTMgUgbrYv4?t=2904","channel 1")</f>
        <v>channel 1</v>
      </c>
    </row>
    <row r="78">
      <c r="A78" s="141"/>
      <c r="B78" s="61" t="s">
        <v>3330</v>
      </c>
      <c r="C78" s="57" t="s">
        <v>545</v>
      </c>
      <c r="D78" s="61" t="s">
        <v>892</v>
      </c>
      <c r="E78" s="11" t="str">
        <f>HYPERLINK("https://youtu.be/-fdzBNZA00M?t=3045","channel 2")</f>
        <v>channel 2</v>
      </c>
    </row>
    <row r="79">
      <c r="A79" s="141"/>
      <c r="B79" s="61" t="s">
        <v>892</v>
      </c>
      <c r="C79" s="57" t="s">
        <v>17</v>
      </c>
      <c r="D79" s="61" t="s">
        <v>1967</v>
      </c>
      <c r="E79" s="158" t="str">
        <f>HYPERLINK("https://youtu.be/nTMgUgbrYv4?t=3856","channel 1")</f>
        <v>channel 1</v>
      </c>
    </row>
    <row r="80">
      <c r="A80" s="141"/>
      <c r="B80" s="61" t="s">
        <v>3330</v>
      </c>
      <c r="C80" s="57" t="s">
        <v>419</v>
      </c>
      <c r="D80" s="61" t="s">
        <v>3971</v>
      </c>
      <c r="E80" s="11" t="str">
        <f>HYPERLINK("https://youtu.be/-fdzBNZA00M?t=3899","channel 2")</f>
        <v>channel 2</v>
      </c>
    </row>
    <row r="81">
      <c r="A81" s="141"/>
      <c r="B81" s="61" t="s">
        <v>1967</v>
      </c>
      <c r="C81" s="57" t="s">
        <v>159</v>
      </c>
      <c r="D81" s="61" t="s">
        <v>3476</v>
      </c>
      <c r="E81" s="158" t="str">
        <f>HYPERLINK("https://youtu.be/nTMgUgbrYv4?t=4813","channel 1")</f>
        <v>channel 1</v>
      </c>
    </row>
    <row r="82">
      <c r="A82" s="141"/>
      <c r="B82" s="61" t="s">
        <v>892</v>
      </c>
      <c r="C82" s="57" t="s">
        <v>545</v>
      </c>
      <c r="D82" s="61" t="s">
        <v>3971</v>
      </c>
      <c r="E82" s="11" t="str">
        <f>HYPERLINK("https://youtu.be/-fdzBNZA00M?t=4842","channel 2")</f>
        <v>channel 2</v>
      </c>
    </row>
    <row r="83">
      <c r="A83" s="141"/>
      <c r="B83" s="61" t="s">
        <v>3330</v>
      </c>
      <c r="C83" s="57" t="s">
        <v>1119</v>
      </c>
      <c r="D83" s="61" t="s">
        <v>3476</v>
      </c>
      <c r="E83" s="158" t="str">
        <f>HYPERLINK("https://youtu.be/nTMgUgbrYv4?t=5780","channel 1")</f>
        <v>channel 1</v>
      </c>
    </row>
    <row r="84">
      <c r="A84" s="141"/>
      <c r="B84" s="61" t="s">
        <v>1967</v>
      </c>
      <c r="C84" s="57" t="s">
        <v>352</v>
      </c>
      <c r="D84" s="61" t="s">
        <v>3971</v>
      </c>
      <c r="E84" s="11" t="str">
        <f>HYPERLINK("https://youtu.be/-fdzBNZA00M?t=5823","channel 2")</f>
        <v>channel 2</v>
      </c>
    </row>
    <row r="85">
      <c r="A85" s="141"/>
      <c r="B85" s="61" t="s">
        <v>892</v>
      </c>
      <c r="C85" s="57" t="s">
        <v>281</v>
      </c>
      <c r="D85" s="61" t="s">
        <v>3476</v>
      </c>
      <c r="E85" s="158" t="str">
        <f>HYPERLINK("https://youtu.be/nTMgUgbrYv4?t=6753","channel 1")</f>
        <v>channel 1</v>
      </c>
    </row>
    <row r="86">
      <c r="A86" s="141"/>
      <c r="B86" s="61" t="s">
        <v>1967</v>
      </c>
      <c r="C86" s="57" t="s">
        <v>584</v>
      </c>
      <c r="D86" s="61" t="s">
        <v>3330</v>
      </c>
      <c r="E86" s="11" t="str">
        <f>HYPERLINK("https://youtu.be/-fdzBNZA00M?t=6753","channel 2")</f>
        <v>channel 2</v>
      </c>
    </row>
    <row r="87">
      <c r="A87" s="141"/>
      <c r="B87" s="61" t="s">
        <v>3971</v>
      </c>
      <c r="C87" s="57" t="s">
        <v>464</v>
      </c>
      <c r="D87" s="61" t="s">
        <v>3476</v>
      </c>
      <c r="E87" s="158" t="str">
        <f>HYPERLINK("https://youtu.be/nTMgUgbrYv4?t=7768","channel 1")</f>
        <v>channel 1</v>
      </c>
    </row>
    <row r="88">
      <c r="A88" s="141"/>
      <c r="B88" s="61" t="s">
        <v>892</v>
      </c>
      <c r="C88" s="57" t="s">
        <v>3972</v>
      </c>
      <c r="D88" s="61" t="s">
        <v>3330</v>
      </c>
      <c r="E88" s="11" t="str">
        <f>HYPERLINK("https://youtu.be/-fdzBNZA00M?t=7713","channel 2")</f>
        <v>channel 2</v>
      </c>
    </row>
    <row r="89">
      <c r="A89" s="141"/>
      <c r="B89" s="96" t="s">
        <v>2756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3271</v>
      </c>
      <c r="C91" s="57" t="s">
        <v>219</v>
      </c>
      <c r="D91" s="61" t="s">
        <v>3973</v>
      </c>
      <c r="E91" s="158" t="str">
        <f>HYPERLINK("https://youtu.be/m4diEzKqcVY","channel 1")</f>
        <v>channel 1</v>
      </c>
    </row>
    <row r="92">
      <c r="A92" s="141"/>
      <c r="B92" s="61" t="s">
        <v>2013</v>
      </c>
      <c r="C92" s="57" t="s">
        <v>38</v>
      </c>
      <c r="D92" s="61" t="s">
        <v>1513</v>
      </c>
      <c r="E92" s="11" t="str">
        <f>HYPERLINK("https://youtu.be/1-emGaLgCdE","channel 2")</f>
        <v>channel 2</v>
      </c>
    </row>
    <row r="93">
      <c r="A93" s="141"/>
      <c r="B93" s="61" t="s">
        <v>1111</v>
      </c>
      <c r="C93" s="57" t="s">
        <v>290</v>
      </c>
      <c r="D93" s="61" t="s">
        <v>3271</v>
      </c>
      <c r="E93" s="158" t="str">
        <f>HYPERLINK("https://youtu.be/m4diEzKqcVY?t=713","channel 1")</f>
        <v>channel 1</v>
      </c>
    </row>
    <row r="94">
      <c r="A94" s="141"/>
      <c r="B94" s="61" t="s">
        <v>2013</v>
      </c>
      <c r="C94" s="57" t="s">
        <v>24</v>
      </c>
      <c r="D94" s="61" t="s">
        <v>3973</v>
      </c>
      <c r="E94" s="11" t="str">
        <f>HYPERLINK("https://youtu.be/1-emGaLgCdE?t=1281","channel 2")</f>
        <v>channel 2</v>
      </c>
    </row>
    <row r="95">
      <c r="A95" s="141"/>
      <c r="B95" s="61" t="s">
        <v>1111</v>
      </c>
      <c r="C95" s="54" t="s">
        <v>464</v>
      </c>
      <c r="D95" s="61" t="s">
        <v>1513</v>
      </c>
      <c r="E95" s="158" t="str">
        <f>HYPERLINK("https://youtu.be/m4diEzKqcVY?t=1648","channel 1")</f>
        <v>channel 1</v>
      </c>
    </row>
    <row r="96">
      <c r="A96" s="141"/>
      <c r="B96" s="61" t="s">
        <v>2013</v>
      </c>
      <c r="C96" s="57" t="s">
        <v>209</v>
      </c>
      <c r="D96" s="61" t="s">
        <v>3271</v>
      </c>
      <c r="E96" s="11" t="str">
        <f>HYPERLINK("https://youtu.be/1-emGaLgCdE?t=2207","channel 2")</f>
        <v>channel 2</v>
      </c>
    </row>
    <row r="97">
      <c r="A97" s="141"/>
      <c r="B97" s="61" t="s">
        <v>1111</v>
      </c>
      <c r="C97" s="57" t="s">
        <v>825</v>
      </c>
      <c r="D97" s="61" t="s">
        <v>3973</v>
      </c>
      <c r="E97" s="158" t="str">
        <f>HYPERLINK("https://youtu.be/m4diEzKqcVY?t=2689","channel 1")</f>
        <v>channel 1</v>
      </c>
    </row>
    <row r="98">
      <c r="A98" s="141"/>
      <c r="B98" s="61" t="s">
        <v>1513</v>
      </c>
      <c r="C98" s="57" t="s">
        <v>225</v>
      </c>
      <c r="D98" s="61" t="s">
        <v>3271</v>
      </c>
      <c r="E98" s="11" t="str">
        <f>HYPERLINK("https://youtu.be/1-emGaLgCdE?t=3138","channel 2")</f>
        <v>channel 2</v>
      </c>
    </row>
    <row r="99">
      <c r="A99" s="141"/>
      <c r="B99" s="61" t="s">
        <v>1111</v>
      </c>
      <c r="C99" s="57" t="s">
        <v>155</v>
      </c>
      <c r="D99" s="61" t="s">
        <v>2013</v>
      </c>
      <c r="E99" s="158" t="str">
        <f>HYPERLINK("https://youtu.be/m4diEzKqcVY?t=3599","channel 1")</f>
        <v>channel 1</v>
      </c>
    </row>
    <row r="100">
      <c r="A100" s="141"/>
      <c r="B100" s="61" t="s">
        <v>1513</v>
      </c>
      <c r="C100" s="57" t="s">
        <v>23</v>
      </c>
      <c r="D100" s="61" t="s">
        <v>3973</v>
      </c>
      <c r="E100" s="11" t="str">
        <f>HYPERLINK("https://youtu.be/1-emGaLgCdE?t=4137","channel 2")</f>
        <v>channel 2</v>
      </c>
    </row>
    <row r="101">
      <c r="A101" s="141"/>
      <c r="B101" s="61" t="s">
        <v>3973</v>
      </c>
      <c r="C101" s="57" t="s">
        <v>344</v>
      </c>
      <c r="D101" s="61" t="s">
        <v>3271</v>
      </c>
      <c r="E101" s="158" t="str">
        <f>HYPERLINK("https://youtu.be/m4diEzKqcVY?t=4498","channel 1")</f>
        <v>channel 1</v>
      </c>
    </row>
    <row r="102">
      <c r="A102" s="141"/>
      <c r="B102" s="61" t="s">
        <v>1513</v>
      </c>
      <c r="C102" s="57" t="s">
        <v>248</v>
      </c>
      <c r="D102" s="61" t="s">
        <v>2013</v>
      </c>
      <c r="E102" s="11" t="str">
        <f>HYPERLINK("https://youtu.be/1-emGaLgCdE?t=5073","channel 2")</f>
        <v>channel 2</v>
      </c>
    </row>
    <row r="103">
      <c r="A103" s="141"/>
      <c r="B103" s="61" t="s">
        <v>3271</v>
      </c>
      <c r="C103" s="57" t="s">
        <v>7</v>
      </c>
      <c r="D103" s="61" t="s">
        <v>1111</v>
      </c>
      <c r="E103" s="158" t="str">
        <f>HYPERLINK("https://youtu.be/m4diEzKqcVY?t=5427","channel 1")</f>
        <v>channel 1</v>
      </c>
    </row>
    <row r="104">
      <c r="A104" s="141"/>
      <c r="B104" s="61" t="s">
        <v>3973</v>
      </c>
      <c r="C104" s="57" t="s">
        <v>507</v>
      </c>
      <c r="D104" s="61" t="s">
        <v>2013</v>
      </c>
      <c r="E104" s="11" t="str">
        <f>HYPERLINK("https://youtu.be/1-emGaLgCdE?t=5961","channel 2")</f>
        <v>channel 2</v>
      </c>
    </row>
    <row r="105">
      <c r="A105" s="141"/>
      <c r="B105" s="61" t="s">
        <v>1513</v>
      </c>
      <c r="C105" s="57" t="s">
        <v>324</v>
      </c>
      <c r="D105" s="61" t="s">
        <v>1111</v>
      </c>
      <c r="E105" s="158" t="str">
        <f>HYPERLINK("https://youtu.be/m4diEzKqcVY?t=6355","channel 1")</f>
        <v>channel 1</v>
      </c>
    </row>
    <row r="106">
      <c r="A106" s="141"/>
      <c r="B106" s="61" t="s">
        <v>3271</v>
      </c>
      <c r="C106" s="57" t="s">
        <v>289</v>
      </c>
      <c r="D106" s="61" t="s">
        <v>2013</v>
      </c>
      <c r="E106" s="11" t="str">
        <f>HYPERLINK("https://youtu.be/1-emGaLgCdE?t=6878","channel 2")</f>
        <v>channel 2</v>
      </c>
    </row>
    <row r="107">
      <c r="A107" s="141"/>
      <c r="B107" s="61" t="s">
        <v>3973</v>
      </c>
      <c r="C107" s="57" t="s">
        <v>1964</v>
      </c>
      <c r="D107" s="61" t="s">
        <v>1111</v>
      </c>
      <c r="E107" s="158" t="str">
        <f>HYPERLINK("https://youtu.be/m4diEzKqcVY?t=7367","channel 1")</f>
        <v>channel 1</v>
      </c>
    </row>
    <row r="108">
      <c r="A108" s="141"/>
      <c r="B108" s="61" t="s">
        <v>3271</v>
      </c>
      <c r="C108" s="57" t="s">
        <v>245</v>
      </c>
      <c r="D108" s="61" t="s">
        <v>1513</v>
      </c>
      <c r="E108" s="11" t="str">
        <f>HYPERLINK("https://youtu.be/1-emGaLgCdE?t=7833","channel 2")</f>
        <v>channel 2</v>
      </c>
    </row>
    <row r="109">
      <c r="A109" s="141"/>
      <c r="B109" s="61" t="s">
        <v>2013</v>
      </c>
      <c r="C109" s="57" t="s">
        <v>161</v>
      </c>
      <c r="D109" s="61" t="s">
        <v>1111</v>
      </c>
      <c r="E109" s="158" t="str">
        <f>HYPERLINK("https://youtu.be/m4diEzKqcVY?t=8361","channel 1")</f>
        <v>channel 1</v>
      </c>
    </row>
    <row r="110">
      <c r="A110" s="141"/>
      <c r="B110" s="61" t="s">
        <v>3973</v>
      </c>
      <c r="C110" s="57" t="s">
        <v>333</v>
      </c>
      <c r="D110" s="61" t="s">
        <v>1513</v>
      </c>
      <c r="E110" s="11" t="str">
        <f>HYPERLINK("https://youtu.be/1-emGaLgCdE?t=8858","channel 2")</f>
        <v>channel 2</v>
      </c>
    </row>
    <row r="111">
      <c r="A111" s="141"/>
      <c r="B111" s="96" t="s">
        <v>2620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142" t="s">
        <v>3974</v>
      </c>
      <c r="C113" s="57" t="s">
        <v>357</v>
      </c>
      <c r="D113" s="61" t="s">
        <v>3975</v>
      </c>
      <c r="E113" s="158" t="str">
        <f>HYPERLINK("https://youtu.be/byw9OP5qOmU","channel 1")</f>
        <v>channel 1</v>
      </c>
    </row>
    <row r="114">
      <c r="A114" s="141"/>
      <c r="B114" s="61" t="s">
        <v>3976</v>
      </c>
      <c r="C114" s="57" t="s">
        <v>20</v>
      </c>
      <c r="D114" s="61" t="s">
        <v>3977</v>
      </c>
      <c r="E114" s="11" t="str">
        <f>HYPERLINK("https://youtu.be/ZEhjEMNSQTw","channel 2")</f>
        <v>channel 2</v>
      </c>
    </row>
    <row r="115">
      <c r="A115" s="141"/>
      <c r="B115" s="61" t="s">
        <v>3978</v>
      </c>
      <c r="C115" s="57" t="s">
        <v>281</v>
      </c>
      <c r="D115" s="61" t="s">
        <v>3974</v>
      </c>
      <c r="E115" s="158" t="str">
        <f>HYPERLINK("https://youtu.be/byw9OP5qOmU?t=1028","channel 1")</f>
        <v>channel 1</v>
      </c>
    </row>
    <row r="116">
      <c r="A116" s="141"/>
      <c r="B116" s="61" t="s">
        <v>3976</v>
      </c>
      <c r="C116" s="57" t="s">
        <v>449</v>
      </c>
      <c r="D116" s="61" t="s">
        <v>3975</v>
      </c>
      <c r="E116" s="11" t="str">
        <f>HYPERLINK("https://youtu.be/ZEhjEMNSQTw?t=918","channel 2")</f>
        <v>channel 2</v>
      </c>
    </row>
    <row r="117">
      <c r="A117" s="141"/>
      <c r="B117" s="61" t="s">
        <v>3978</v>
      </c>
      <c r="C117" s="57" t="s">
        <v>164</v>
      </c>
      <c r="D117" s="61" t="s">
        <v>3977</v>
      </c>
      <c r="E117" s="158" t="str">
        <f>HYPERLINK("https://youtu.be/byw9OP5qOmU?t=1957","channel 1")</f>
        <v>channel 1</v>
      </c>
    </row>
    <row r="118">
      <c r="A118" s="141"/>
      <c r="B118" s="61" t="s">
        <v>3976</v>
      </c>
      <c r="C118" s="57" t="s">
        <v>14</v>
      </c>
      <c r="D118" s="61" t="s">
        <v>3974</v>
      </c>
      <c r="E118" s="11" t="str">
        <f>HYPERLINK("https://youtu.be/ZEhjEMNSQTw?t=1871","channel 2")</f>
        <v>channel 2</v>
      </c>
    </row>
    <row r="119">
      <c r="A119" s="141"/>
      <c r="B119" s="61" t="s">
        <v>3978</v>
      </c>
      <c r="C119" s="57" t="s">
        <v>218</v>
      </c>
      <c r="D119" s="61" t="s">
        <v>3975</v>
      </c>
      <c r="E119" s="158" t="str">
        <f>HYPERLINK("https://youtu.be/byw9OP5qOmU?t=2884","channel 1")</f>
        <v>channel 1</v>
      </c>
    </row>
    <row r="120">
      <c r="A120" s="141"/>
      <c r="B120" s="61" t="s">
        <v>3977</v>
      </c>
      <c r="C120" s="57" t="s">
        <v>181</v>
      </c>
      <c r="D120" s="61" t="s">
        <v>3974</v>
      </c>
      <c r="E120" s="11" t="str">
        <f>HYPERLINK("https://youtu.be/ZEhjEMNSQTw?t=2813","channel 2")</f>
        <v>channel 2</v>
      </c>
    </row>
    <row r="121">
      <c r="A121" s="141"/>
      <c r="B121" s="61" t="s">
        <v>3978</v>
      </c>
      <c r="C121" s="57" t="s">
        <v>182</v>
      </c>
      <c r="D121" s="61" t="s">
        <v>3976</v>
      </c>
      <c r="E121" s="158" t="str">
        <f>HYPERLINK("https://youtu.be/byw9OP5qOmU?t=3785","channel 1")</f>
        <v>channel 1</v>
      </c>
    </row>
    <row r="122">
      <c r="A122" s="141"/>
      <c r="B122" s="61" t="s">
        <v>3977</v>
      </c>
      <c r="C122" s="57" t="s">
        <v>41</v>
      </c>
      <c r="D122" s="61" t="s">
        <v>3975</v>
      </c>
      <c r="E122" s="11" t="str">
        <f>HYPERLINK("https://youtu.be/ZEhjEMNSQTw?t=3678","channel 2")</f>
        <v>channel 2</v>
      </c>
    </row>
    <row r="123">
      <c r="A123" s="141"/>
      <c r="B123" s="61" t="s">
        <v>3975</v>
      </c>
      <c r="C123" s="57" t="s">
        <v>185</v>
      </c>
      <c r="D123" s="61" t="s">
        <v>3974</v>
      </c>
      <c r="E123" s="158" t="str">
        <f>HYPERLINK("https://youtu.be/byw9OP5qOmU?t=4677","channel 1")</f>
        <v>channel 1</v>
      </c>
    </row>
    <row r="124">
      <c r="A124" s="141"/>
      <c r="B124" s="61" t="s">
        <v>3977</v>
      </c>
      <c r="C124" s="57" t="s">
        <v>271</v>
      </c>
      <c r="D124" s="61" t="s">
        <v>3976</v>
      </c>
      <c r="E124" s="11" t="str">
        <f>HYPERLINK("https://youtu.be/ZEhjEMNSQTw?t=4569","channel 2")</f>
        <v>channel 2</v>
      </c>
    </row>
    <row r="125">
      <c r="A125" s="141"/>
      <c r="B125" s="61" t="s">
        <v>3974</v>
      </c>
      <c r="C125" s="57" t="s">
        <v>181</v>
      </c>
      <c r="D125" s="61" t="s">
        <v>3978</v>
      </c>
      <c r="E125" s="158" t="str">
        <f>HYPERLINK("https://youtu.be/byw9OP5qOmU?t=5626","channel 1")</f>
        <v>channel 1</v>
      </c>
    </row>
    <row r="126">
      <c r="A126" s="141"/>
      <c r="B126" s="61" t="s">
        <v>3975</v>
      </c>
      <c r="C126" s="57" t="s">
        <v>227</v>
      </c>
      <c r="D126" s="61" t="s">
        <v>3976</v>
      </c>
      <c r="E126" s="11" t="str">
        <f>HYPERLINK("https://youtu.be/ZEhjEMNSQTw?t=5483","channel 2")</f>
        <v>channel 2</v>
      </c>
    </row>
    <row r="127">
      <c r="A127" s="141"/>
      <c r="B127" s="61" t="s">
        <v>3977</v>
      </c>
      <c r="C127" s="57" t="s">
        <v>155</v>
      </c>
      <c r="D127" s="61" t="s">
        <v>3978</v>
      </c>
      <c r="E127" s="158" t="str">
        <f>HYPERLINK("https://youtu.be/byw9OP5qOmU?t=6545","channel 1")</f>
        <v>channel 1</v>
      </c>
    </row>
    <row r="128">
      <c r="A128" s="141"/>
      <c r="B128" s="61" t="s">
        <v>3974</v>
      </c>
      <c r="C128" s="57" t="s">
        <v>173</v>
      </c>
      <c r="D128" s="61" t="s">
        <v>3976</v>
      </c>
      <c r="E128" s="11" t="str">
        <f>HYPERLINK("https://youtu.be/ZEhjEMNSQTw?t=6392","channel 2")</f>
        <v>channel 2</v>
      </c>
    </row>
    <row r="129">
      <c r="A129" s="141"/>
      <c r="B129" s="61" t="s">
        <v>3975</v>
      </c>
      <c r="C129" s="57" t="s">
        <v>464</v>
      </c>
      <c r="D129" s="61" t="s">
        <v>3978</v>
      </c>
      <c r="E129" s="158" t="str">
        <f>HYPERLINK("https://youtu.be/byw9OP5qOmU?t=7447","channel 1")</f>
        <v>channel 1</v>
      </c>
    </row>
    <row r="130">
      <c r="A130" s="141"/>
      <c r="B130" s="61" t="s">
        <v>3974</v>
      </c>
      <c r="C130" s="57" t="s">
        <v>41</v>
      </c>
      <c r="D130" s="61" t="s">
        <v>3977</v>
      </c>
      <c r="E130" s="11" t="str">
        <f>HYPERLINK("https://youtu.be/ZEhjEMNSQTw?t=7326","channel 2")</f>
        <v>channel 2</v>
      </c>
    </row>
    <row r="131">
      <c r="A131" s="141"/>
      <c r="B131" s="61" t="s">
        <v>3976</v>
      </c>
      <c r="C131" s="57" t="s">
        <v>24</v>
      </c>
      <c r="D131" s="61" t="s">
        <v>3978</v>
      </c>
      <c r="E131" s="158" t="str">
        <f>HYPERLINK("https://youtu.be/byw9OP5qOmU?t=8354","channel 1")</f>
        <v>channel 1</v>
      </c>
    </row>
    <row r="132">
      <c r="A132" s="145"/>
      <c r="B132" s="61" t="s">
        <v>3975</v>
      </c>
      <c r="C132" s="57" t="s">
        <v>3979</v>
      </c>
      <c r="D132" s="61" t="s">
        <v>3977</v>
      </c>
      <c r="E132" s="11" t="str">
        <f>HYPERLINK("https://youtu.be/ZEhjEMNSQTw?t=8261","channel 2")</f>
        <v>channel 2</v>
      </c>
    </row>
    <row r="133">
      <c r="B133" s="42"/>
      <c r="C133" s="166" t="s">
        <v>3941</v>
      </c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1777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3859</v>
      </c>
      <c r="C3" s="57" t="s">
        <v>43</v>
      </c>
      <c r="D3" s="61" t="s">
        <v>3980</v>
      </c>
      <c r="E3" s="158" t="str">
        <f>HYPERLINK("https://youtu.be/Km4sV4ofoQs","channel 1")</f>
        <v>channel 1</v>
      </c>
    </row>
    <row r="4">
      <c r="A4" s="141"/>
      <c r="B4" s="61" t="s">
        <v>580</v>
      </c>
      <c r="C4" s="84" t="s">
        <v>251</v>
      </c>
      <c r="D4" s="61" t="s">
        <v>3981</v>
      </c>
      <c r="E4" s="11" t="str">
        <f>HYPERLINK("https://youtu.be/1mqvf7dER8c","channel 2")</f>
        <v>channel 2</v>
      </c>
    </row>
    <row r="5">
      <c r="A5" s="141"/>
      <c r="B5" s="61" t="s">
        <v>3434</v>
      </c>
      <c r="C5" s="57" t="s">
        <v>17</v>
      </c>
      <c r="D5" s="61" t="s">
        <v>3859</v>
      </c>
      <c r="E5" s="158" t="str">
        <f>HYPERLINK("https://youtu.be/Km4sV4ofoQs?t=1032","channel 1")</f>
        <v>channel 1</v>
      </c>
    </row>
    <row r="6">
      <c r="A6" s="141"/>
      <c r="B6" s="61" t="s">
        <v>580</v>
      </c>
      <c r="C6" s="57" t="s">
        <v>193</v>
      </c>
      <c r="D6" s="61" t="s">
        <v>3980</v>
      </c>
      <c r="E6" s="11" t="str">
        <f>HYPERLINK("https://youtu.be/1mqvf7dER8c?t=921","channel 2")</f>
        <v>channel 2</v>
      </c>
    </row>
    <row r="7">
      <c r="A7" s="141"/>
      <c r="B7" s="61" t="s">
        <v>3434</v>
      </c>
      <c r="C7" s="57" t="s">
        <v>211</v>
      </c>
      <c r="D7" s="61" t="s">
        <v>3981</v>
      </c>
      <c r="E7" s="158" t="str">
        <f>HYPERLINK("https://youtu.be/Km4sV4ofoQs?t=2000","channel 1")</f>
        <v>channel 1</v>
      </c>
    </row>
    <row r="8">
      <c r="A8" s="141"/>
      <c r="B8" s="61" t="s">
        <v>580</v>
      </c>
      <c r="C8" s="57" t="s">
        <v>164</v>
      </c>
      <c r="D8" s="61" t="s">
        <v>3859</v>
      </c>
      <c r="E8" s="11" t="str">
        <f>HYPERLINK("https://youtu.be/1mqvf7dER8c?t=1902","channel 2")</f>
        <v>channel 2</v>
      </c>
    </row>
    <row r="9">
      <c r="A9" s="141"/>
      <c r="B9" s="61" t="s">
        <v>3434</v>
      </c>
      <c r="C9" s="57" t="s">
        <v>19</v>
      </c>
      <c r="D9" s="61" t="s">
        <v>3980</v>
      </c>
      <c r="E9" s="158" t="str">
        <f>HYPERLINK("https://youtu.be/Km4sV4ofoQs?t=2997","channel 1")</f>
        <v>channel 1</v>
      </c>
    </row>
    <row r="10">
      <c r="A10" s="141"/>
      <c r="B10" s="61" t="s">
        <v>3981</v>
      </c>
      <c r="C10" s="57" t="s">
        <v>194</v>
      </c>
      <c r="D10" s="61" t="s">
        <v>3859</v>
      </c>
      <c r="E10" s="11" t="str">
        <f>HYPERLINK("https://youtu.be/1mqvf7dER8c?t=2935","channel 2")</f>
        <v>channel 2</v>
      </c>
    </row>
    <row r="11">
      <c r="A11" s="141"/>
      <c r="B11" s="61" t="s">
        <v>3434</v>
      </c>
      <c r="C11" s="57" t="s">
        <v>196</v>
      </c>
      <c r="D11" s="61" t="s">
        <v>580</v>
      </c>
      <c r="E11" s="158" t="str">
        <f>HYPERLINK("https://youtu.be/Km4sV4ofoQs?t=4209","channel 1")</f>
        <v>channel 1</v>
      </c>
    </row>
    <row r="12">
      <c r="A12" s="141"/>
      <c r="B12" s="61" t="s">
        <v>3981</v>
      </c>
      <c r="C12" s="57" t="s">
        <v>173</v>
      </c>
      <c r="D12" s="61" t="s">
        <v>3980</v>
      </c>
      <c r="E12" s="11" t="str">
        <f>HYPERLINK("https://youtu.be/1mqvf7dER8c?t=4057","channel 2")</f>
        <v>channel 2</v>
      </c>
    </row>
    <row r="13">
      <c r="A13" s="141"/>
      <c r="B13" s="61" t="s">
        <v>3980</v>
      </c>
      <c r="C13" s="57" t="s">
        <v>218</v>
      </c>
      <c r="D13" s="61" t="s">
        <v>3859</v>
      </c>
      <c r="E13" s="158" t="str">
        <f>HYPERLINK("https://youtu.be/Km4sV4ofoQs?t=5180","channel 1")</f>
        <v>channel 1</v>
      </c>
    </row>
    <row r="14">
      <c r="A14" s="141"/>
      <c r="B14" s="61" t="s">
        <v>3981</v>
      </c>
      <c r="C14" s="57" t="s">
        <v>19</v>
      </c>
      <c r="D14" s="61" t="s">
        <v>580</v>
      </c>
      <c r="E14" s="11" t="str">
        <f>HYPERLINK("https://youtu.be/1mqvf7dER8c?t=5008","channel 2")</f>
        <v>channel 2</v>
      </c>
    </row>
    <row r="15">
      <c r="A15" s="141"/>
      <c r="B15" s="61" t="s">
        <v>3859</v>
      </c>
      <c r="C15" s="57" t="s">
        <v>433</v>
      </c>
      <c r="D15" s="61" t="s">
        <v>3434</v>
      </c>
      <c r="E15" s="158" t="str">
        <f>HYPERLINK("https://youtu.be/Km4sV4ofoQs?t=6170","channel 1")</f>
        <v>channel 1</v>
      </c>
    </row>
    <row r="16">
      <c r="A16" s="141"/>
      <c r="B16" s="61" t="s">
        <v>3980</v>
      </c>
      <c r="C16" s="57" t="s">
        <v>11</v>
      </c>
      <c r="D16" s="61" t="s">
        <v>580</v>
      </c>
      <c r="E16" s="11" t="str">
        <f>HYPERLINK("https://youtu.be/1mqvf7dER8c?t=6035","channel 2")</f>
        <v>channel 2</v>
      </c>
    </row>
    <row r="17">
      <c r="A17" s="141"/>
      <c r="B17" s="61" t="s">
        <v>3981</v>
      </c>
      <c r="C17" s="57" t="s">
        <v>357</v>
      </c>
      <c r="D17" s="61" t="s">
        <v>3434</v>
      </c>
      <c r="E17" s="158" t="str">
        <f>HYPERLINK("https://youtu.be/Km4sV4ofoQs?t=7164","channel 1")</f>
        <v>channel 1</v>
      </c>
    </row>
    <row r="18">
      <c r="A18" s="141"/>
      <c r="B18" s="61" t="s">
        <v>3859</v>
      </c>
      <c r="C18" s="57" t="s">
        <v>357</v>
      </c>
      <c r="D18" s="61" t="s">
        <v>580</v>
      </c>
      <c r="E18" s="11" t="str">
        <f>HYPERLINK("https://youtu.be/1mqvf7dER8c?t=7054","channel 2")</f>
        <v>channel 2</v>
      </c>
    </row>
    <row r="19">
      <c r="A19" s="141"/>
      <c r="B19" s="61" t="s">
        <v>3980</v>
      </c>
      <c r="C19" s="57" t="s">
        <v>218</v>
      </c>
      <c r="D19" s="61" t="s">
        <v>3434</v>
      </c>
      <c r="E19" s="158" t="str">
        <f>HYPERLINK("https://youtu.be/Km4sV4ofoQs?t=8099","channel 1")</f>
        <v>channel 1</v>
      </c>
    </row>
    <row r="20">
      <c r="A20" s="141"/>
      <c r="B20" s="61" t="s">
        <v>3859</v>
      </c>
      <c r="C20" s="57" t="s">
        <v>182</v>
      </c>
      <c r="D20" s="61" t="s">
        <v>3981</v>
      </c>
      <c r="E20" s="11" t="str">
        <f>HYPERLINK("https://youtu.be/1mqvf7dER8c?t=8029","channel 2")</f>
        <v>channel 2</v>
      </c>
    </row>
    <row r="21">
      <c r="A21" s="141"/>
      <c r="B21" s="61" t="s">
        <v>580</v>
      </c>
      <c r="C21" s="57" t="s">
        <v>245</v>
      </c>
      <c r="D21" s="61" t="s">
        <v>3434</v>
      </c>
      <c r="E21" s="158" t="str">
        <f>HYPERLINK("https://youtu.be/Km4sV4ofoQs?t=9031","channel 1")</f>
        <v>channel 1</v>
      </c>
    </row>
    <row r="22">
      <c r="A22" s="141"/>
      <c r="B22" s="61" t="s">
        <v>3980</v>
      </c>
      <c r="C22" s="57" t="s">
        <v>194</v>
      </c>
      <c r="D22" s="61" t="s">
        <v>3981</v>
      </c>
      <c r="E22" s="11" t="str">
        <f>HYPERLINK("https://youtu.be/1mqvf7dER8c?t=8961","channel 2")</f>
        <v>channel 2</v>
      </c>
    </row>
    <row r="23">
      <c r="A23" s="141"/>
      <c r="B23" s="96" t="s">
        <v>2410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3922</v>
      </c>
      <c r="C25" s="57" t="s">
        <v>362</v>
      </c>
      <c r="D25" s="61" t="s">
        <v>3861</v>
      </c>
      <c r="E25" s="158" t="str">
        <f>HYPERLINK("https://youtu.be/OR-VANc3wFU","channel 1")</f>
        <v>channel 1</v>
      </c>
    </row>
    <row r="26">
      <c r="A26" s="141"/>
      <c r="B26" s="61" t="s">
        <v>2153</v>
      </c>
      <c r="C26" s="57" t="s">
        <v>697</v>
      </c>
      <c r="D26" s="61" t="s">
        <v>3363</v>
      </c>
      <c r="E26" s="11" t="str">
        <f>HYPERLINK("https://youtu.be/_fqKY5aZj-A","channel 2")</f>
        <v>channel 2</v>
      </c>
    </row>
    <row r="27">
      <c r="A27" s="141"/>
      <c r="B27" s="61" t="s">
        <v>3982</v>
      </c>
      <c r="C27" s="57" t="s">
        <v>549</v>
      </c>
      <c r="D27" s="61" t="s">
        <v>3922</v>
      </c>
      <c r="E27" s="158" t="str">
        <f>HYPERLINK("https://youtu.be/OR-VANc3wFU?t=1209","channel 1")</f>
        <v>channel 1</v>
      </c>
    </row>
    <row r="28">
      <c r="A28" s="141"/>
      <c r="B28" s="61" t="s">
        <v>2153</v>
      </c>
      <c r="C28" s="57" t="s">
        <v>17</v>
      </c>
      <c r="D28" s="61" t="s">
        <v>3861</v>
      </c>
      <c r="E28" s="11" t="str">
        <f>HYPERLINK("https://youtu.be/_fqKY5aZj-A?t=1173","channel 2")</f>
        <v>channel 2</v>
      </c>
    </row>
    <row r="29">
      <c r="A29" s="141"/>
      <c r="B29" s="61" t="s">
        <v>3982</v>
      </c>
      <c r="C29" s="57" t="s">
        <v>417</v>
      </c>
      <c r="D29" s="61" t="s">
        <v>3363</v>
      </c>
      <c r="E29" s="158" t="str">
        <f>HYPERLINK("https://youtu.be/OR-VANc3wFU?t=2191","channel 1")</f>
        <v>channel 1</v>
      </c>
    </row>
    <row r="30">
      <c r="A30" s="141"/>
      <c r="B30" s="61" t="s">
        <v>2153</v>
      </c>
      <c r="C30" s="57" t="s">
        <v>490</v>
      </c>
      <c r="D30" s="61" t="s">
        <v>3922</v>
      </c>
      <c r="E30" s="11" t="str">
        <f>HYPERLINK("https://youtu.be/_fqKY5aZj-A?t=2190","channel 2")</f>
        <v>channel 2</v>
      </c>
    </row>
    <row r="31">
      <c r="A31" s="141"/>
      <c r="B31" s="61" t="s">
        <v>3982</v>
      </c>
      <c r="C31" s="57" t="s">
        <v>250</v>
      </c>
      <c r="D31" s="61" t="s">
        <v>3861</v>
      </c>
      <c r="E31" s="158" t="str">
        <f>HYPERLINK("https://youtu.be/OR-VANc3wFU?t=3117","channel 1")</f>
        <v>channel 1</v>
      </c>
    </row>
    <row r="32">
      <c r="A32" s="141"/>
      <c r="B32" s="61" t="s">
        <v>3363</v>
      </c>
      <c r="C32" s="57" t="s">
        <v>1242</v>
      </c>
      <c r="D32" s="61" t="s">
        <v>3922</v>
      </c>
      <c r="E32" s="11" t="str">
        <f>HYPERLINK("https://youtu.be/_fqKY5aZj-A?t=3187","channel 2")</f>
        <v>channel 2</v>
      </c>
    </row>
    <row r="33">
      <c r="A33" s="141"/>
      <c r="B33" s="61" t="s">
        <v>3982</v>
      </c>
      <c r="C33" s="57" t="s">
        <v>219</v>
      </c>
      <c r="D33" s="61" t="s">
        <v>2153</v>
      </c>
      <c r="E33" s="158" t="str">
        <f>HYPERLINK("https://youtu.be/OR-VANc3wFU?t=4075","channel 1")</f>
        <v>channel 1</v>
      </c>
    </row>
    <row r="34">
      <c r="A34" s="141"/>
      <c r="B34" s="61" t="s">
        <v>3363</v>
      </c>
      <c r="C34" s="57" t="s">
        <v>380</v>
      </c>
      <c r="D34" s="61" t="s">
        <v>3861</v>
      </c>
      <c r="E34" s="11" t="str">
        <f>HYPERLINK("https://youtu.be/_fqKY5aZj-A?t=4139","channel 2")</f>
        <v>channel 2</v>
      </c>
    </row>
    <row r="35">
      <c r="A35" s="141"/>
      <c r="B35" s="61" t="s">
        <v>3861</v>
      </c>
      <c r="C35" s="57" t="s">
        <v>442</v>
      </c>
      <c r="D35" s="61" t="s">
        <v>3922</v>
      </c>
      <c r="E35" s="158" t="str">
        <f>HYPERLINK("https://youtu.be/OR-VANc3wFU?t=5032","channel 1")</f>
        <v>channel 1</v>
      </c>
    </row>
    <row r="36">
      <c r="A36" s="141"/>
      <c r="B36" s="61" t="s">
        <v>3363</v>
      </c>
      <c r="C36" s="57" t="s">
        <v>910</v>
      </c>
      <c r="D36" s="61" t="s">
        <v>2153</v>
      </c>
      <c r="E36" s="11" t="str">
        <f>HYPERLINK("https://youtu.be/_fqKY5aZj-A?t=5035","channel 2")</f>
        <v>channel 2</v>
      </c>
    </row>
    <row r="37">
      <c r="A37" s="141"/>
      <c r="B37" s="61" t="s">
        <v>3922</v>
      </c>
      <c r="C37" s="57" t="s">
        <v>3983</v>
      </c>
      <c r="D37" s="61" t="s">
        <v>3982</v>
      </c>
      <c r="E37" s="158" t="str">
        <f>HYPERLINK("https://youtu.be/OR-VANc3wFU?t=6100","channel 1")</f>
        <v>channel 1</v>
      </c>
    </row>
    <row r="38">
      <c r="A38" s="141"/>
      <c r="B38" s="61" t="s">
        <v>3861</v>
      </c>
      <c r="C38" s="57" t="s">
        <v>336</v>
      </c>
      <c r="D38" s="61" t="s">
        <v>2153</v>
      </c>
      <c r="E38" s="11" t="str">
        <f>HYPERLINK("https://youtu.be/_fqKY5aZj-A?t=6083","channel 2")</f>
        <v>channel 2</v>
      </c>
    </row>
    <row r="39">
      <c r="A39" s="141"/>
      <c r="B39" s="61" t="s">
        <v>3363</v>
      </c>
      <c r="C39" s="45" t="s">
        <v>3984</v>
      </c>
      <c r="D39" s="61" t="s">
        <v>3982</v>
      </c>
      <c r="E39" s="158" t="str">
        <f>HYPERLINK("https://youtu.be/OR-VANc3wFU?t=7098","channel 1")</f>
        <v>channel 1</v>
      </c>
    </row>
    <row r="40">
      <c r="A40" s="141"/>
      <c r="B40" s="61" t="s">
        <v>3922</v>
      </c>
      <c r="C40" s="57" t="s">
        <v>344</v>
      </c>
      <c r="D40" s="61" t="s">
        <v>2153</v>
      </c>
      <c r="E40" s="11" t="str">
        <f>HYPERLINK("https://youtu.be/_fqKY5aZj-A?t=7087","channel 2")</f>
        <v>channel 2</v>
      </c>
    </row>
    <row r="41">
      <c r="A41" s="141"/>
      <c r="B41" s="61" t="s">
        <v>3861</v>
      </c>
      <c r="C41" s="57" t="s">
        <v>264</v>
      </c>
      <c r="D41" s="61" t="s">
        <v>3982</v>
      </c>
      <c r="E41" s="158" t="str">
        <f>HYPERLINK("https://youtu.be/OR-VANc3wFU?t=8091","channel 1")</f>
        <v>channel 1</v>
      </c>
    </row>
    <row r="42">
      <c r="A42" s="141"/>
      <c r="B42" s="61" t="s">
        <v>3922</v>
      </c>
      <c r="C42" s="57" t="s">
        <v>165</v>
      </c>
      <c r="D42" s="61" t="s">
        <v>3363</v>
      </c>
      <c r="E42" s="11" t="str">
        <f>HYPERLINK("https://youtu.be/_fqKY5aZj-A?t=8041","channel 2")</f>
        <v>channel 2</v>
      </c>
    </row>
    <row r="43">
      <c r="A43" s="141"/>
      <c r="B43" s="61" t="s">
        <v>2153</v>
      </c>
      <c r="C43" s="57" t="s">
        <v>16</v>
      </c>
      <c r="D43" s="61" t="s">
        <v>3982</v>
      </c>
      <c r="E43" s="158" t="str">
        <f>HYPERLINK("https://youtu.be/OR-VANc3wFU?t=8959","channel 1")</f>
        <v>channel 1</v>
      </c>
    </row>
    <row r="44">
      <c r="A44" s="141"/>
      <c r="B44" s="61" t="s">
        <v>3861</v>
      </c>
      <c r="C44" s="57" t="s">
        <v>11</v>
      </c>
      <c r="D44" s="61" t="s">
        <v>3363</v>
      </c>
      <c r="E44" s="11" t="str">
        <f>HYPERLINK("https://youtu.be/_fqKY5aZj-A?t=8993","channel 2")</f>
        <v>channel 2</v>
      </c>
    </row>
    <row r="45">
      <c r="A45" s="141"/>
      <c r="B45" s="96" t="s">
        <v>2653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3985</v>
      </c>
      <c r="C47" s="57" t="s">
        <v>278</v>
      </c>
      <c r="D47" s="61" t="s">
        <v>2987</v>
      </c>
      <c r="E47" s="158" t="str">
        <f>HYPERLINK("https://youtu.be/Ji13Wz9Uk8I","channel 1")</f>
        <v>channel 1</v>
      </c>
    </row>
    <row r="48">
      <c r="A48" s="141"/>
      <c r="B48" s="61" t="s">
        <v>3642</v>
      </c>
      <c r="C48" s="57" t="s">
        <v>352</v>
      </c>
      <c r="D48" s="61" t="s">
        <v>3844</v>
      </c>
      <c r="E48" s="11" t="str">
        <f>HYPERLINK("https://youtu.be/05rrnnKgmak","channel 2")</f>
        <v>channel 2</v>
      </c>
    </row>
    <row r="49">
      <c r="A49" s="141"/>
      <c r="B49" s="61" t="s">
        <v>3968</v>
      </c>
      <c r="C49" s="57" t="s">
        <v>286</v>
      </c>
      <c r="D49" s="61" t="s">
        <v>3985</v>
      </c>
      <c r="E49" s="158" t="str">
        <f>HYPERLINK("https://youtu.be/Ji13Wz9Uk8I?t=1003","channel 1")</f>
        <v>channel 1</v>
      </c>
    </row>
    <row r="50">
      <c r="A50" s="141"/>
      <c r="B50" s="61" t="s">
        <v>3642</v>
      </c>
      <c r="C50" s="57" t="s">
        <v>319</v>
      </c>
      <c r="D50" s="61" t="s">
        <v>2987</v>
      </c>
      <c r="E50" s="11" t="str">
        <f>HYPERLINK("https://youtu.be/05rrnnKgmak?t=900","channel 2")</f>
        <v>channel 2</v>
      </c>
    </row>
    <row r="51">
      <c r="A51" s="141"/>
      <c r="B51" s="61" t="s">
        <v>3968</v>
      </c>
      <c r="C51" s="57" t="s">
        <v>3986</v>
      </c>
      <c r="D51" s="61" t="s">
        <v>3844</v>
      </c>
      <c r="E51" s="158" t="str">
        <f>HYPERLINK("https://youtu.be/Ji13Wz9Uk8I?t=1950","channel 1")</f>
        <v>channel 1</v>
      </c>
    </row>
    <row r="52">
      <c r="A52" s="141"/>
      <c r="B52" s="61" t="s">
        <v>3642</v>
      </c>
      <c r="C52" s="57" t="s">
        <v>209</v>
      </c>
      <c r="D52" s="61" t="s">
        <v>3985</v>
      </c>
      <c r="E52" s="11" t="str">
        <f>HYPERLINK("https://youtu.be/05rrnnKgmak?t=1849","channel 2")</f>
        <v>channel 2</v>
      </c>
    </row>
    <row r="53">
      <c r="A53" s="141"/>
      <c r="B53" s="61" t="s">
        <v>3968</v>
      </c>
      <c r="C53" s="57" t="s">
        <v>508</v>
      </c>
      <c r="D53" s="61" t="s">
        <v>2987</v>
      </c>
      <c r="E53" s="158" t="str">
        <f>HYPERLINK("https://youtu.be/Ji13Wz9Uk8I?t=2955","channel 1")</f>
        <v>channel 1</v>
      </c>
    </row>
    <row r="54">
      <c r="A54" s="141"/>
      <c r="B54" s="61" t="s">
        <v>3844</v>
      </c>
      <c r="C54" s="57" t="s">
        <v>256</v>
      </c>
      <c r="D54" s="61" t="s">
        <v>3985</v>
      </c>
      <c r="E54" s="11" t="str">
        <f>HYPERLINK("https://youtu.be/05rrnnKgmak?t=2897","channel 2")</f>
        <v>channel 2</v>
      </c>
    </row>
    <row r="55">
      <c r="A55" s="141"/>
      <c r="B55" s="61" t="s">
        <v>3968</v>
      </c>
      <c r="C55" s="57" t="s">
        <v>203</v>
      </c>
      <c r="D55" s="61" t="s">
        <v>3642</v>
      </c>
      <c r="E55" s="158" t="str">
        <f>HYPERLINK("https://youtu.be/Ji13Wz9Uk8I?t=3862","channel 1")</f>
        <v>channel 1</v>
      </c>
    </row>
    <row r="56">
      <c r="A56" s="141"/>
      <c r="B56" s="61" t="s">
        <v>3844</v>
      </c>
      <c r="C56" s="57" t="s">
        <v>301</v>
      </c>
      <c r="D56" s="61" t="s">
        <v>2987</v>
      </c>
      <c r="E56" s="11" t="str">
        <f>HYPERLINK("https://youtu.be/05rrnnKgmak?t=3802","channel 2")</f>
        <v>channel 2</v>
      </c>
    </row>
    <row r="57">
      <c r="A57" s="141"/>
      <c r="B57" s="61" t="s">
        <v>2987</v>
      </c>
      <c r="C57" s="57" t="s">
        <v>315</v>
      </c>
      <c r="D57" s="61" t="s">
        <v>3985</v>
      </c>
      <c r="E57" s="158" t="str">
        <f>HYPERLINK("https://youtu.be/Ji13Wz9Uk8I?t=4704","channel 1")</f>
        <v>channel 1</v>
      </c>
    </row>
    <row r="58">
      <c r="A58" s="141"/>
      <c r="B58" s="61" t="s">
        <v>3844</v>
      </c>
      <c r="C58" s="57" t="s">
        <v>279</v>
      </c>
      <c r="D58" s="61" t="s">
        <v>3642</v>
      </c>
      <c r="E58" s="11" t="str">
        <f>HYPERLINK("https://youtu.be/05rrnnKgmak?t=4628","channel 2")</f>
        <v>channel 2</v>
      </c>
    </row>
    <row r="59">
      <c r="A59" s="141"/>
      <c r="B59" s="61" t="s">
        <v>3985</v>
      </c>
      <c r="C59" s="57" t="s">
        <v>181</v>
      </c>
      <c r="D59" s="61" t="s">
        <v>3968</v>
      </c>
      <c r="E59" s="158" t="str">
        <f>HYPERLINK("https://youtu.be/Ji13Wz9Uk8I?t=5244","channel 1")</f>
        <v>channel 1</v>
      </c>
    </row>
    <row r="60">
      <c r="A60" s="141"/>
      <c r="B60" s="61" t="s">
        <v>2987</v>
      </c>
      <c r="C60" s="57" t="s">
        <v>208</v>
      </c>
      <c r="D60" s="61" t="s">
        <v>3642</v>
      </c>
      <c r="E60" s="11" t="str">
        <f>HYPERLINK("https://youtu.be/05rrnnKgmak?t=5247","channel 2")</f>
        <v>channel 2</v>
      </c>
    </row>
    <row r="61">
      <c r="A61" s="141"/>
      <c r="B61" s="61" t="s">
        <v>3844</v>
      </c>
      <c r="C61" s="57" t="s">
        <v>554</v>
      </c>
      <c r="D61" s="61" t="s">
        <v>3968</v>
      </c>
      <c r="E61" s="158" t="str">
        <f>HYPERLINK("https://youtu.be/Ji13Wz9Uk8I?t=5956","channel 1")</f>
        <v>channel 1</v>
      </c>
    </row>
    <row r="62">
      <c r="A62" s="141"/>
      <c r="B62" s="61" t="s">
        <v>3985</v>
      </c>
      <c r="C62" s="45" t="s">
        <v>158</v>
      </c>
      <c r="D62" s="61" t="s">
        <v>3642</v>
      </c>
      <c r="E62" s="11" t="str">
        <f>HYPERLINK("https://youtu.be/05rrnnKgmak?t=5993","channel 2")</f>
        <v>channel 2</v>
      </c>
    </row>
    <row r="63">
      <c r="A63" s="141"/>
      <c r="B63" s="61" t="s">
        <v>2987</v>
      </c>
      <c r="C63" s="57" t="s">
        <v>233</v>
      </c>
      <c r="D63" s="61" t="s">
        <v>3968</v>
      </c>
      <c r="E63" s="158" t="str">
        <f>HYPERLINK("https://youtu.be/Ji13Wz9Uk8I?t=6665","channel 1")</f>
        <v>channel 1</v>
      </c>
    </row>
    <row r="64">
      <c r="A64" s="141"/>
      <c r="B64" s="61" t="s">
        <v>3985</v>
      </c>
      <c r="C64" s="57" t="s">
        <v>1846</v>
      </c>
      <c r="D64" s="61" t="s">
        <v>3844</v>
      </c>
      <c r="E64" s="11" t="str">
        <f>HYPERLINK("https://youtu.be/05rrnnKgmak?t=6711","channel 2")</f>
        <v>channel 2</v>
      </c>
    </row>
    <row r="65">
      <c r="A65" s="141"/>
      <c r="B65" s="61" t="s">
        <v>3642</v>
      </c>
      <c r="C65" s="57" t="s">
        <v>440</v>
      </c>
      <c r="D65" s="61" t="s">
        <v>3968</v>
      </c>
      <c r="E65" s="158" t="str">
        <f>HYPERLINK("https://youtu.be/Ji13Wz9Uk8I?t=7396","channel 1")</f>
        <v>channel 1</v>
      </c>
    </row>
    <row r="66">
      <c r="A66" s="141"/>
      <c r="B66" s="61" t="s">
        <v>2987</v>
      </c>
      <c r="C66" s="57" t="s">
        <v>1255</v>
      </c>
      <c r="D66" s="61" t="s">
        <v>3844</v>
      </c>
      <c r="E66" s="11" t="str">
        <f>HYPERLINK("https://youtu.be/05rrnnKgmak?t=7590","channel 2")</f>
        <v>channel 2</v>
      </c>
    </row>
    <row r="67">
      <c r="A67" s="141"/>
      <c r="B67" s="160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3987</v>
      </c>
      <c r="C69" s="57" t="s">
        <v>16</v>
      </c>
      <c r="D69" s="61" t="s">
        <v>3922</v>
      </c>
      <c r="E69" s="158" t="str">
        <f>HYPERLINK("https://youtu.be/SpK81sd9W_Q","channel 1")</f>
        <v>channel 1</v>
      </c>
    </row>
    <row r="70">
      <c r="A70" s="141"/>
      <c r="B70" s="61" t="s">
        <v>3988</v>
      </c>
      <c r="C70" s="57" t="s">
        <v>271</v>
      </c>
      <c r="D70" s="61" t="s">
        <v>3943</v>
      </c>
      <c r="E70" s="11" t="str">
        <f>HYPERLINK("https://youtu.be/nPrBZf-Qrfg","channel 2")</f>
        <v>channel 2</v>
      </c>
    </row>
    <row r="71">
      <c r="A71" s="141"/>
      <c r="B71" s="61" t="s">
        <v>3989</v>
      </c>
      <c r="C71" s="57" t="s">
        <v>573</v>
      </c>
      <c r="D71" s="61" t="s">
        <v>3987</v>
      </c>
      <c r="E71" s="158" t="str">
        <f>HYPERLINK("https://youtu.be/SpK81sd9W_Q?t=913","channel 1")</f>
        <v>channel 1</v>
      </c>
    </row>
    <row r="72">
      <c r="A72" s="141"/>
      <c r="B72" s="61" t="s">
        <v>3988</v>
      </c>
      <c r="C72" s="57" t="s">
        <v>271</v>
      </c>
      <c r="D72" s="61" t="s">
        <v>3922</v>
      </c>
      <c r="E72" s="11" t="str">
        <f>HYPERLINK("https://youtu.be/nPrBZf-Qrfg?t=1009","channel 2")</f>
        <v>channel 2</v>
      </c>
    </row>
    <row r="73">
      <c r="A73" s="141"/>
      <c r="B73" s="61" t="s">
        <v>3989</v>
      </c>
      <c r="C73" s="57" t="s">
        <v>161</v>
      </c>
      <c r="D73" s="61" t="s">
        <v>3943</v>
      </c>
      <c r="E73" s="158" t="str">
        <f>HYPERLINK("https://youtu.be/SpK81sd9W_Q?t=1775","channel 1")</f>
        <v>channel 1</v>
      </c>
    </row>
    <row r="74">
      <c r="A74" s="141"/>
      <c r="B74" s="61" t="s">
        <v>3988</v>
      </c>
      <c r="C74" s="57" t="s">
        <v>351</v>
      </c>
      <c r="D74" s="61" t="s">
        <v>3987</v>
      </c>
      <c r="E74" s="11" t="str">
        <f>HYPERLINK("https://youtu.be/nPrBZf-Qrfg?t=1968","channel 2")</f>
        <v>channel 2</v>
      </c>
    </row>
    <row r="75">
      <c r="A75" s="141"/>
      <c r="B75" s="61" t="s">
        <v>3989</v>
      </c>
      <c r="C75" s="57" t="s">
        <v>250</v>
      </c>
      <c r="D75" s="61" t="s">
        <v>3922</v>
      </c>
      <c r="E75" s="158" t="str">
        <f>HYPERLINK("https://youtu.be/SpK81sd9W_Q?t=2740","channel 1")</f>
        <v>channel 1</v>
      </c>
    </row>
    <row r="76">
      <c r="A76" s="141"/>
      <c r="B76" s="61" t="s">
        <v>3943</v>
      </c>
      <c r="C76" s="57" t="s">
        <v>517</v>
      </c>
      <c r="D76" s="61" t="s">
        <v>3987</v>
      </c>
      <c r="E76" s="11" t="str">
        <f>HYPERLINK("https://youtu.be/nPrBZf-Qrfg?t=2895","channel 2")</f>
        <v>channel 2</v>
      </c>
    </row>
    <row r="77">
      <c r="A77" s="141"/>
      <c r="B77" s="61" t="s">
        <v>3989</v>
      </c>
      <c r="C77" s="57" t="s">
        <v>194</v>
      </c>
      <c r="D77" s="61" t="s">
        <v>3988</v>
      </c>
      <c r="E77" s="158" t="str">
        <f>HYPERLINK("https://youtu.be/SpK81sd9W_Q?t=3660","channel 1")</f>
        <v>channel 1</v>
      </c>
    </row>
    <row r="78">
      <c r="A78" s="141"/>
      <c r="B78" s="61" t="s">
        <v>3943</v>
      </c>
      <c r="C78" s="57" t="s">
        <v>394</v>
      </c>
      <c r="D78" s="61" t="s">
        <v>3922</v>
      </c>
      <c r="E78" s="11" t="str">
        <f>HYPERLINK("https://youtu.be/nPrBZf-Qrfg?t=3833","channel 2")</f>
        <v>channel 2</v>
      </c>
    </row>
    <row r="79">
      <c r="A79" s="141"/>
      <c r="B79" s="61" t="s">
        <v>3922</v>
      </c>
      <c r="C79" s="57" t="s">
        <v>3984</v>
      </c>
      <c r="D79" s="61" t="s">
        <v>3987</v>
      </c>
      <c r="E79" s="158" t="str">
        <f>HYPERLINK("https://youtu.be/SpK81sd9W_Q?t=4549","channel 1")</f>
        <v>channel 1</v>
      </c>
    </row>
    <row r="80">
      <c r="A80" s="141"/>
      <c r="B80" s="61" t="s">
        <v>3943</v>
      </c>
      <c r="C80" s="57" t="s">
        <v>487</v>
      </c>
      <c r="D80" s="61" t="s">
        <v>3988</v>
      </c>
      <c r="E80" s="11" t="str">
        <f>HYPERLINK("https://youtu.be/nPrBZf-Qrfg?t=4793","channel 2")</f>
        <v>channel 2</v>
      </c>
    </row>
    <row r="81">
      <c r="A81" s="141"/>
      <c r="B81" s="61" t="s">
        <v>3987</v>
      </c>
      <c r="C81" s="57" t="s">
        <v>1120</v>
      </c>
      <c r="D81" s="61" t="s">
        <v>3989</v>
      </c>
      <c r="E81" s="158" t="str">
        <f>HYPERLINK("https://youtu.be/SpK81sd9W_Q?t=5575","channel 1")</f>
        <v>channel 1</v>
      </c>
    </row>
    <row r="82">
      <c r="A82" s="141"/>
      <c r="B82" s="61" t="s">
        <v>3922</v>
      </c>
      <c r="C82" s="57" t="s">
        <v>1123</v>
      </c>
      <c r="D82" s="61" t="s">
        <v>3988</v>
      </c>
      <c r="E82" s="11" t="str">
        <f>HYPERLINK("https://youtu.be/nPrBZf-Qrfg?t=5697","channel 2")</f>
        <v>channel 2</v>
      </c>
    </row>
    <row r="83">
      <c r="A83" s="141"/>
      <c r="B83" s="61" t="s">
        <v>3943</v>
      </c>
      <c r="C83" s="57" t="s">
        <v>2994</v>
      </c>
      <c r="D83" s="61" t="s">
        <v>3989</v>
      </c>
      <c r="E83" s="158" t="str">
        <f>HYPERLINK("https://youtu.be/SpK81sd9W_Q?t=6436","channel 1")</f>
        <v>channel 1</v>
      </c>
    </row>
    <row r="84">
      <c r="A84" s="141"/>
      <c r="B84" s="61" t="s">
        <v>3987</v>
      </c>
      <c r="C84" s="57" t="s">
        <v>697</v>
      </c>
      <c r="D84" s="61" t="s">
        <v>3988</v>
      </c>
      <c r="E84" s="11" t="str">
        <f>HYPERLINK("https://youtu.be/nPrBZf-Qrfg?t=6646","channel 2")</f>
        <v>channel 2</v>
      </c>
    </row>
    <row r="85">
      <c r="A85" s="141"/>
      <c r="B85" s="61" t="s">
        <v>3922</v>
      </c>
      <c r="C85" s="57" t="s">
        <v>425</v>
      </c>
      <c r="D85" s="61" t="s">
        <v>3989</v>
      </c>
      <c r="E85" s="158" t="str">
        <f>HYPERLINK("https://youtu.be/SpK81sd9W_Q?t=7391","channel 1")</f>
        <v>channel 1</v>
      </c>
    </row>
    <row r="86">
      <c r="A86" s="141"/>
      <c r="B86" s="61" t="s">
        <v>3987</v>
      </c>
      <c r="C86" s="57" t="s">
        <v>744</v>
      </c>
      <c r="D86" s="61" t="s">
        <v>3943</v>
      </c>
      <c r="E86" s="11" t="str">
        <f>HYPERLINK("https://youtu.be/nPrBZf-Qrfg?t=7554","channel 2")</f>
        <v>channel 2</v>
      </c>
    </row>
    <row r="87">
      <c r="A87" s="141"/>
      <c r="B87" s="61" t="s">
        <v>3988</v>
      </c>
      <c r="C87" s="57" t="s">
        <v>7</v>
      </c>
      <c r="D87" s="61" t="s">
        <v>3989</v>
      </c>
      <c r="E87" s="158" t="str">
        <f>HYPERLINK("https://youtu.be/SpK81sd9W_Q?t=8355","channel 1")</f>
        <v>channel 1</v>
      </c>
    </row>
    <row r="88">
      <c r="A88" s="141"/>
      <c r="B88" s="61" t="s">
        <v>3922</v>
      </c>
      <c r="C88" s="57" t="s">
        <v>278</v>
      </c>
      <c r="D88" s="61" t="s">
        <v>3943</v>
      </c>
      <c r="E88" s="11" t="str">
        <f>HYPERLINK("https://youtu.be/nPrBZf-Qrfg?t=8476","channel 2")</f>
        <v>channel 2</v>
      </c>
    </row>
    <row r="89">
      <c r="A89" s="141"/>
      <c r="B89" s="96" t="s">
        <v>1566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2871</v>
      </c>
      <c r="C91" s="57" t="s">
        <v>233</v>
      </c>
      <c r="D91" s="61" t="s">
        <v>3384</v>
      </c>
      <c r="E91" s="158" t="str">
        <f>HYPERLINK("https://youtu.be/sgeG1glm_qQ","channel 1")</f>
        <v>channel 1</v>
      </c>
    </row>
    <row r="92">
      <c r="A92" s="141"/>
      <c r="B92" s="61" t="s">
        <v>3990</v>
      </c>
      <c r="C92" s="57" t="s">
        <v>23</v>
      </c>
      <c r="D92" s="61" t="s">
        <v>97</v>
      </c>
      <c r="E92" s="11" t="str">
        <f>HYPERLINK("https://youtu.be/uTSUE0Or40A","channel 2")</f>
        <v>channel 2</v>
      </c>
    </row>
    <row r="93">
      <c r="A93" s="141"/>
      <c r="B93" s="61" t="s">
        <v>3991</v>
      </c>
      <c r="C93" s="57" t="s">
        <v>312</v>
      </c>
      <c r="D93" s="61" t="s">
        <v>2871</v>
      </c>
      <c r="E93" s="158" t="str">
        <f>HYPERLINK("https://youtu.be/sgeG1glm_qQ?t=549","channel 1")</f>
        <v>channel 1</v>
      </c>
    </row>
    <row r="94">
      <c r="A94" s="141"/>
      <c r="B94" s="61" t="s">
        <v>3990</v>
      </c>
      <c r="C94" s="57" t="s">
        <v>218</v>
      </c>
      <c r="D94" s="61" t="s">
        <v>3384</v>
      </c>
      <c r="E94" s="11" t="str">
        <f>HYPERLINK("https://youtu.be/uTSUE0Or40A?t=1123","channel 2")</f>
        <v>channel 2</v>
      </c>
    </row>
    <row r="95">
      <c r="A95" s="141"/>
      <c r="B95" s="61" t="s">
        <v>3991</v>
      </c>
      <c r="C95" s="54" t="s">
        <v>19</v>
      </c>
      <c r="D95" s="61" t="s">
        <v>97</v>
      </c>
      <c r="E95" s="158" t="str">
        <f>HYPERLINK("https://youtu.be/sgeG1glm_qQ?t=1483","channel 1")</f>
        <v>channel 1</v>
      </c>
    </row>
    <row r="96">
      <c r="A96" s="141"/>
      <c r="B96" s="61" t="s">
        <v>3990</v>
      </c>
      <c r="C96" s="57" t="s">
        <v>233</v>
      </c>
      <c r="D96" s="61" t="s">
        <v>2871</v>
      </c>
      <c r="E96" s="11" t="str">
        <f>HYPERLINK("https://youtu.be/uTSUE0Or40A?t=1970","channel 2")</f>
        <v>channel 2</v>
      </c>
    </row>
    <row r="97">
      <c r="A97" s="141"/>
      <c r="B97" s="61" t="s">
        <v>3991</v>
      </c>
      <c r="C97" s="57" t="s">
        <v>41</v>
      </c>
      <c r="D97" s="61" t="s">
        <v>3384</v>
      </c>
      <c r="E97" s="158" t="str">
        <f>HYPERLINK("https://youtu.be/sgeG1glm_qQ?t=2407","channel 1")</f>
        <v>channel 1</v>
      </c>
    </row>
    <row r="98">
      <c r="A98" s="141"/>
      <c r="B98" s="61" t="s">
        <v>97</v>
      </c>
      <c r="C98" s="57" t="s">
        <v>244</v>
      </c>
      <c r="D98" s="61" t="s">
        <v>2871</v>
      </c>
      <c r="E98" s="11" t="str">
        <f>HYPERLINK("https://youtu.be/uTSUE0Or40A?t=2960","channel 2")</f>
        <v>channel 2</v>
      </c>
    </row>
    <row r="99">
      <c r="A99" s="141"/>
      <c r="B99" s="61" t="s">
        <v>3991</v>
      </c>
      <c r="C99" s="57" t="s">
        <v>23</v>
      </c>
      <c r="D99" s="61" t="s">
        <v>3990</v>
      </c>
      <c r="E99" s="158" t="str">
        <f>HYPERLINK("https://youtu.be/sgeG1glm_qQ?t=3287","channel 1")</f>
        <v>channel 1</v>
      </c>
    </row>
    <row r="100">
      <c r="A100" s="141"/>
      <c r="B100" s="61" t="s">
        <v>97</v>
      </c>
      <c r="C100" s="57" t="s">
        <v>525</v>
      </c>
      <c r="D100" s="61" t="s">
        <v>3384</v>
      </c>
      <c r="E100" s="11" t="str">
        <f>HYPERLINK("https://youtu.be/uTSUE0Or40A?t=3866","channel 2")</f>
        <v>channel 2</v>
      </c>
    </row>
    <row r="101">
      <c r="A101" s="141"/>
      <c r="B101" s="61" t="s">
        <v>3384</v>
      </c>
      <c r="C101" s="57" t="s">
        <v>36</v>
      </c>
      <c r="D101" s="61" t="s">
        <v>2871</v>
      </c>
      <c r="E101" s="158" t="str">
        <f>HYPERLINK("https://youtu.be/sgeG1glm_qQ?t=4254","channel 1")</f>
        <v>channel 1</v>
      </c>
    </row>
    <row r="102">
      <c r="A102" s="141"/>
      <c r="B102" s="61" t="s">
        <v>97</v>
      </c>
      <c r="C102" s="57" t="s">
        <v>155</v>
      </c>
      <c r="D102" s="61" t="s">
        <v>3990</v>
      </c>
      <c r="E102" s="11" t="str">
        <f>HYPERLINK("https://youtu.be/uTSUE0Or40A?t=4786","channel 2")</f>
        <v>channel 2</v>
      </c>
    </row>
    <row r="103">
      <c r="A103" s="141"/>
      <c r="B103" s="61" t="s">
        <v>2871</v>
      </c>
      <c r="C103" s="57" t="s">
        <v>292</v>
      </c>
      <c r="D103" s="61" t="s">
        <v>3991</v>
      </c>
      <c r="E103" s="158" t="str">
        <f>HYPERLINK("https://youtu.be/sgeG1glm_qQ?t=5126","channel 1")</f>
        <v>channel 1</v>
      </c>
    </row>
    <row r="104">
      <c r="A104" s="141"/>
      <c r="B104" s="61" t="s">
        <v>3384</v>
      </c>
      <c r="C104" s="57" t="s">
        <v>195</v>
      </c>
      <c r="D104" s="61" t="s">
        <v>3990</v>
      </c>
      <c r="E104" s="11" t="str">
        <f>HYPERLINK("https://youtu.be/uTSUE0Or40A?t=5666","channel 2")</f>
        <v>channel 2</v>
      </c>
    </row>
    <row r="105">
      <c r="A105" s="141"/>
      <c r="B105" s="61" t="s">
        <v>97</v>
      </c>
      <c r="C105" s="57" t="s">
        <v>163</v>
      </c>
      <c r="D105" s="61" t="s">
        <v>3991</v>
      </c>
      <c r="E105" s="158" t="str">
        <f>HYPERLINK("https://youtu.be/sgeG1glm_qQ?t=6028","channel 1")</f>
        <v>channel 1</v>
      </c>
    </row>
    <row r="106">
      <c r="A106" s="141"/>
      <c r="B106" s="61" t="s">
        <v>2871</v>
      </c>
      <c r="C106" s="57" t="s">
        <v>279</v>
      </c>
      <c r="D106" s="61" t="s">
        <v>3990</v>
      </c>
      <c r="E106" s="11" t="str">
        <f>HYPERLINK("https://youtu.be/uTSUE0Or40A?t=6570","channel 2")</f>
        <v>channel 2</v>
      </c>
    </row>
    <row r="107">
      <c r="A107" s="141"/>
      <c r="B107" s="61" t="s">
        <v>3384</v>
      </c>
      <c r="C107" s="57" t="s">
        <v>194</v>
      </c>
      <c r="D107" s="61" t="s">
        <v>3991</v>
      </c>
      <c r="E107" s="158" t="str">
        <f>HYPERLINK("https://youtu.be/sgeG1glm_qQ?t=6969","channel 1")</f>
        <v>channel 1</v>
      </c>
    </row>
    <row r="108">
      <c r="A108" s="141"/>
      <c r="B108" s="61" t="s">
        <v>2871</v>
      </c>
      <c r="C108" s="57" t="s">
        <v>177</v>
      </c>
      <c r="D108" s="61" t="s">
        <v>97</v>
      </c>
      <c r="E108" s="11" t="str">
        <f>HYPERLINK("https://youtu.be/uTSUE0Or40A?t=7514","channel 2")</f>
        <v>channel 2</v>
      </c>
    </row>
    <row r="109">
      <c r="A109" s="141"/>
      <c r="B109" s="61" t="s">
        <v>3990</v>
      </c>
      <c r="C109" s="57" t="s">
        <v>158</v>
      </c>
      <c r="D109" s="61" t="s">
        <v>3991</v>
      </c>
      <c r="E109" s="158" t="str">
        <f>HYPERLINK("https://youtu.be/sgeG1glm_qQ?t=7815","channel 1")</f>
        <v>channel 1</v>
      </c>
    </row>
    <row r="110">
      <c r="A110" s="141"/>
      <c r="B110" s="61" t="s">
        <v>3384</v>
      </c>
      <c r="C110" s="57" t="s">
        <v>279</v>
      </c>
      <c r="D110" s="61" t="s">
        <v>97</v>
      </c>
      <c r="E110" s="11" t="str">
        <f>HYPERLINK("https://youtu.be/uTSUE0Or40A?t=8414","channel 2")</f>
        <v>channel 2</v>
      </c>
    </row>
    <row r="111">
      <c r="A111" s="141"/>
      <c r="B111" s="96" t="s">
        <v>2304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142" t="s">
        <v>3738</v>
      </c>
      <c r="C113" s="57" t="s">
        <v>43</v>
      </c>
      <c r="D113" s="61" t="s">
        <v>3992</v>
      </c>
      <c r="E113" s="158" t="str">
        <f>HYPERLINK("https://youtu.be/YEpw6H35vRo","channel 1")</f>
        <v>channel 1</v>
      </c>
    </row>
    <row r="114">
      <c r="A114" s="141"/>
      <c r="B114" s="61" t="s">
        <v>3993</v>
      </c>
      <c r="C114" s="57" t="s">
        <v>193</v>
      </c>
      <c r="D114" s="61" t="s">
        <v>1102</v>
      </c>
      <c r="E114" s="11" t="str">
        <f>HYPERLINK("https://youtu.be/Z55lRaAuYrM","channel 2")</f>
        <v>channel 2</v>
      </c>
    </row>
    <row r="115">
      <c r="A115" s="141"/>
      <c r="B115" s="61" t="s">
        <v>3706</v>
      </c>
      <c r="C115" s="57" t="s">
        <v>357</v>
      </c>
      <c r="D115" s="61" t="s">
        <v>3738</v>
      </c>
      <c r="E115" s="158" t="str">
        <f>HYPERLINK("https://youtu.be/YEpw6H35vRo?t=841","channel 1")</f>
        <v>channel 1</v>
      </c>
    </row>
    <row r="116">
      <c r="A116" s="141"/>
      <c r="B116" s="61" t="s">
        <v>3993</v>
      </c>
      <c r="C116" s="57" t="s">
        <v>271</v>
      </c>
      <c r="D116" s="61" t="s">
        <v>3992</v>
      </c>
      <c r="E116" s="11" t="str">
        <f>HYPERLINK("https://youtu.be/Z55lRaAuYrM?t=1058","channel 2")</f>
        <v>channel 2</v>
      </c>
    </row>
    <row r="117">
      <c r="A117" s="141"/>
      <c r="B117" s="61" t="s">
        <v>3706</v>
      </c>
      <c r="C117" s="57" t="s">
        <v>155</v>
      </c>
      <c r="D117" s="61" t="s">
        <v>1102</v>
      </c>
      <c r="E117" s="158" t="str">
        <f>HYPERLINK("https://youtu.be/YEpw6H35vRo?t=1814","channel 1")</f>
        <v>channel 1</v>
      </c>
    </row>
    <row r="118">
      <c r="A118" s="141"/>
      <c r="B118" s="61" t="s">
        <v>3993</v>
      </c>
      <c r="C118" s="57" t="s">
        <v>209</v>
      </c>
      <c r="D118" s="61" t="s">
        <v>3738</v>
      </c>
      <c r="E118" s="11" t="str">
        <f>HYPERLINK("https://youtu.be/Z55lRaAuYrM?t=1973","channel 2")</f>
        <v>channel 2</v>
      </c>
    </row>
    <row r="119">
      <c r="A119" s="141"/>
      <c r="B119" s="61" t="s">
        <v>3706</v>
      </c>
      <c r="C119" s="57" t="s">
        <v>220</v>
      </c>
      <c r="D119" s="61" t="s">
        <v>3992</v>
      </c>
      <c r="E119" s="158" t="str">
        <f>HYPERLINK("https://youtu.be/YEpw6H35vRo?t=2669","channel 1")</f>
        <v>channel 1</v>
      </c>
    </row>
    <row r="120">
      <c r="A120" s="141"/>
      <c r="B120" s="61" t="s">
        <v>1102</v>
      </c>
      <c r="C120" s="57" t="s">
        <v>545</v>
      </c>
      <c r="D120" s="61" t="s">
        <v>3738</v>
      </c>
      <c r="E120" s="11" t="str">
        <f>HYPERLINK("https://youtu.be/Z55lRaAuYrM?t=2870","channel 2")</f>
        <v>channel 2</v>
      </c>
    </row>
    <row r="121">
      <c r="A121" s="141"/>
      <c r="B121" s="61" t="s">
        <v>3706</v>
      </c>
      <c r="C121" s="57" t="s">
        <v>208</v>
      </c>
      <c r="D121" s="61" t="s">
        <v>3993</v>
      </c>
      <c r="E121" s="158" t="str">
        <f>HYPERLINK("https://youtu.be/YEpw6H35vRo?t=3602","channel 1")</f>
        <v>channel 1</v>
      </c>
    </row>
    <row r="122">
      <c r="A122" s="141"/>
      <c r="B122" s="61" t="s">
        <v>1102</v>
      </c>
      <c r="C122" s="57" t="s">
        <v>209</v>
      </c>
      <c r="D122" s="61" t="s">
        <v>3992</v>
      </c>
      <c r="E122" s="11" t="str">
        <f>HYPERLINK("https://youtu.be/Z55lRaAuYrM?t=3812","channel 2")</f>
        <v>channel 2</v>
      </c>
    </row>
    <row r="123">
      <c r="A123" s="141"/>
      <c r="B123" s="61" t="s">
        <v>3992</v>
      </c>
      <c r="C123" s="57" t="s">
        <v>3994</v>
      </c>
      <c r="D123" s="61" t="s">
        <v>3738</v>
      </c>
      <c r="E123" s="158" t="str">
        <f>HYPERLINK("https://youtu.be/YEpw6H35vRo?t=4522","channel 1")</f>
        <v>channel 1</v>
      </c>
    </row>
    <row r="124">
      <c r="A124" s="141"/>
      <c r="B124" s="61" t="s">
        <v>1102</v>
      </c>
      <c r="C124" s="57" t="s">
        <v>39</v>
      </c>
      <c r="D124" s="61" t="s">
        <v>3993</v>
      </c>
      <c r="E124" s="11" t="str">
        <f>HYPERLINK("https://youtu.be/Z55lRaAuYrM?t=4703","channel 2")</f>
        <v>channel 2</v>
      </c>
    </row>
    <row r="125">
      <c r="A125" s="141"/>
      <c r="B125" s="61" t="s">
        <v>3738</v>
      </c>
      <c r="C125" s="57" t="s">
        <v>193</v>
      </c>
      <c r="D125" s="61" t="s">
        <v>3706</v>
      </c>
      <c r="E125" s="158" t="str">
        <f>HYPERLINK("https://youtu.be/YEpw6H35vRo?t=5429","channel 1")</f>
        <v>channel 1</v>
      </c>
    </row>
    <row r="126">
      <c r="A126" s="141"/>
      <c r="B126" s="61" t="s">
        <v>3992</v>
      </c>
      <c r="C126" s="57" t="s">
        <v>14</v>
      </c>
      <c r="D126" s="61" t="s">
        <v>3993</v>
      </c>
      <c r="E126" s="11" t="str">
        <f>HYPERLINK("https://youtu.be/Z55lRaAuYrM?t=5633","channel 2")</f>
        <v>channel 2</v>
      </c>
    </row>
    <row r="127">
      <c r="A127" s="141"/>
      <c r="B127" s="61" t="s">
        <v>1102</v>
      </c>
      <c r="C127" s="57" t="s">
        <v>16</v>
      </c>
      <c r="D127" s="61" t="s">
        <v>3706</v>
      </c>
      <c r="E127" s="158" t="str">
        <f>HYPERLINK("https://youtu.be/YEpw6H35vRo?t=6468","channel 1")</f>
        <v>channel 1</v>
      </c>
    </row>
    <row r="128">
      <c r="A128" s="141"/>
      <c r="B128" s="61" t="s">
        <v>3738</v>
      </c>
      <c r="C128" s="57" t="s">
        <v>314</v>
      </c>
      <c r="D128" s="61" t="s">
        <v>3993</v>
      </c>
      <c r="E128" s="11" t="str">
        <f>HYPERLINK("https://youtu.be/Z55lRaAuYrM?t=6644","channel 2")</f>
        <v>channel 2</v>
      </c>
    </row>
    <row r="129">
      <c r="A129" s="141"/>
      <c r="B129" s="61" t="s">
        <v>3992</v>
      </c>
      <c r="C129" s="57" t="s">
        <v>209</v>
      </c>
      <c r="D129" s="61" t="s">
        <v>3706</v>
      </c>
      <c r="E129" s="158" t="str">
        <f>HYPERLINK("https://youtu.be/YEpw6H35vRo?t=7572","channel 1")</f>
        <v>channel 1</v>
      </c>
    </row>
    <row r="130">
      <c r="A130" s="141"/>
      <c r="B130" s="61" t="s">
        <v>3738</v>
      </c>
      <c r="C130" s="57" t="s">
        <v>14</v>
      </c>
      <c r="D130" s="61" t="s">
        <v>1102</v>
      </c>
      <c r="E130" s="11" t="str">
        <f>HYPERLINK("https://youtu.be/Z55lRaAuYrM?t=7743","channel 2")</f>
        <v>channel 2</v>
      </c>
    </row>
    <row r="131">
      <c r="A131" s="141"/>
      <c r="B131" s="61" t="s">
        <v>3993</v>
      </c>
      <c r="C131" s="57" t="s">
        <v>271</v>
      </c>
      <c r="D131" s="61" t="s">
        <v>3706</v>
      </c>
      <c r="E131" s="158" t="str">
        <f>HYPERLINK("https://youtu.be/YEpw6H35vRo?t=8400","channel 1")</f>
        <v>channel 1</v>
      </c>
    </row>
    <row r="132">
      <c r="A132" s="145"/>
      <c r="B132" s="61" t="s">
        <v>3992</v>
      </c>
      <c r="C132" s="57" t="s">
        <v>7</v>
      </c>
      <c r="D132" s="61" t="s">
        <v>1102</v>
      </c>
      <c r="E132" s="11" t="str">
        <f>HYPERLINK("https://youtu.be/Z55lRaAuYrM?t=8647","channel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2471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3881</v>
      </c>
      <c r="C3" s="57" t="s">
        <v>218</v>
      </c>
      <c r="D3" s="61" t="s">
        <v>3443</v>
      </c>
      <c r="E3" s="158" t="str">
        <f>HYPERLINK("https://youtu.be/fFkBb5PGA24","channel 1")</f>
        <v>channel 1</v>
      </c>
    </row>
    <row r="4">
      <c r="A4" s="141"/>
      <c r="B4" s="61" t="s">
        <v>3995</v>
      </c>
      <c r="C4" s="84" t="s">
        <v>426</v>
      </c>
      <c r="D4" s="61" t="s">
        <v>3729</v>
      </c>
      <c r="E4" s="11" t="str">
        <f>HYPERLINK("https://youtu.be/HAEpYA5n8MQ","channel 2")</f>
        <v>channel 2</v>
      </c>
    </row>
    <row r="5">
      <c r="A5" s="141"/>
      <c r="B5" s="61" t="s">
        <v>3444</v>
      </c>
      <c r="C5" s="57" t="s">
        <v>251</v>
      </c>
      <c r="D5" s="61" t="s">
        <v>3881</v>
      </c>
      <c r="E5" s="158" t="str">
        <f>HYPERLINK("https://youtu.be/fFkBb5PGA24?t=836","channel 1")</f>
        <v>channel 1</v>
      </c>
    </row>
    <row r="6">
      <c r="A6" s="141"/>
      <c r="B6" s="61" t="s">
        <v>3995</v>
      </c>
      <c r="C6" s="57" t="s">
        <v>324</v>
      </c>
      <c r="D6" s="61" t="s">
        <v>3443</v>
      </c>
      <c r="E6" s="11" t="str">
        <f>HYPERLINK("https://youtu.be/VSvUpU6F7As","channel 2")</f>
        <v>channel 2</v>
      </c>
    </row>
    <row r="7">
      <c r="A7" s="141"/>
      <c r="B7" s="61" t="s">
        <v>3444</v>
      </c>
      <c r="C7" s="57" t="s">
        <v>166</v>
      </c>
      <c r="D7" s="61" t="s">
        <v>3729</v>
      </c>
      <c r="E7" s="158" t="str">
        <f>HYPERLINK("https://youtu.be/fFkBb5PGA24?t=1838","channel 1")</f>
        <v>channel 1</v>
      </c>
    </row>
    <row r="8">
      <c r="A8" s="141"/>
      <c r="B8" s="61" t="s">
        <v>3995</v>
      </c>
      <c r="C8" s="57" t="s">
        <v>219</v>
      </c>
      <c r="D8" s="61" t="s">
        <v>3881</v>
      </c>
      <c r="E8" s="11" t="str">
        <f>HYPERLINK("https://youtu.be/HAEpYA5n8MQ?t=1844","channel 2")</f>
        <v>channel 2</v>
      </c>
    </row>
    <row r="9">
      <c r="A9" s="141"/>
      <c r="B9" s="61" t="s">
        <v>3444</v>
      </c>
      <c r="C9" s="57" t="s">
        <v>161</v>
      </c>
      <c r="D9" s="61" t="s">
        <v>3443</v>
      </c>
      <c r="E9" s="158" t="str">
        <f>HYPERLINK("https://youtu.be/fFkBb5PGA24?t=2799","channel 1")</f>
        <v>channel 1</v>
      </c>
    </row>
    <row r="10">
      <c r="A10" s="141"/>
      <c r="B10" s="61" t="s">
        <v>3729</v>
      </c>
      <c r="C10" s="57" t="s">
        <v>688</v>
      </c>
      <c r="D10" s="61" t="s">
        <v>3881</v>
      </c>
      <c r="E10" s="11" t="str">
        <f>HYPERLINK("https://youtu.be/HAEpYA5n8MQ?t=2766","channel 2")</f>
        <v>channel 2</v>
      </c>
    </row>
    <row r="11">
      <c r="A11" s="141"/>
      <c r="B11" s="61" t="s">
        <v>3444</v>
      </c>
      <c r="C11" s="57" t="s">
        <v>291</v>
      </c>
      <c r="D11" s="61" t="s">
        <v>3995</v>
      </c>
      <c r="E11" s="158" t="str">
        <f>HYPERLINK("https://youtu.be/fFkBb5PGA24?t=3656","channel 1")</f>
        <v>channel 1</v>
      </c>
    </row>
    <row r="12">
      <c r="A12" s="141"/>
      <c r="B12" s="61" t="s">
        <v>3729</v>
      </c>
      <c r="C12" s="57" t="s">
        <v>17</v>
      </c>
      <c r="D12" s="61" t="s">
        <v>3443</v>
      </c>
      <c r="E12" s="11" t="str">
        <f>HYPERLINK("https://youtu.be/HAEpYA5n8MQ?t=3729","channel 2")</f>
        <v>channel 2</v>
      </c>
    </row>
    <row r="13">
      <c r="A13" s="141"/>
      <c r="B13" s="61" t="s">
        <v>3443</v>
      </c>
      <c r="C13" s="57" t="s">
        <v>44</v>
      </c>
      <c r="D13" s="61" t="s">
        <v>3881</v>
      </c>
      <c r="E13" s="158" t="str">
        <f>HYPERLINK("https://youtu.be/fFkBb5PGA24?t=4548","channel 1")</f>
        <v>channel 1</v>
      </c>
    </row>
    <row r="14">
      <c r="A14" s="141"/>
      <c r="B14" s="61" t="s">
        <v>3729</v>
      </c>
      <c r="C14" s="57" t="s">
        <v>278</v>
      </c>
      <c r="D14" s="61" t="s">
        <v>3995</v>
      </c>
      <c r="E14" s="11" t="str">
        <f>HYPERLINK("https://youtu.be/HAEpYA5n8MQ?t=4648","channel 2")</f>
        <v>channel 2</v>
      </c>
    </row>
    <row r="15">
      <c r="A15" s="141"/>
      <c r="B15" s="61" t="s">
        <v>3881</v>
      </c>
      <c r="C15" s="57" t="s">
        <v>17</v>
      </c>
      <c r="D15" s="61" t="s">
        <v>3444</v>
      </c>
      <c r="E15" s="158" t="str">
        <f>HYPERLINK("https://youtu.be/fFkBb5PGA24?t=5562","channel 1")</f>
        <v>channel 1</v>
      </c>
    </row>
    <row r="16">
      <c r="A16" s="141"/>
      <c r="B16" s="61" t="s">
        <v>3443</v>
      </c>
      <c r="C16" s="57" t="s">
        <v>334</v>
      </c>
      <c r="D16" s="61" t="s">
        <v>3995</v>
      </c>
      <c r="E16" s="11" t="str">
        <f>HYPERLINK("https://youtu.be/HAEpYA5n8MQ?t=5576","channel 2")</f>
        <v>channel 2</v>
      </c>
    </row>
    <row r="17">
      <c r="A17" s="141"/>
      <c r="B17" s="61" t="s">
        <v>3729</v>
      </c>
      <c r="C17" s="57" t="s">
        <v>279</v>
      </c>
      <c r="D17" s="61" t="s">
        <v>3444</v>
      </c>
      <c r="E17" s="158" t="str">
        <f>HYPERLINK("https://youtu.be/fFkBb5PGA24?t=6471","channel 1")</f>
        <v>channel 1</v>
      </c>
    </row>
    <row r="18">
      <c r="A18" s="141"/>
      <c r="B18" s="61" t="s">
        <v>3881</v>
      </c>
      <c r="C18" s="57" t="s">
        <v>164</v>
      </c>
      <c r="D18" s="61" t="s">
        <v>3995</v>
      </c>
      <c r="E18" s="11" t="str">
        <f>HYPERLINK("https://youtu.be/HAEpYA5n8MQ?t=6475","channel 2")</f>
        <v>channel 2</v>
      </c>
    </row>
    <row r="19">
      <c r="A19" s="141"/>
      <c r="B19" s="61" t="s">
        <v>3443</v>
      </c>
      <c r="C19" s="57" t="s">
        <v>2854</v>
      </c>
      <c r="D19" s="61" t="s">
        <v>3444</v>
      </c>
      <c r="E19" s="158" t="str">
        <f>HYPERLINK("https://youtu.be/fFkBb5PGA24?t=7506","channel 1")</f>
        <v>channel 1</v>
      </c>
    </row>
    <row r="20">
      <c r="A20" s="141"/>
      <c r="B20" s="61" t="s">
        <v>3881</v>
      </c>
      <c r="C20" s="57" t="s">
        <v>166</v>
      </c>
      <c r="D20" s="61" t="s">
        <v>3729</v>
      </c>
      <c r="E20" s="11" t="str">
        <f>HYPERLINK("https://youtu.be/HAEpYA5n8MQ?t=7445","channel 2")</f>
        <v>channel 2</v>
      </c>
    </row>
    <row r="21">
      <c r="A21" s="141"/>
      <c r="B21" s="61" t="s">
        <v>3995</v>
      </c>
      <c r="C21" s="57" t="s">
        <v>219</v>
      </c>
      <c r="D21" s="61" t="s">
        <v>3444</v>
      </c>
      <c r="E21" s="158" t="str">
        <f>HYPERLINK("https://youtu.be/fFkBb5PGA24?t=8394","channel 1")</f>
        <v>channel 1</v>
      </c>
    </row>
    <row r="22">
      <c r="A22" s="141"/>
      <c r="B22" s="61" t="s">
        <v>3443</v>
      </c>
      <c r="C22" s="57" t="s">
        <v>39</v>
      </c>
      <c r="D22" s="61" t="s">
        <v>3729</v>
      </c>
      <c r="E22" s="11" t="str">
        <f>HYPERLINK("https://youtu.be/HAEpYA5n8MQ?t=8441","channel 2")</f>
        <v>channel 2</v>
      </c>
    </row>
    <row r="23">
      <c r="A23" s="141"/>
      <c r="B23" s="96" t="s">
        <v>2335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3996</v>
      </c>
      <c r="C25" s="57" t="s">
        <v>219</v>
      </c>
      <c r="D25" s="61" t="s">
        <v>3997</v>
      </c>
      <c r="E25" s="158" t="str">
        <f>HYPERLINK("https://youtu.be/KKjUPw-VnU8","channel 1")</f>
        <v>channel 1</v>
      </c>
    </row>
    <row r="26">
      <c r="A26" s="141"/>
      <c r="B26" s="61" t="s">
        <v>2340</v>
      </c>
      <c r="C26" s="57" t="s">
        <v>271</v>
      </c>
      <c r="D26" s="61" t="s">
        <v>3998</v>
      </c>
      <c r="E26" s="11" t="str">
        <f>HYPERLINK("https://youtu.be/VSvUpU6F7As","channel 2")</f>
        <v>channel 2</v>
      </c>
    </row>
    <row r="27">
      <c r="A27" s="141"/>
      <c r="B27" s="61" t="s">
        <v>3999</v>
      </c>
      <c r="C27" s="57" t="s">
        <v>357</v>
      </c>
      <c r="D27" s="61" t="s">
        <v>3996</v>
      </c>
      <c r="E27" s="158" t="str">
        <f>HYPERLINK("https://youtu.be/KKjUPw-VnU8?t=934","channel 1")</f>
        <v>channel 1</v>
      </c>
    </row>
    <row r="28">
      <c r="A28" s="141"/>
      <c r="B28" s="61" t="s">
        <v>2340</v>
      </c>
      <c r="C28" s="57" t="s">
        <v>888</v>
      </c>
      <c r="D28" s="61" t="s">
        <v>3997</v>
      </c>
      <c r="E28" s="11" t="str">
        <f>HYPERLINK("https://youtu.be/VSvUpU6F7As?t=937","channel 2")</f>
        <v>channel 2</v>
      </c>
    </row>
    <row r="29">
      <c r="A29" s="141"/>
      <c r="B29" s="61" t="s">
        <v>3999</v>
      </c>
      <c r="C29" s="57" t="s">
        <v>4000</v>
      </c>
      <c r="D29" s="61" t="s">
        <v>3998</v>
      </c>
      <c r="E29" s="158" t="str">
        <f>HYPERLINK("https://youtu.be/KKjUPw-VnU8?t=1952","channel 1")</f>
        <v>channel 1</v>
      </c>
    </row>
    <row r="30">
      <c r="A30" s="141"/>
      <c r="B30" s="61" t="s">
        <v>2340</v>
      </c>
      <c r="C30" s="57" t="s">
        <v>257</v>
      </c>
      <c r="D30" s="61" t="s">
        <v>3996</v>
      </c>
      <c r="E30" s="11" t="str">
        <f>HYPERLINK("https://youtu.be/VSvUpU6F7As?t=1925","channel 2")</f>
        <v>channel 2</v>
      </c>
    </row>
    <row r="31">
      <c r="A31" s="141"/>
      <c r="B31" s="61" t="s">
        <v>3999</v>
      </c>
      <c r="C31" s="57" t="s">
        <v>250</v>
      </c>
      <c r="D31" s="61" t="s">
        <v>3997</v>
      </c>
      <c r="E31" s="158" t="str">
        <f>HYPERLINK("https://youtu.be/KKjUPw-VnU8?t=2841","channel 1")</f>
        <v>channel 1</v>
      </c>
    </row>
    <row r="32">
      <c r="A32" s="141"/>
      <c r="B32" s="61" t="s">
        <v>3998</v>
      </c>
      <c r="C32" s="57" t="s">
        <v>344</v>
      </c>
      <c r="D32" s="61" t="s">
        <v>3996</v>
      </c>
      <c r="E32" s="11" t="str">
        <f>HYPERLINK("https://youtu.be/VSvUpU6F7As?t=2883","channel 2")</f>
        <v>channel 2</v>
      </c>
    </row>
    <row r="33">
      <c r="A33" s="141"/>
      <c r="B33" s="61" t="s">
        <v>3999</v>
      </c>
      <c r="C33" s="57" t="s">
        <v>517</v>
      </c>
      <c r="D33" s="61" t="s">
        <v>2340</v>
      </c>
      <c r="E33" s="158" t="str">
        <f>HYPERLINK("https://youtu.be/KKjUPw-VnU8?t=3895","channel 1")</f>
        <v>channel 1</v>
      </c>
    </row>
    <row r="34">
      <c r="A34" s="141"/>
      <c r="B34" s="61" t="s">
        <v>3998</v>
      </c>
      <c r="C34" s="57" t="s">
        <v>311</v>
      </c>
      <c r="D34" s="61" t="s">
        <v>3997</v>
      </c>
      <c r="E34" s="11" t="str">
        <f>HYPERLINK("https://youtu.be/VSvUpU6F7As?t=3932","channel 2")</f>
        <v>channel 2</v>
      </c>
    </row>
    <row r="35">
      <c r="A35" s="141"/>
      <c r="B35" s="61" t="s">
        <v>3997</v>
      </c>
      <c r="C35" s="57" t="s">
        <v>218</v>
      </c>
      <c r="D35" s="61" t="s">
        <v>3996</v>
      </c>
      <c r="E35" s="158" t="str">
        <f>HYPERLINK("https://youtu.be/KKjUPw-VnU8?t=4861","channel 1")</f>
        <v>channel 1</v>
      </c>
    </row>
    <row r="36">
      <c r="A36" s="141"/>
      <c r="B36" s="61" t="s">
        <v>3998</v>
      </c>
      <c r="C36" s="57" t="s">
        <v>231</v>
      </c>
      <c r="D36" s="61" t="s">
        <v>2340</v>
      </c>
      <c r="E36" s="11" t="str">
        <f>HYPERLINK("https://youtu.be/VSvUpU6F7As?t=4779","channel 2")</f>
        <v>channel 2</v>
      </c>
    </row>
    <row r="37">
      <c r="A37" s="141"/>
      <c r="B37" s="61" t="s">
        <v>3996</v>
      </c>
      <c r="C37" s="57" t="s">
        <v>17</v>
      </c>
      <c r="D37" s="61" t="s">
        <v>3999</v>
      </c>
      <c r="E37" s="158" t="str">
        <f>HYPERLINK("https://youtu.be/KKjUPw-VnU8?t=5930","channel 1")</f>
        <v>channel 1</v>
      </c>
    </row>
    <row r="38">
      <c r="A38" s="141"/>
      <c r="B38" s="61" t="s">
        <v>3997</v>
      </c>
      <c r="C38" s="57" t="s">
        <v>4001</v>
      </c>
      <c r="D38" s="61" t="s">
        <v>2340</v>
      </c>
      <c r="E38" s="11" t="str">
        <f>HYPERLINK("https://youtu.be/VSvUpU6F7As?t=5793","channel 2")</f>
        <v>channel 2</v>
      </c>
    </row>
    <row r="39">
      <c r="A39" s="141"/>
      <c r="B39" s="61" t="s">
        <v>3998</v>
      </c>
      <c r="C39" s="45" t="s">
        <v>248</v>
      </c>
      <c r="D39" s="61" t="s">
        <v>3999</v>
      </c>
      <c r="E39" s="158" t="str">
        <f>HYPERLINK("https://youtu.be/KKjUPw-VnU8?t=6969","channel 1")</f>
        <v>channel 1</v>
      </c>
    </row>
    <row r="40">
      <c r="A40" s="141"/>
      <c r="B40" s="61" t="s">
        <v>3996</v>
      </c>
      <c r="C40" s="57" t="s">
        <v>712</v>
      </c>
      <c r="D40" s="61" t="s">
        <v>2340</v>
      </c>
      <c r="E40" s="11" t="str">
        <f>HYPERLINK("https://youtu.be/VSvUpU6F7As?t=6754","channel 2")</f>
        <v>channel 2</v>
      </c>
    </row>
    <row r="41">
      <c r="A41" s="141"/>
      <c r="B41" s="61" t="s">
        <v>3997</v>
      </c>
      <c r="C41" s="57" t="s">
        <v>41</v>
      </c>
      <c r="D41" s="61" t="s">
        <v>3999</v>
      </c>
      <c r="E41" s="158" t="str">
        <f>HYPERLINK("https://youtu.be/KKjUPw-VnU8?t=7912","channel 1")</f>
        <v>channel 1</v>
      </c>
    </row>
    <row r="42">
      <c r="A42" s="141"/>
      <c r="B42" s="61" t="s">
        <v>3996</v>
      </c>
      <c r="C42" s="57" t="s">
        <v>177</v>
      </c>
      <c r="D42" s="61" t="s">
        <v>3998</v>
      </c>
      <c r="E42" s="11" t="str">
        <f>HYPERLINK("https://youtu.be/VSvUpU6F7As?t=7824","channel 2")</f>
        <v>channel 2</v>
      </c>
    </row>
    <row r="43">
      <c r="A43" s="141"/>
      <c r="B43" s="61" t="s">
        <v>2340</v>
      </c>
      <c r="C43" s="57" t="s">
        <v>477</v>
      </c>
      <c r="D43" s="61" t="s">
        <v>3999</v>
      </c>
      <c r="E43" s="158" t="str">
        <f>HYPERLINK("https://youtu.be/KKjUPw-VnU8?t=8795","channel 1")</f>
        <v>channel 1</v>
      </c>
    </row>
    <row r="44">
      <c r="A44" s="141"/>
      <c r="B44" s="61" t="s">
        <v>3997</v>
      </c>
      <c r="C44" s="57" t="s">
        <v>175</v>
      </c>
      <c r="D44" s="61" t="s">
        <v>3998</v>
      </c>
      <c r="E44" s="11" t="str">
        <f>HYPERLINK("https://youtu.be/VSvUpU6F7As?t=8754","channel 2")</f>
        <v>channel 2</v>
      </c>
    </row>
    <row r="45">
      <c r="A45" s="141"/>
      <c r="B45" s="96" t="s">
        <v>2152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3982</v>
      </c>
      <c r="C47" s="57" t="s">
        <v>442</v>
      </c>
      <c r="D47" s="61" t="s">
        <v>3363</v>
      </c>
      <c r="E47" s="158" t="str">
        <f>HYPERLINK("https://youtu.be/oUsU1IJo3qU","channel 1")</f>
        <v>channel 1</v>
      </c>
    </row>
    <row r="48">
      <c r="A48" s="141"/>
      <c r="B48" s="61" t="s">
        <v>3239</v>
      </c>
      <c r="C48" s="57" t="s">
        <v>23</v>
      </c>
      <c r="D48" s="61" t="s">
        <v>3962</v>
      </c>
      <c r="E48" s="11" t="str">
        <f>HYPERLINK("https://youtu.be/1QNJ1hhDDLA","channel 2")</f>
        <v>channel 2</v>
      </c>
    </row>
    <row r="49">
      <c r="A49" s="141"/>
      <c r="B49" s="61" t="s">
        <v>4002</v>
      </c>
      <c r="C49" s="57" t="s">
        <v>7</v>
      </c>
      <c r="D49" s="61" t="s">
        <v>3982</v>
      </c>
      <c r="E49" s="158" t="str">
        <f>HYPERLINK("https://youtu.be/oUsU1IJo3qU?t=974","channel 1")</f>
        <v>channel 1</v>
      </c>
    </row>
    <row r="50">
      <c r="A50" s="141"/>
      <c r="B50" s="61" t="s">
        <v>3239</v>
      </c>
      <c r="C50" s="57" t="s">
        <v>357</v>
      </c>
      <c r="D50" s="61" t="s">
        <v>3363</v>
      </c>
      <c r="E50" s="11" t="str">
        <f>HYPERLINK("https://youtu.be/1QNJ1hhDDLA?t=963","channel 2")</f>
        <v>channel 2</v>
      </c>
    </row>
    <row r="51">
      <c r="A51" s="141"/>
      <c r="B51" s="61" t="s">
        <v>4002</v>
      </c>
      <c r="C51" s="57" t="s">
        <v>233</v>
      </c>
      <c r="D51" s="61" t="s">
        <v>3962</v>
      </c>
      <c r="E51" s="158" t="str">
        <f>HYPERLINK("https://youtu.be/oUsU1IJo3qU?t=2000","channel 1")</f>
        <v>channel 1</v>
      </c>
    </row>
    <row r="52">
      <c r="A52" s="141"/>
      <c r="B52" s="61" t="s">
        <v>3239</v>
      </c>
      <c r="C52" s="57" t="s">
        <v>181</v>
      </c>
      <c r="D52" s="61" t="s">
        <v>3982</v>
      </c>
      <c r="E52" s="11" t="str">
        <f>HYPERLINK("https://youtu.be/1QNJ1hhDDLA?t=1902","channel 2")</f>
        <v>channel 2</v>
      </c>
    </row>
    <row r="53">
      <c r="A53" s="141"/>
      <c r="B53" s="61" t="s">
        <v>4002</v>
      </c>
      <c r="C53" s="57" t="s">
        <v>159</v>
      </c>
      <c r="D53" s="61" t="s">
        <v>3363</v>
      </c>
      <c r="E53" s="158" t="str">
        <f>HYPERLINK("https://youtu.be/oUsU1IJo3qU?t=3000","channel 1")</f>
        <v>channel 1</v>
      </c>
    </row>
    <row r="54">
      <c r="A54" s="141"/>
      <c r="B54" s="61" t="s">
        <v>3962</v>
      </c>
      <c r="C54" s="57" t="s">
        <v>219</v>
      </c>
      <c r="D54" s="61" t="s">
        <v>3982</v>
      </c>
      <c r="E54" s="11" t="str">
        <f>HYPERLINK("https://youtu.be/1QNJ1hhDDLA?t=2997","channel 2")</f>
        <v>channel 2</v>
      </c>
    </row>
    <row r="55">
      <c r="A55" s="141"/>
      <c r="B55" s="61" t="s">
        <v>4002</v>
      </c>
      <c r="C55" s="57" t="s">
        <v>18</v>
      </c>
      <c r="D55" s="61" t="s">
        <v>3239</v>
      </c>
      <c r="E55" s="158" t="str">
        <f>HYPERLINK("https://youtu.be/oUsU1IJo3qU?t=3982","channel 1")</f>
        <v>channel 1</v>
      </c>
    </row>
    <row r="56">
      <c r="A56" s="141"/>
      <c r="B56" s="61" t="s">
        <v>3962</v>
      </c>
      <c r="C56" s="57" t="s">
        <v>38</v>
      </c>
      <c r="D56" s="61" t="s">
        <v>3363</v>
      </c>
      <c r="E56" s="11" t="str">
        <f>HYPERLINK("https://youtu.be/1QNJ1hhDDLA?t=3991","channel 2")</f>
        <v>channel 2</v>
      </c>
    </row>
    <row r="57">
      <c r="A57" s="141"/>
      <c r="B57" s="61" t="s">
        <v>3363</v>
      </c>
      <c r="C57" s="57" t="s">
        <v>209</v>
      </c>
      <c r="D57" s="61" t="s">
        <v>3982</v>
      </c>
      <c r="E57" s="158" t="str">
        <f>HYPERLINK("https://youtu.be/oUsU1IJo3qU?t=5012","channel 1")</f>
        <v>channel 1</v>
      </c>
    </row>
    <row r="58">
      <c r="A58" s="141"/>
      <c r="B58" s="61" t="s">
        <v>3962</v>
      </c>
      <c r="C58" s="57" t="s">
        <v>162</v>
      </c>
      <c r="D58" s="61" t="s">
        <v>3239</v>
      </c>
      <c r="E58" s="11" t="str">
        <f>HYPERLINK("https://youtu.be/1QNJ1hhDDLA?t=4958","channel 2")</f>
        <v>channel 2</v>
      </c>
    </row>
    <row r="59">
      <c r="A59" s="141"/>
      <c r="B59" s="61" t="s">
        <v>3982</v>
      </c>
      <c r="C59" s="57" t="s">
        <v>193</v>
      </c>
      <c r="D59" s="61" t="s">
        <v>4002</v>
      </c>
      <c r="E59" s="158" t="str">
        <f>HYPERLINK("https://youtu.be/oUsU1IJo3qU?t=5936","channel 1")</f>
        <v>channel 1</v>
      </c>
    </row>
    <row r="60">
      <c r="A60" s="141"/>
      <c r="B60" s="61" t="s">
        <v>3363</v>
      </c>
      <c r="C60" s="57" t="s">
        <v>336</v>
      </c>
      <c r="D60" s="61" t="s">
        <v>3239</v>
      </c>
      <c r="E60" s="11" t="str">
        <f>HYPERLINK("https://youtu.be/1QNJ1hhDDLA?t=5924","channel 2")</f>
        <v>channel 2</v>
      </c>
    </row>
    <row r="61">
      <c r="A61" s="141"/>
      <c r="B61" s="61" t="s">
        <v>3962</v>
      </c>
      <c r="C61" s="57" t="s">
        <v>193</v>
      </c>
      <c r="D61" s="61" t="s">
        <v>4002</v>
      </c>
      <c r="E61" s="158" t="str">
        <f>HYPERLINK("https://youtu.be/oUsU1IJo3qU?t=6923","channel 1")</f>
        <v>channel 1</v>
      </c>
    </row>
    <row r="62">
      <c r="A62" s="141"/>
      <c r="B62" s="61" t="s">
        <v>3982</v>
      </c>
      <c r="C62" s="45" t="s">
        <v>195</v>
      </c>
      <c r="D62" s="61" t="s">
        <v>3239</v>
      </c>
      <c r="E62" s="11" t="str">
        <f>HYPERLINK("https://youtu.be/1QNJ1hhDDLA?t=6924","channel 2")</f>
        <v>channel 2</v>
      </c>
    </row>
    <row r="63">
      <c r="A63" s="141"/>
      <c r="B63" s="61" t="s">
        <v>3363</v>
      </c>
      <c r="C63" s="57" t="s">
        <v>292</v>
      </c>
      <c r="D63" s="61" t="s">
        <v>4002</v>
      </c>
      <c r="E63" s="158" t="str">
        <f>HYPERLINK("https://youtu.be/oUsU1IJo3qU?t=7888","channel 1")</f>
        <v>channel 1</v>
      </c>
    </row>
    <row r="64">
      <c r="A64" s="141"/>
      <c r="B64" s="61" t="s">
        <v>3982</v>
      </c>
      <c r="C64" s="57" t="s">
        <v>250</v>
      </c>
      <c r="D64" s="61" t="s">
        <v>3962</v>
      </c>
      <c r="E64" s="11" t="str">
        <f>HYPERLINK("https://youtu.be/1QNJ1hhDDLA?t=7916","channel 2")</f>
        <v>channel 2</v>
      </c>
    </row>
    <row r="65">
      <c r="A65" s="141"/>
      <c r="B65" s="61" t="s">
        <v>3239</v>
      </c>
      <c r="C65" s="57" t="s">
        <v>231</v>
      </c>
      <c r="D65" s="61" t="s">
        <v>4002</v>
      </c>
      <c r="E65" s="158" t="str">
        <f>HYPERLINK("https://youtu.be/oUsU1IJo3qU?t=8835","channel 1")</f>
        <v>channel 1</v>
      </c>
    </row>
    <row r="66">
      <c r="A66" s="141"/>
      <c r="B66" s="61" t="s">
        <v>3363</v>
      </c>
      <c r="C66" s="57" t="s">
        <v>1402</v>
      </c>
      <c r="D66" s="61" t="s">
        <v>3962</v>
      </c>
      <c r="E66" s="11" t="str">
        <f>HYPERLINK("https://youtu.be/1QNJ1hhDDLA?t=8862","channel 2")</f>
        <v>channel 2</v>
      </c>
    </row>
    <row r="67">
      <c r="A67" s="141"/>
      <c r="B67" s="160" t="s">
        <v>1803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4003</v>
      </c>
      <c r="C69" s="57" t="s">
        <v>166</v>
      </c>
      <c r="D69" s="61" t="s">
        <v>4004</v>
      </c>
      <c r="E69" s="158" t="str">
        <f>HYPERLINK("https://youtu.be/c-S81ZWXprE","channel 1")</f>
        <v>channel 1</v>
      </c>
    </row>
    <row r="70">
      <c r="A70" s="141"/>
      <c r="B70" s="61" t="s">
        <v>1482</v>
      </c>
      <c r="C70" s="57" t="s">
        <v>18</v>
      </c>
      <c r="D70" s="61" t="s">
        <v>3956</v>
      </c>
      <c r="E70" s="11" t="str">
        <f>HYPERLINK("https://youtu.be/vRgRUQpWdmM","channel 2")</f>
        <v>channel 2</v>
      </c>
    </row>
    <row r="71">
      <c r="A71" s="141"/>
      <c r="B71" s="61" t="s">
        <v>4005</v>
      </c>
      <c r="C71" s="57" t="s">
        <v>2468</v>
      </c>
      <c r="D71" s="61" t="s">
        <v>4003</v>
      </c>
      <c r="E71" s="158" t="str">
        <f>HYPERLINK("https://youtu.be/c-S81ZWXprE?t=1024","channel 1")</f>
        <v>channel 1</v>
      </c>
    </row>
    <row r="72">
      <c r="A72" s="141"/>
      <c r="B72" s="61" t="s">
        <v>1482</v>
      </c>
      <c r="C72" s="57" t="s">
        <v>196</v>
      </c>
      <c r="D72" s="61" t="s">
        <v>4004</v>
      </c>
      <c r="E72" s="11" t="str">
        <f>HYPERLINK("https://youtu.be/vRgRUQpWdmM?t=920","channel 2")</f>
        <v>channel 2</v>
      </c>
    </row>
    <row r="73">
      <c r="A73" s="141"/>
      <c r="B73" s="61" t="s">
        <v>4005</v>
      </c>
      <c r="C73" s="57" t="s">
        <v>534</v>
      </c>
      <c r="D73" s="61" t="s">
        <v>3956</v>
      </c>
      <c r="E73" s="158" t="str">
        <f>HYPERLINK("https://youtu.be/c-S81ZWXprE?t=1979","channel 1")</f>
        <v>channel 1</v>
      </c>
    </row>
    <row r="74">
      <c r="A74" s="141"/>
      <c r="B74" s="61" t="s">
        <v>1482</v>
      </c>
      <c r="C74" s="57" t="s">
        <v>291</v>
      </c>
      <c r="D74" s="61" t="s">
        <v>4003</v>
      </c>
      <c r="E74" s="11" t="str">
        <f>HYPERLINK("https://youtu.be/vRgRUQpWdmM?t=1840","channel 2")</f>
        <v>channel 2</v>
      </c>
    </row>
    <row r="75">
      <c r="A75" s="141"/>
      <c r="B75" s="61" t="s">
        <v>4005</v>
      </c>
      <c r="C75" s="57" t="s">
        <v>2819</v>
      </c>
      <c r="D75" s="61" t="s">
        <v>4004</v>
      </c>
      <c r="E75" s="158" t="str">
        <f>HYPERLINK("https://youtu.be/c-S81ZWXprE?t=2931","channel 1")</f>
        <v>channel 1</v>
      </c>
    </row>
    <row r="76">
      <c r="A76" s="141"/>
      <c r="B76" s="61" t="s">
        <v>3956</v>
      </c>
      <c r="C76" s="57" t="s">
        <v>507</v>
      </c>
      <c r="D76" s="61" t="s">
        <v>4003</v>
      </c>
      <c r="E76" s="11" t="str">
        <f>HYPERLINK("https://youtu.be/vRgRUQpWdmM?t=2807","channel 2")</f>
        <v>channel 2</v>
      </c>
    </row>
    <row r="77">
      <c r="A77" s="141"/>
      <c r="B77" s="61" t="s">
        <v>4005</v>
      </c>
      <c r="C77" s="57" t="s">
        <v>1445</v>
      </c>
      <c r="D77" s="61" t="s">
        <v>1482</v>
      </c>
      <c r="E77" s="158" t="str">
        <f>HYPERLINK("https://youtu.be/c-S81ZWXprE?t=3903","channel 1")</f>
        <v>channel 1</v>
      </c>
    </row>
    <row r="78">
      <c r="A78" s="141"/>
      <c r="B78" s="61" t="s">
        <v>3956</v>
      </c>
      <c r="C78" s="57" t="s">
        <v>203</v>
      </c>
      <c r="D78" s="61" t="s">
        <v>4004</v>
      </c>
      <c r="E78" s="11" t="str">
        <f>HYPERLINK("https://youtu.be/vRgRUQpWdmM?t=3740","channel 2")</f>
        <v>channel 2</v>
      </c>
    </row>
    <row r="79">
      <c r="A79" s="141"/>
      <c r="B79" s="61" t="s">
        <v>4004</v>
      </c>
      <c r="C79" s="57" t="s">
        <v>278</v>
      </c>
      <c r="D79" s="61" t="s">
        <v>4003</v>
      </c>
      <c r="E79" s="158" t="str">
        <f>HYPERLINK("https://youtu.be/c-S81ZWXprE?t=4933","channel 1")</f>
        <v>channel 1</v>
      </c>
    </row>
    <row r="80">
      <c r="A80" s="141"/>
      <c r="B80" s="61" t="s">
        <v>3956</v>
      </c>
      <c r="C80" s="57" t="s">
        <v>250</v>
      </c>
      <c r="D80" s="61" t="s">
        <v>1482</v>
      </c>
      <c r="E80" s="11" t="str">
        <f>HYPERLINK("https://youtu.be/vRgRUQpWdmM?t=4631","channel 2")</f>
        <v>channel 2</v>
      </c>
    </row>
    <row r="81">
      <c r="A81" s="141"/>
      <c r="B81" s="61" t="s">
        <v>4003</v>
      </c>
      <c r="C81" s="57" t="s">
        <v>489</v>
      </c>
      <c r="D81" s="61" t="s">
        <v>4005</v>
      </c>
      <c r="E81" s="158" t="str">
        <f>HYPERLINK("https://youtu.be/c-S81ZWXprE?t=5900","channel 1")</f>
        <v>channel 1</v>
      </c>
    </row>
    <row r="82">
      <c r="A82" s="141"/>
      <c r="B82" s="61" t="s">
        <v>4004</v>
      </c>
      <c r="C82" s="57" t="s">
        <v>1123</v>
      </c>
      <c r="D82" s="61" t="s">
        <v>1482</v>
      </c>
      <c r="E82" s="11" t="str">
        <f>HYPERLINK("https://youtu.be/vRgRUQpWdmM?t=5637","channel 2")</f>
        <v>channel 2</v>
      </c>
    </row>
    <row r="83">
      <c r="A83" s="141"/>
      <c r="B83" s="61" t="s">
        <v>3956</v>
      </c>
      <c r="C83" s="57" t="s">
        <v>882</v>
      </c>
      <c r="D83" s="61" t="s">
        <v>4005</v>
      </c>
      <c r="E83" s="158" t="str">
        <f>HYPERLINK("https://youtu.be/c-S81ZWXprE?t=6826","channel 1")</f>
        <v>channel 1</v>
      </c>
    </row>
    <row r="84">
      <c r="A84" s="141"/>
      <c r="B84" s="61" t="s">
        <v>4003</v>
      </c>
      <c r="C84" s="57" t="s">
        <v>271</v>
      </c>
      <c r="D84" s="61" t="s">
        <v>1482</v>
      </c>
      <c r="E84" s="11" t="str">
        <f>HYPERLINK("https://youtu.be/vRgRUQpWdmM?t=6629","channel 2")</f>
        <v>channel 2</v>
      </c>
    </row>
    <row r="85">
      <c r="A85" s="141"/>
      <c r="B85" s="61" t="s">
        <v>4004</v>
      </c>
      <c r="C85" s="57" t="s">
        <v>610</v>
      </c>
      <c r="D85" s="61" t="s">
        <v>4005</v>
      </c>
      <c r="E85" s="158" t="str">
        <f>HYPERLINK("https://youtu.be/c-S81ZWXprE?t=7751","channel 1")</f>
        <v>channel 1</v>
      </c>
    </row>
    <row r="86">
      <c r="A86" s="141"/>
      <c r="B86" s="61" t="s">
        <v>4003</v>
      </c>
      <c r="C86" s="57" t="s">
        <v>362</v>
      </c>
      <c r="D86" s="61" t="s">
        <v>3956</v>
      </c>
      <c r="E86" s="11" t="str">
        <f>HYPERLINK("https://youtu.be/vRgRUQpWdmM?t=7569","channel 2")</f>
        <v>channel 2</v>
      </c>
    </row>
    <row r="87">
      <c r="A87" s="141"/>
      <c r="B87" s="61" t="s">
        <v>1482</v>
      </c>
      <c r="C87" s="57" t="s">
        <v>334</v>
      </c>
      <c r="D87" s="61" t="s">
        <v>4005</v>
      </c>
      <c r="E87" s="158" t="str">
        <f>HYPERLINK("https://youtu.be/c-S81ZWXprE?t=8646","channel 1")</f>
        <v>channel 1</v>
      </c>
    </row>
    <row r="88">
      <c r="A88" s="141"/>
      <c r="B88" s="61" t="s">
        <v>4004</v>
      </c>
      <c r="C88" s="57" t="s">
        <v>193</v>
      </c>
      <c r="D88" s="61" t="s">
        <v>3956</v>
      </c>
      <c r="E88" s="11" t="str">
        <f>HYPERLINK("https://youtu.be/vRgRUQpWdmM?t=8469","channel 2")</f>
        <v>channel 2</v>
      </c>
    </row>
    <row r="89">
      <c r="A89" s="141"/>
      <c r="B89" s="96" t="s">
        <v>2756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3265</v>
      </c>
      <c r="C91" s="57" t="s">
        <v>534</v>
      </c>
      <c r="D91" s="61" t="s">
        <v>3481</v>
      </c>
      <c r="E91" s="158" t="str">
        <f>HYPERLINK("https://youtu.be/ryMNX30L9X0","channel 1")</f>
        <v>channel 1</v>
      </c>
    </row>
    <row r="92">
      <c r="A92" s="141"/>
      <c r="B92" s="61" t="s">
        <v>1968</v>
      </c>
      <c r="C92" s="57" t="s">
        <v>173</v>
      </c>
      <c r="D92" s="61" t="s">
        <v>2501</v>
      </c>
      <c r="E92" s="11" t="str">
        <f>HYPERLINK("https://youtu.be/jXXOf1e-4Cs","channel 2")</f>
        <v>channel 2</v>
      </c>
    </row>
    <row r="93">
      <c r="A93" s="141"/>
      <c r="B93" s="61" t="s">
        <v>1645</v>
      </c>
      <c r="C93" s="57" t="s">
        <v>42</v>
      </c>
      <c r="D93" s="61" t="s">
        <v>3265</v>
      </c>
      <c r="E93" s="158" t="str">
        <f>HYPERLINK("https://youtu.be/ryMNX30L9X0?t=917","channel 1")</f>
        <v>channel 1</v>
      </c>
    </row>
    <row r="94">
      <c r="A94" s="141"/>
      <c r="B94" s="61" t="s">
        <v>1968</v>
      </c>
      <c r="C94" s="57" t="s">
        <v>248</v>
      </c>
      <c r="D94" s="61" t="s">
        <v>3481</v>
      </c>
      <c r="E94" s="11" t="str">
        <f>HYPERLINK("https://youtu.be/jXXOf1e-4Cs?t=1176","channel 2")</f>
        <v>channel 2</v>
      </c>
    </row>
    <row r="95">
      <c r="A95" s="141"/>
      <c r="B95" s="61" t="s">
        <v>1645</v>
      </c>
      <c r="C95" s="54" t="s">
        <v>344</v>
      </c>
      <c r="D95" s="61" t="s">
        <v>2501</v>
      </c>
      <c r="E95" s="158" t="str">
        <f>HYPERLINK("https://youtu.be/ryMNX30L9X0?t=1823","channel 1")</f>
        <v>channel 1</v>
      </c>
    </row>
    <row r="96">
      <c r="A96" s="141"/>
      <c r="B96" s="61" t="s">
        <v>1968</v>
      </c>
      <c r="C96" s="57" t="s">
        <v>16</v>
      </c>
      <c r="D96" s="61" t="s">
        <v>3265</v>
      </c>
      <c r="E96" s="11" t="str">
        <f>HYPERLINK("https://youtu.be/jXXOf1e-4Cs?t=2127","channel 2")</f>
        <v>channel 2</v>
      </c>
    </row>
    <row r="97">
      <c r="A97" s="141"/>
      <c r="B97" s="61" t="s">
        <v>1645</v>
      </c>
      <c r="C97" s="57" t="s">
        <v>573</v>
      </c>
      <c r="D97" s="61" t="s">
        <v>3481</v>
      </c>
      <c r="E97" s="158" t="str">
        <f>HYPERLINK("https://youtu.be/ryMNX30L9X0?t=2748","channel 1")</f>
        <v>channel 1</v>
      </c>
    </row>
    <row r="98">
      <c r="A98" s="141"/>
      <c r="B98" s="61" t="s">
        <v>2501</v>
      </c>
      <c r="C98" s="57" t="s">
        <v>219</v>
      </c>
      <c r="D98" s="61" t="s">
        <v>3265</v>
      </c>
      <c r="E98" s="11" t="str">
        <f>HYPERLINK("https://youtu.be/jXXOf1e-4Cs?t=3105","channel 2")</f>
        <v>channel 2</v>
      </c>
    </row>
    <row r="99">
      <c r="A99" s="141"/>
      <c r="B99" s="61" t="s">
        <v>1645</v>
      </c>
      <c r="C99" s="57" t="s">
        <v>196</v>
      </c>
      <c r="D99" s="61" t="s">
        <v>1968</v>
      </c>
      <c r="E99" s="158" t="str">
        <f>HYPERLINK("https://youtu.be/ryMNX30L9X0?t=3657","channel 1")</f>
        <v>channel 1</v>
      </c>
    </row>
    <row r="100">
      <c r="A100" s="141"/>
      <c r="B100" s="61" t="s">
        <v>2501</v>
      </c>
      <c r="C100" s="57" t="s">
        <v>233</v>
      </c>
      <c r="D100" s="61" t="s">
        <v>3481</v>
      </c>
      <c r="E100" s="11" t="str">
        <f>HYPERLINK("https://youtu.be/jXXOf1e-4Cs?t=4007","channel 2")</f>
        <v>channel 2</v>
      </c>
    </row>
    <row r="101">
      <c r="A101" s="141"/>
      <c r="B101" s="61" t="s">
        <v>3481</v>
      </c>
      <c r="C101" s="57" t="s">
        <v>547</v>
      </c>
      <c r="D101" s="61" t="s">
        <v>3265</v>
      </c>
      <c r="E101" s="158" t="str">
        <f>HYPERLINK("https://youtu.be/ryMNX30L9X0?t=4497","channel 1")</f>
        <v>channel 1</v>
      </c>
    </row>
    <row r="102">
      <c r="A102" s="141"/>
      <c r="B102" s="61" t="s">
        <v>2501</v>
      </c>
      <c r="C102" s="57" t="s">
        <v>193</v>
      </c>
      <c r="D102" s="61" t="s">
        <v>1968</v>
      </c>
      <c r="E102" s="11" t="str">
        <f>HYPERLINK("https://youtu.be/jXXOf1e-4Cs?t=4920","channel 2")</f>
        <v>channel 2</v>
      </c>
    </row>
    <row r="103">
      <c r="A103" s="141"/>
      <c r="B103" s="61" t="s">
        <v>3265</v>
      </c>
      <c r="C103" s="57" t="s">
        <v>185</v>
      </c>
      <c r="D103" s="61" t="s">
        <v>1645</v>
      </c>
      <c r="E103" s="158" t="str">
        <f>HYPERLINK("https://youtu.be/ryMNX30L9X0?t=5378","channel 1")</f>
        <v>channel 1</v>
      </c>
    </row>
    <row r="104">
      <c r="A104" s="141"/>
      <c r="B104" s="61" t="s">
        <v>3481</v>
      </c>
      <c r="C104" s="57" t="s">
        <v>162</v>
      </c>
      <c r="D104" s="61" t="s">
        <v>1968</v>
      </c>
      <c r="E104" s="11" t="str">
        <f>HYPERLINK("https://youtu.be/jXXOf1e-4Cs?t=5737","channel 2")</f>
        <v>channel 2</v>
      </c>
    </row>
    <row r="105">
      <c r="A105" s="141"/>
      <c r="B105" s="61" t="s">
        <v>2501</v>
      </c>
      <c r="C105" s="57" t="s">
        <v>158</v>
      </c>
      <c r="D105" s="61" t="s">
        <v>1645</v>
      </c>
      <c r="E105" s="158" t="str">
        <f>HYPERLINK("https://youtu.be/ryMNX30L9X0?t=6289","channel 1")</f>
        <v>channel 1</v>
      </c>
    </row>
    <row r="106">
      <c r="A106" s="141"/>
      <c r="B106" s="61" t="s">
        <v>3265</v>
      </c>
      <c r="C106" s="57" t="s">
        <v>289</v>
      </c>
      <c r="D106" s="61" t="s">
        <v>1968</v>
      </c>
      <c r="E106" s="11" t="str">
        <f>HYPERLINK("https://youtu.be/jXXOf1e-4Cs?t=6579","channel 2")</f>
        <v>channel 2</v>
      </c>
    </row>
    <row r="107">
      <c r="A107" s="141"/>
      <c r="B107" s="61" t="s">
        <v>3481</v>
      </c>
      <c r="C107" s="57" t="s">
        <v>4006</v>
      </c>
      <c r="D107" s="61" t="s">
        <v>1645</v>
      </c>
      <c r="E107" s="158" t="str">
        <f>HYPERLINK("https://youtu.be/ryMNX30L9X0?t=7112","channel 1")</f>
        <v>channel 1</v>
      </c>
    </row>
    <row r="108">
      <c r="A108" s="141"/>
      <c r="B108" s="61" t="s">
        <v>3265</v>
      </c>
      <c r="C108" s="57" t="s">
        <v>218</v>
      </c>
      <c r="D108" s="61" t="s">
        <v>2501</v>
      </c>
      <c r="E108" s="11" t="str">
        <f>HYPERLINK("https://youtu.be/jXXOf1e-4Cs?t=7434","channel 2")</f>
        <v>channel 2</v>
      </c>
    </row>
    <row r="109">
      <c r="A109" s="141"/>
      <c r="B109" s="61" t="s">
        <v>1968</v>
      </c>
      <c r="C109" s="57" t="s">
        <v>210</v>
      </c>
      <c r="D109" s="61" t="s">
        <v>1645</v>
      </c>
      <c r="E109" s="158" t="str">
        <f>HYPERLINK("https://youtu.be/ryMNX30L9X0?t=7876","channel 1")</f>
        <v>channel 1</v>
      </c>
    </row>
    <row r="110">
      <c r="A110" s="141"/>
      <c r="B110" s="61" t="s">
        <v>3481</v>
      </c>
      <c r="C110" s="57" t="s">
        <v>14</v>
      </c>
      <c r="D110" s="61" t="s">
        <v>2501</v>
      </c>
      <c r="E110" s="11" t="str">
        <f>HYPERLINK("https://youtu.be/jXXOf1e-4Cs?t=8197","channel 2")</f>
        <v>channel 2</v>
      </c>
    </row>
    <row r="111">
      <c r="A111" s="141"/>
      <c r="B111" s="96" t="s">
        <v>2304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61" t="s">
        <v>4007</v>
      </c>
      <c r="C113" s="167" t="s">
        <v>158</v>
      </c>
      <c r="D113" s="61" t="s">
        <v>4008</v>
      </c>
      <c r="E113" s="158" t="str">
        <f>HYPERLINK("https://youtu.be/d599jD8Q5rc","channel 1")</f>
        <v>channel 1</v>
      </c>
    </row>
    <row r="114">
      <c r="A114" s="141"/>
      <c r="B114" s="61" t="s">
        <v>1101</v>
      </c>
      <c r="C114" s="57" t="s">
        <v>419</v>
      </c>
      <c r="D114" s="61" t="s">
        <v>1106</v>
      </c>
      <c r="E114" s="11" t="str">
        <f>HYPERLINK("https://youtu.be/msoAov2zlsc","channel 2")</f>
        <v>channel 2</v>
      </c>
      <c r="I114" s="168"/>
    </row>
    <row r="115">
      <c r="A115" s="141"/>
      <c r="B115" s="61" t="s">
        <v>4009</v>
      </c>
      <c r="C115" s="57" t="s">
        <v>442</v>
      </c>
      <c r="D115" s="61" t="s">
        <v>4007</v>
      </c>
      <c r="E115" s="158" t="str">
        <f>HYPERLINK("https://youtu.be/d599jD8Q5rc?t=920","channel 1")</f>
        <v>channel 1</v>
      </c>
    </row>
    <row r="116">
      <c r="A116" s="141"/>
      <c r="B116" s="61" t="s">
        <v>1101</v>
      </c>
      <c r="C116" s="57" t="s">
        <v>1079</v>
      </c>
      <c r="D116" s="61" t="s">
        <v>4008</v>
      </c>
      <c r="E116" s="11" t="str">
        <f>HYPERLINK("https://youtu.be/msoAov2zlsc?t=1061","channel 2")</f>
        <v>channel 2</v>
      </c>
    </row>
    <row r="117">
      <c r="A117" s="141"/>
      <c r="B117" s="61" t="s">
        <v>4009</v>
      </c>
      <c r="C117" s="57" t="s">
        <v>2876</v>
      </c>
      <c r="D117" s="61" t="s">
        <v>1106</v>
      </c>
      <c r="E117" s="158" t="str">
        <f>HYPERLINK("https://youtu.be/d599jD8Q5rc?t=1851","channel 1")</f>
        <v>channel 1</v>
      </c>
    </row>
    <row r="118">
      <c r="A118" s="141"/>
      <c r="B118" s="61" t="s">
        <v>1101</v>
      </c>
      <c r="C118" s="57" t="s">
        <v>16</v>
      </c>
      <c r="D118" s="61" t="s">
        <v>4007</v>
      </c>
      <c r="E118" s="11" t="str">
        <f>HYPERLINK("https://youtu.be/msoAov2zlsc?t=2026","channel 2")</f>
        <v>channel 2</v>
      </c>
    </row>
    <row r="119">
      <c r="A119" s="141"/>
      <c r="B119" s="61" t="s">
        <v>4009</v>
      </c>
      <c r="C119" s="57" t="s">
        <v>219</v>
      </c>
      <c r="D119" s="61" t="s">
        <v>4008</v>
      </c>
      <c r="E119" s="158" t="str">
        <f>HYPERLINK("https://youtu.be/d599jD8Q5rc?t=2803","channel 1")</f>
        <v>channel 1</v>
      </c>
    </row>
    <row r="120">
      <c r="A120" s="141"/>
      <c r="B120" s="61" t="s">
        <v>1106</v>
      </c>
      <c r="C120" s="57" t="s">
        <v>158</v>
      </c>
      <c r="D120" s="61" t="s">
        <v>4007</v>
      </c>
      <c r="E120" s="11" t="str">
        <f>HYPERLINK("https://youtu.be/msoAov2zlsc?t=2944","channel 2")</f>
        <v>channel 2</v>
      </c>
    </row>
    <row r="121">
      <c r="A121" s="141"/>
      <c r="B121" s="61" t="s">
        <v>4009</v>
      </c>
      <c r="C121" s="57" t="s">
        <v>248</v>
      </c>
      <c r="D121" s="61" t="s">
        <v>1101</v>
      </c>
      <c r="E121" s="158" t="str">
        <f>HYPERLINK("https://youtu.be/d599jD8Q5rc?t=3731","channel 1")</f>
        <v>channel 1</v>
      </c>
    </row>
    <row r="122">
      <c r="A122" s="141"/>
      <c r="B122" s="61" t="s">
        <v>1106</v>
      </c>
      <c r="C122" s="57" t="s">
        <v>248</v>
      </c>
      <c r="D122" s="61" t="s">
        <v>4008</v>
      </c>
      <c r="E122" s="11" t="str">
        <f>HYPERLINK("https://youtu.be/msoAov2zlsc?t=3912","channel 2")</f>
        <v>channel 2</v>
      </c>
    </row>
    <row r="123">
      <c r="A123" s="141"/>
      <c r="B123" s="61" t="s">
        <v>4008</v>
      </c>
      <c r="C123" s="57" t="s">
        <v>220</v>
      </c>
      <c r="D123" s="61" t="s">
        <v>4007</v>
      </c>
      <c r="E123" s="158" t="str">
        <f>HYPERLINK("https://youtu.be/d599jD8Q5rc?t=4673","channel 1")</f>
        <v>channel 1</v>
      </c>
    </row>
    <row r="124">
      <c r="A124" s="141"/>
      <c r="B124" s="61" t="s">
        <v>1106</v>
      </c>
      <c r="C124" s="57" t="s">
        <v>21</v>
      </c>
      <c r="D124" s="61" t="s">
        <v>1101</v>
      </c>
      <c r="E124" s="11" t="str">
        <f>HYPERLINK("https://youtu.be/msoAov2zlsc?t=4867","channel 2")</f>
        <v>channel 2</v>
      </c>
    </row>
    <row r="125">
      <c r="A125" s="141"/>
      <c r="B125" s="61" t="s">
        <v>4007</v>
      </c>
      <c r="C125" s="57" t="s">
        <v>164</v>
      </c>
      <c r="D125" s="61" t="s">
        <v>4009</v>
      </c>
      <c r="E125" s="158" t="str">
        <f>HYPERLINK("https://youtu.be/d599jD8Q5rc?t=5597","channel 1")</f>
        <v>channel 1</v>
      </c>
    </row>
    <row r="126">
      <c r="A126" s="141"/>
      <c r="B126" s="61" t="s">
        <v>4008</v>
      </c>
      <c r="C126" s="57" t="s">
        <v>37</v>
      </c>
      <c r="D126" s="61" t="s">
        <v>1101</v>
      </c>
      <c r="E126" s="11" t="str">
        <f>HYPERLINK("https://youtu.be/msoAov2zlsc?t=5750","channel 2")</f>
        <v>channel 2</v>
      </c>
    </row>
    <row r="127">
      <c r="A127" s="141"/>
      <c r="B127" s="61" t="s">
        <v>1106</v>
      </c>
      <c r="C127" s="57" t="s">
        <v>232</v>
      </c>
      <c r="D127" s="61" t="s">
        <v>4009</v>
      </c>
      <c r="E127" s="158" t="str">
        <f>HYPERLINK("https://youtu.be/d599jD8Q5rc?t=6506","channel 1")</f>
        <v>channel 1</v>
      </c>
    </row>
    <row r="128">
      <c r="A128" s="141"/>
      <c r="B128" s="61" t="s">
        <v>4007</v>
      </c>
      <c r="C128" s="57" t="s">
        <v>162</v>
      </c>
      <c r="D128" s="61" t="s">
        <v>1101</v>
      </c>
      <c r="E128" s="11" t="str">
        <f>HYPERLINK("https://youtu.be/msoAov2zlsc?t=6639","channel 2")</f>
        <v>channel 2</v>
      </c>
    </row>
    <row r="129">
      <c r="A129" s="141"/>
      <c r="B129" s="61" t="s">
        <v>4008</v>
      </c>
      <c r="C129" s="57" t="s">
        <v>165</v>
      </c>
      <c r="D129" s="61" t="s">
        <v>4009</v>
      </c>
      <c r="E129" s="158" t="str">
        <f>HYPERLINK("https://youtu.be/d599jD8Q5rc?t=7373","channel 1")</f>
        <v>channel 1</v>
      </c>
    </row>
    <row r="130">
      <c r="A130" s="141"/>
      <c r="B130" s="61" t="s">
        <v>4007</v>
      </c>
      <c r="C130" s="57" t="s">
        <v>158</v>
      </c>
      <c r="D130" s="61" t="s">
        <v>1106</v>
      </c>
      <c r="E130" s="11" t="str">
        <f>HYPERLINK("https://youtu.be/msoAov2zlsc?t=7589","channel 2")</f>
        <v>channel 2</v>
      </c>
    </row>
    <row r="131">
      <c r="A131" s="141"/>
      <c r="B131" s="61" t="s">
        <v>1101</v>
      </c>
      <c r="C131" s="57" t="s">
        <v>41</v>
      </c>
      <c r="D131" s="61" t="s">
        <v>4009</v>
      </c>
      <c r="E131" s="158" t="str">
        <f>HYPERLINK("https://youtu.be/d599jD8Q5rc?t=8256","channel 1")</f>
        <v>channel 1</v>
      </c>
    </row>
    <row r="132">
      <c r="A132" s="145"/>
      <c r="B132" s="61" t="s">
        <v>4008</v>
      </c>
      <c r="C132" s="57" t="s">
        <v>14</v>
      </c>
      <c r="D132" s="61" t="s">
        <v>1106</v>
      </c>
      <c r="E132" s="11" t="str">
        <f>HYPERLINK("https://youtu.be/msoAov2zlsc?t=8463","channel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2882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4010</v>
      </c>
      <c r="C3" s="57" t="s">
        <v>219</v>
      </c>
      <c r="D3" s="61" t="s">
        <v>4011</v>
      </c>
      <c r="E3" s="158" t="str">
        <f>HYPERLINK("https://youtu.be/PjsUxXlruJw","channel 1")</f>
        <v>channel 1</v>
      </c>
    </row>
    <row r="4">
      <c r="A4" s="141"/>
      <c r="B4" s="61" t="s">
        <v>4012</v>
      </c>
      <c r="C4" s="84" t="s">
        <v>20</v>
      </c>
      <c r="D4" s="61" t="s">
        <v>2289</v>
      </c>
      <c r="E4" s="11" t="str">
        <f>HYPERLINK("https://youtu.be/MupdDO2_p8c","channel 2")</f>
        <v>channel 2</v>
      </c>
    </row>
    <row r="5">
      <c r="A5" s="141"/>
      <c r="B5" s="61" t="s">
        <v>546</v>
      </c>
      <c r="C5" s="57" t="s">
        <v>251</v>
      </c>
      <c r="D5" s="61" t="s">
        <v>4010</v>
      </c>
      <c r="E5" s="158" t="str">
        <f>HYPERLINK("https://youtu.be/PjsUxXlruJw?t=966","channel 1")</f>
        <v>channel 1</v>
      </c>
    </row>
    <row r="6">
      <c r="A6" s="141"/>
      <c r="B6" s="61" t="s">
        <v>4012</v>
      </c>
      <c r="C6" s="57" t="s">
        <v>547</v>
      </c>
      <c r="D6" s="61" t="s">
        <v>4011</v>
      </c>
      <c r="E6" s="11" t="str">
        <f>HYPERLINK("https://youtu.be/MupdDO2_p8c?t=836","channel 2")</f>
        <v>channel 2</v>
      </c>
    </row>
    <row r="7">
      <c r="A7" s="141"/>
      <c r="B7" s="61" t="s">
        <v>546</v>
      </c>
      <c r="C7" s="57" t="s">
        <v>24</v>
      </c>
      <c r="D7" s="61" t="s">
        <v>2289</v>
      </c>
      <c r="E7" s="158" t="str">
        <f>HYPERLINK("https://youtu.be/PjsUxXlruJw?t=1895","channel 1")</f>
        <v>channel 1</v>
      </c>
    </row>
    <row r="8">
      <c r="A8" s="141"/>
      <c r="B8" s="61" t="s">
        <v>4012</v>
      </c>
      <c r="C8" s="57" t="s">
        <v>4013</v>
      </c>
      <c r="D8" s="61" t="s">
        <v>4010</v>
      </c>
      <c r="E8" s="11" t="str">
        <f>HYPERLINK("https://youtu.be/MupdDO2_p8c?t=1835","channel 2")</f>
        <v>channel 2</v>
      </c>
    </row>
    <row r="9">
      <c r="A9" s="141"/>
      <c r="B9" s="61" t="s">
        <v>546</v>
      </c>
      <c r="C9" s="57" t="s">
        <v>17</v>
      </c>
      <c r="D9" s="61" t="s">
        <v>4011</v>
      </c>
      <c r="E9" s="158" t="str">
        <f>HYPERLINK("https://youtu.be/PjsUxXlruJw?t=2774","channel 1")</f>
        <v>channel 1</v>
      </c>
    </row>
    <row r="10">
      <c r="A10" s="141"/>
      <c r="B10" s="61" t="s">
        <v>2289</v>
      </c>
      <c r="C10" s="57" t="s">
        <v>185</v>
      </c>
      <c r="D10" s="61" t="s">
        <v>4010</v>
      </c>
      <c r="E10" s="11" t="str">
        <f>HYPERLINK("https://youtu.be/MupdDO2_p8c?t=2851","channel 2")</f>
        <v>channel 2</v>
      </c>
    </row>
    <row r="11">
      <c r="A11" s="141"/>
      <c r="B11" s="61" t="s">
        <v>546</v>
      </c>
      <c r="C11" s="57" t="s">
        <v>218</v>
      </c>
      <c r="D11" s="61" t="s">
        <v>4012</v>
      </c>
      <c r="E11" s="158" t="str">
        <f>HYPERLINK("https://youtu.be/PjsUxXlruJw?t=3697","channel 1")</f>
        <v>channel 1</v>
      </c>
    </row>
    <row r="12">
      <c r="A12" s="141"/>
      <c r="B12" s="61" t="s">
        <v>2289</v>
      </c>
      <c r="C12" s="57" t="s">
        <v>194</v>
      </c>
      <c r="D12" s="61" t="s">
        <v>4011</v>
      </c>
      <c r="E12" s="11" t="str">
        <f>HYPERLINK("https://youtu.be/MupdDO2_p8c?t=3687","channel 2")</f>
        <v>channel 2</v>
      </c>
    </row>
    <row r="13">
      <c r="A13" s="141"/>
      <c r="B13" s="61" t="s">
        <v>4011</v>
      </c>
      <c r="C13" s="57" t="s">
        <v>324</v>
      </c>
      <c r="D13" s="61" t="s">
        <v>4010</v>
      </c>
      <c r="E13" s="158" t="str">
        <f>HYPERLINK("https://youtu.be/PjsUxXlruJw?t=4684","channel 1")</f>
        <v>channel 1</v>
      </c>
    </row>
    <row r="14">
      <c r="A14" s="141"/>
      <c r="B14" s="61" t="s">
        <v>2289</v>
      </c>
      <c r="C14" s="57" t="s">
        <v>251</v>
      </c>
      <c r="D14" s="61" t="s">
        <v>4012</v>
      </c>
      <c r="E14" s="11" t="str">
        <f>HYPERLINK("https://youtu.be/MupdDO2_p8c?t=4596","channel 2")</f>
        <v>channel 2</v>
      </c>
    </row>
    <row r="15">
      <c r="A15" s="141"/>
      <c r="B15" s="61" t="s">
        <v>4010</v>
      </c>
      <c r="C15" s="57" t="s">
        <v>239</v>
      </c>
      <c r="D15" s="61" t="s">
        <v>546</v>
      </c>
      <c r="E15" s="158" t="str">
        <f>HYPERLINK("https://youtu.be/PjsUxXlruJw?t=5597","channel 1")</f>
        <v>channel 1</v>
      </c>
    </row>
    <row r="16">
      <c r="A16" s="141"/>
      <c r="B16" s="61" t="s">
        <v>4011</v>
      </c>
      <c r="C16" s="57" t="s">
        <v>477</v>
      </c>
      <c r="D16" s="61" t="s">
        <v>4012</v>
      </c>
      <c r="E16" s="11" t="str">
        <f>HYPERLINK("https://youtu.be/MupdDO2_p8c?t=5505","channel 2")</f>
        <v>channel 2</v>
      </c>
    </row>
    <row r="17">
      <c r="A17" s="141"/>
      <c r="B17" s="61" t="s">
        <v>2289</v>
      </c>
      <c r="C17" s="57" t="s">
        <v>162</v>
      </c>
      <c r="D17" s="61" t="s">
        <v>546</v>
      </c>
      <c r="E17" s="158" t="str">
        <f>HYPERLINK("https://youtu.be/PjsUxXlruJw?t=6480","channel 1")</f>
        <v>channel 1</v>
      </c>
    </row>
    <row r="18">
      <c r="A18" s="141"/>
      <c r="B18" s="61" t="s">
        <v>4010</v>
      </c>
      <c r="C18" s="57" t="s">
        <v>888</v>
      </c>
      <c r="D18" s="61" t="s">
        <v>4012</v>
      </c>
      <c r="E18" s="11" t="str">
        <f>HYPERLINK("https://youtu.be/MupdDO2_p8c?t=6539","channel 2")</f>
        <v>channel 2</v>
      </c>
    </row>
    <row r="19">
      <c r="A19" s="141"/>
      <c r="B19" s="61" t="s">
        <v>4011</v>
      </c>
      <c r="C19" s="57" t="s">
        <v>158</v>
      </c>
      <c r="D19" s="61" t="s">
        <v>546</v>
      </c>
      <c r="E19" s="158" t="str">
        <f>HYPERLINK("https://youtu.be/PjsUxXlruJw?t=7305","channel 1")</f>
        <v>channel 1</v>
      </c>
    </row>
    <row r="20">
      <c r="A20" s="141"/>
      <c r="B20" s="61" t="s">
        <v>4010</v>
      </c>
      <c r="C20" s="57" t="s">
        <v>344</v>
      </c>
      <c r="D20" s="61" t="s">
        <v>2289</v>
      </c>
      <c r="E20" s="11" t="str">
        <f>HYPERLINK("https://youtu.be/MupdDO2_p8c?t=7402","channel 2")</f>
        <v>channel 2</v>
      </c>
    </row>
    <row r="21">
      <c r="A21" s="141"/>
      <c r="B21" s="61" t="s">
        <v>4012</v>
      </c>
      <c r="C21" s="57" t="s">
        <v>610</v>
      </c>
      <c r="D21" s="61" t="s">
        <v>546</v>
      </c>
      <c r="E21" s="158" t="str">
        <f>HYPERLINK("https://youtu.be/PjsUxXlruJw?t=8540","channel 1")</f>
        <v>channel 1</v>
      </c>
    </row>
    <row r="22">
      <c r="A22" s="141"/>
      <c r="B22" s="61" t="s">
        <v>4011</v>
      </c>
      <c r="C22" s="57" t="s">
        <v>210</v>
      </c>
      <c r="D22" s="61" t="s">
        <v>2289</v>
      </c>
      <c r="E22" s="11" t="str">
        <f>HYPERLINK("https://youtu.be/MupdDO2_p8c?t=8347","channel 2")</f>
        <v>channel 2</v>
      </c>
    </row>
    <row r="23">
      <c r="A23" s="141"/>
      <c r="B23" s="96" t="s">
        <v>2266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3839</v>
      </c>
      <c r="C25" s="57" t="s">
        <v>225</v>
      </c>
      <c r="D25" s="61" t="s">
        <v>3859</v>
      </c>
      <c r="E25" s="158" t="str">
        <f>HYPERLINK("https://youtu.be/HSUlPsfjqeU","channel 1")</f>
        <v>channel 1</v>
      </c>
    </row>
    <row r="26">
      <c r="A26" s="141"/>
      <c r="B26" s="61" t="s">
        <v>4014</v>
      </c>
      <c r="C26" s="57" t="s">
        <v>196</v>
      </c>
      <c r="D26" s="61" t="s">
        <v>4015</v>
      </c>
      <c r="E26" s="11" t="str">
        <f>HYPERLINK("https://youtu.be/LRNsMyGQyVg","channel 2")</f>
        <v>channel 2</v>
      </c>
    </row>
    <row r="27">
      <c r="A27" s="141"/>
      <c r="B27" s="61" t="s">
        <v>1320</v>
      </c>
      <c r="C27" s="57" t="s">
        <v>162</v>
      </c>
      <c r="D27" s="61" t="s">
        <v>3839</v>
      </c>
      <c r="E27" s="158" t="str">
        <f>HYPERLINK("https://youtu.be/HSUlPsfjqeU?t=963","channel 1")</f>
        <v>channel 1</v>
      </c>
    </row>
    <row r="28">
      <c r="A28" s="141"/>
      <c r="B28" s="61" t="s">
        <v>4014</v>
      </c>
      <c r="C28" s="57" t="s">
        <v>547</v>
      </c>
      <c r="D28" s="61" t="s">
        <v>3859</v>
      </c>
      <c r="E28" s="11" t="str">
        <f>HYPERLINK("https://youtu.be/LRNsMyGQyVg?t=963","channel 2")</f>
        <v>channel 2</v>
      </c>
    </row>
    <row r="29">
      <c r="A29" s="141"/>
      <c r="B29" s="61" t="s">
        <v>1320</v>
      </c>
      <c r="C29" s="57" t="s">
        <v>209</v>
      </c>
      <c r="D29" s="61" t="s">
        <v>4015</v>
      </c>
      <c r="E29" s="158" t="str">
        <f>HYPERLINK("https://youtu.be/HSUlPsfjqeU?t=1893","channel 1")</f>
        <v>channel 1</v>
      </c>
    </row>
    <row r="30">
      <c r="A30" s="141"/>
      <c r="B30" s="61" t="s">
        <v>4014</v>
      </c>
      <c r="C30" s="57" t="s">
        <v>245</v>
      </c>
      <c r="D30" s="61" t="s">
        <v>3839</v>
      </c>
      <c r="E30" s="11" t="str">
        <f>HYPERLINK("https://youtu.be/LRNsMyGQyVg?t=1855","channel 2")</f>
        <v>channel 2</v>
      </c>
    </row>
    <row r="31">
      <c r="A31" s="141"/>
      <c r="B31" s="61" t="s">
        <v>1320</v>
      </c>
      <c r="C31" s="57" t="s">
        <v>20</v>
      </c>
      <c r="D31" s="61" t="s">
        <v>3859</v>
      </c>
      <c r="E31" s="158" t="str">
        <f>HYPERLINK("https://youtu.be/HSUlPsfjqeU?t=2762","channel 1")</f>
        <v>channel 1</v>
      </c>
    </row>
    <row r="32">
      <c r="A32" s="141"/>
      <c r="B32" s="61" t="s">
        <v>4015</v>
      </c>
      <c r="C32" s="57" t="s">
        <v>245</v>
      </c>
      <c r="D32" s="61" t="s">
        <v>3839</v>
      </c>
      <c r="E32" s="11" t="str">
        <f>HYPERLINK("https://youtu.be/LRNsMyGQyVg?t=2748","channel 2")</f>
        <v>channel 2</v>
      </c>
    </row>
    <row r="33">
      <c r="A33" s="141"/>
      <c r="B33" s="61" t="s">
        <v>1320</v>
      </c>
      <c r="C33" s="57" t="s">
        <v>248</v>
      </c>
      <c r="D33" s="61" t="s">
        <v>4014</v>
      </c>
      <c r="E33" s="158" t="str">
        <f>HYPERLINK("https://youtu.be/HSUlPsfjqeU?t=3486","channel 1")</f>
        <v>channel 1</v>
      </c>
    </row>
    <row r="34">
      <c r="A34" s="141"/>
      <c r="B34" s="61" t="s">
        <v>4015</v>
      </c>
      <c r="C34" s="57" t="s">
        <v>433</v>
      </c>
      <c r="D34" s="61" t="s">
        <v>3859</v>
      </c>
      <c r="E34" s="11" t="str">
        <f>HYPERLINK("https://youtu.be/LRNsMyGQyVg?t=3428","channel 2")</f>
        <v>channel 2</v>
      </c>
    </row>
    <row r="35">
      <c r="A35" s="141"/>
      <c r="B35" s="61" t="s">
        <v>3859</v>
      </c>
      <c r="C35" s="57" t="s">
        <v>1120</v>
      </c>
      <c r="D35" s="61" t="s">
        <v>3839</v>
      </c>
      <c r="E35" s="158" t="str">
        <f>HYPERLINK("https://youtu.be/HSUlPsfjqeU?t=4416","channel 1")</f>
        <v>channel 1</v>
      </c>
    </row>
    <row r="36">
      <c r="A36" s="141"/>
      <c r="B36" s="61" t="s">
        <v>4015</v>
      </c>
      <c r="C36" s="57" t="s">
        <v>162</v>
      </c>
      <c r="D36" s="61" t="s">
        <v>4014</v>
      </c>
      <c r="E36" s="11" t="str">
        <f>HYPERLINK("https://youtu.be/LRNsMyGQyVg?t=4293","channel 2")</f>
        <v>channel 2</v>
      </c>
    </row>
    <row r="37">
      <c r="A37" s="141"/>
      <c r="B37" s="61" t="s">
        <v>3839</v>
      </c>
      <c r="C37" s="57" t="s">
        <v>165</v>
      </c>
      <c r="D37" s="61" t="s">
        <v>1320</v>
      </c>
      <c r="E37" s="158" t="str">
        <f>HYPERLINK("https://youtu.be/HSUlPsfjqeU?t=5282","channel 1")</f>
        <v>channel 1</v>
      </c>
    </row>
    <row r="38">
      <c r="A38" s="141"/>
      <c r="B38" s="61" t="s">
        <v>3859</v>
      </c>
      <c r="C38" s="57" t="s">
        <v>419</v>
      </c>
      <c r="D38" s="61" t="s">
        <v>4014</v>
      </c>
      <c r="E38" s="11" t="str">
        <f>HYPERLINK("https://youtu.be/LRNsMyGQyVg?t=5140","channel 2")</f>
        <v>channel 2</v>
      </c>
    </row>
    <row r="39">
      <c r="A39" s="141"/>
      <c r="B39" s="61" t="s">
        <v>4015</v>
      </c>
      <c r="C39" s="45" t="s">
        <v>43</v>
      </c>
      <c r="D39" s="61" t="s">
        <v>1320</v>
      </c>
      <c r="E39" s="158" t="str">
        <f>HYPERLINK("https://youtu.be/HSUlPsfjqeU?t=6145","channel 1")</f>
        <v>channel 1</v>
      </c>
    </row>
    <row r="40">
      <c r="A40" s="141"/>
      <c r="B40" s="61" t="s">
        <v>3839</v>
      </c>
      <c r="C40" s="57" t="s">
        <v>19</v>
      </c>
      <c r="D40" s="61" t="s">
        <v>4014</v>
      </c>
      <c r="E40" s="11" t="str">
        <f>HYPERLINK("https://youtu.be/LRNsMyGQyVg?t=6097","channel 2")</f>
        <v>channel 2</v>
      </c>
    </row>
    <row r="41">
      <c r="A41" s="141"/>
      <c r="B41" s="61" t="s">
        <v>3859</v>
      </c>
      <c r="C41" s="57" t="s">
        <v>16</v>
      </c>
      <c r="D41" s="61" t="s">
        <v>1320</v>
      </c>
      <c r="E41" s="158" t="str">
        <f>HYPERLINK("https://youtu.be/HSUlPsfjqeU?t=7002","channel 1")</f>
        <v>channel 1</v>
      </c>
    </row>
    <row r="42">
      <c r="A42" s="141"/>
      <c r="B42" s="61" t="s">
        <v>3839</v>
      </c>
      <c r="C42" s="57" t="s">
        <v>209</v>
      </c>
      <c r="D42" s="61" t="s">
        <v>4015</v>
      </c>
      <c r="E42" s="11" t="str">
        <f>HYPERLINK("https://youtu.be/LRNsMyGQyVg?t=7055","channel 2")</f>
        <v>channel 2</v>
      </c>
    </row>
    <row r="43">
      <c r="A43" s="141"/>
      <c r="B43" s="61" t="s">
        <v>4014</v>
      </c>
      <c r="C43" s="57" t="s">
        <v>38</v>
      </c>
      <c r="D43" s="61" t="s">
        <v>1320</v>
      </c>
      <c r="E43" s="158" t="str">
        <f>HYPERLINK("https://youtu.be/HSUlPsfjqeU?t=7870","channel 1")</f>
        <v>channel 1</v>
      </c>
    </row>
    <row r="44">
      <c r="A44" s="141"/>
      <c r="B44" s="61" t="s">
        <v>3859</v>
      </c>
      <c r="C44" s="57" t="s">
        <v>225</v>
      </c>
      <c r="D44" s="61" t="s">
        <v>4015</v>
      </c>
      <c r="E44" s="11" t="str">
        <f>HYPERLINK("https://youtu.be/LRNsMyGQyVg?t=7906","channel 2")</f>
        <v>channel 2</v>
      </c>
    </row>
    <row r="45">
      <c r="A45" s="141"/>
      <c r="B45" s="96" t="s">
        <v>2483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4016</v>
      </c>
      <c r="C47" s="57" t="s">
        <v>449</v>
      </c>
      <c r="D47" s="61" t="s">
        <v>2954</v>
      </c>
      <c r="E47" s="158" t="str">
        <f>HYPERLINK("https://youtu.be/kg998J6wICA","channel 1")</f>
        <v>channel 1</v>
      </c>
    </row>
    <row r="48">
      <c r="A48" s="141"/>
      <c r="B48" s="61" t="s">
        <v>4017</v>
      </c>
      <c r="C48" s="57" t="s">
        <v>24</v>
      </c>
      <c r="D48" s="61" t="s">
        <v>1562</v>
      </c>
      <c r="E48" s="11" t="str">
        <f>HYPERLINK("https://youtu.be/kATZ_IpLLTI","channel 2")</f>
        <v>channel 2</v>
      </c>
    </row>
    <row r="49">
      <c r="A49" s="141"/>
      <c r="B49" s="61" t="s">
        <v>2153</v>
      </c>
      <c r="C49" s="57" t="s">
        <v>195</v>
      </c>
      <c r="D49" s="61" t="s">
        <v>4016</v>
      </c>
      <c r="E49" s="158" t="str">
        <f>HYPERLINK("https://youtu.be/kg998J6wICA?t=978","channel 1")</f>
        <v>channel 1</v>
      </c>
    </row>
    <row r="50">
      <c r="A50" s="141"/>
      <c r="B50" s="61" t="s">
        <v>4017</v>
      </c>
      <c r="C50" s="57" t="s">
        <v>230</v>
      </c>
      <c r="D50" s="61" t="s">
        <v>2954</v>
      </c>
      <c r="E50" s="11" t="str">
        <f>HYPERLINK("https://youtu.be/kATZ_IpLLTI?t=984","channel 2")</f>
        <v>channel 2</v>
      </c>
    </row>
    <row r="51">
      <c r="A51" s="141"/>
      <c r="B51" s="61" t="s">
        <v>2153</v>
      </c>
      <c r="C51" s="57" t="s">
        <v>162</v>
      </c>
      <c r="D51" s="61" t="s">
        <v>1562</v>
      </c>
      <c r="E51" s="158" t="str">
        <f>HYPERLINK("https://youtu.be/kg998J6wICA?t=1895","channel 1")</f>
        <v>channel 1</v>
      </c>
    </row>
    <row r="52">
      <c r="A52" s="141"/>
      <c r="B52" s="61" t="s">
        <v>4017</v>
      </c>
      <c r="C52" s="57" t="s">
        <v>324</v>
      </c>
      <c r="D52" s="61" t="s">
        <v>4016</v>
      </c>
      <c r="E52" s="11" t="str">
        <f>HYPERLINK("https://youtu.be/kATZ_IpLLTI?t=1885","channel 2")</f>
        <v>channel 2</v>
      </c>
    </row>
    <row r="53">
      <c r="A53" s="141"/>
      <c r="B53" s="61" t="s">
        <v>2153</v>
      </c>
      <c r="C53" s="57" t="s">
        <v>289</v>
      </c>
      <c r="D53" s="61" t="s">
        <v>2954</v>
      </c>
      <c r="E53" s="158" t="str">
        <f>HYPERLINK("https://youtu.be/kg998J6wICA?t=2765","channel 1")</f>
        <v>channel 1</v>
      </c>
    </row>
    <row r="54">
      <c r="A54" s="141"/>
      <c r="B54" s="61" t="s">
        <v>1562</v>
      </c>
      <c r="C54" s="57" t="s">
        <v>538</v>
      </c>
      <c r="D54" s="61" t="s">
        <v>4016</v>
      </c>
      <c r="E54" s="11" t="str">
        <f>HYPERLINK("https://youtu.be/kATZ_IpLLTI?t=2832","channel 2")</f>
        <v>channel 2</v>
      </c>
    </row>
    <row r="55">
      <c r="A55" s="141"/>
      <c r="B55" s="61" t="s">
        <v>2153</v>
      </c>
      <c r="C55" s="57" t="s">
        <v>162</v>
      </c>
      <c r="D55" s="61" t="s">
        <v>4017</v>
      </c>
      <c r="E55" s="158" t="str">
        <f>HYPERLINK("https://youtu.be/kg998J6wICA?t=3723","channel 1")</f>
        <v>channel 1</v>
      </c>
    </row>
    <row r="56">
      <c r="A56" s="141"/>
      <c r="B56" s="61" t="s">
        <v>1562</v>
      </c>
      <c r="C56" s="57" t="s">
        <v>194</v>
      </c>
      <c r="D56" s="61" t="s">
        <v>2954</v>
      </c>
      <c r="E56" s="11" t="str">
        <f>HYPERLINK("https://youtu.be/kATZ_IpLLTI?t=3706","channel 2")</f>
        <v>channel 2</v>
      </c>
    </row>
    <row r="57">
      <c r="A57" s="141"/>
      <c r="B57" s="61" t="s">
        <v>2954</v>
      </c>
      <c r="C57" s="57" t="s">
        <v>166</v>
      </c>
      <c r="D57" s="61" t="s">
        <v>4016</v>
      </c>
      <c r="E57" s="158" t="str">
        <f>HYPERLINK("https://youtu.be/kg998J6wICA?t=4627","channel 1")</f>
        <v>channel 1</v>
      </c>
    </row>
    <row r="58">
      <c r="A58" s="141"/>
      <c r="B58" s="61" t="s">
        <v>1562</v>
      </c>
      <c r="C58" s="57" t="s">
        <v>302</v>
      </c>
      <c r="D58" s="61" t="s">
        <v>4017</v>
      </c>
      <c r="E58" s="11" t="str">
        <f>HYPERLINK("https://youtu.be/kATZ_IpLLTI?t=4603","channel 2")</f>
        <v>channel 2</v>
      </c>
    </row>
    <row r="59">
      <c r="A59" s="141"/>
      <c r="B59" s="61" t="s">
        <v>4016</v>
      </c>
      <c r="C59" s="57" t="s">
        <v>227</v>
      </c>
      <c r="D59" s="61" t="s">
        <v>2153</v>
      </c>
      <c r="E59" s="158" t="str">
        <f>HYPERLINK("https://youtu.be/kg998J6wICA?t=5607","channel 1")</f>
        <v>channel 1</v>
      </c>
    </row>
    <row r="60">
      <c r="A60" s="141"/>
      <c r="B60" s="61" t="s">
        <v>2954</v>
      </c>
      <c r="C60" s="57" t="s">
        <v>17</v>
      </c>
      <c r="D60" s="61" t="s">
        <v>4017</v>
      </c>
      <c r="E60" s="11" t="str">
        <f>HYPERLINK("https://youtu.be/kATZ_IpLLTI?t=5521","channel 2")</f>
        <v>channel 2</v>
      </c>
    </row>
    <row r="61">
      <c r="A61" s="141"/>
      <c r="B61" s="61" t="s">
        <v>1562</v>
      </c>
      <c r="C61" s="57" t="s">
        <v>180</v>
      </c>
      <c r="D61" s="61" t="s">
        <v>2153</v>
      </c>
      <c r="E61" s="158" t="str">
        <f>HYPERLINK("https://youtu.be/kg998J6wICA?t=6504","channel 1")</f>
        <v>channel 1</v>
      </c>
    </row>
    <row r="62">
      <c r="A62" s="141"/>
      <c r="B62" s="61" t="s">
        <v>4016</v>
      </c>
      <c r="C62" s="45" t="s">
        <v>218</v>
      </c>
      <c r="D62" s="61" t="s">
        <v>4017</v>
      </c>
      <c r="E62" s="11" t="str">
        <f>HYPERLINK("https://youtu.be/kATZ_IpLLTI?t=6519","channel 2")</f>
        <v>channel 2</v>
      </c>
    </row>
    <row r="63">
      <c r="A63" s="141"/>
      <c r="B63" s="61" t="s">
        <v>2954</v>
      </c>
      <c r="C63" s="57" t="s">
        <v>196</v>
      </c>
      <c r="D63" s="61" t="s">
        <v>2153</v>
      </c>
      <c r="E63" s="158" t="str">
        <f>HYPERLINK("https://youtu.be/kg998J6wICA?t=7461","channel 1")</f>
        <v>channel 1</v>
      </c>
    </row>
    <row r="64">
      <c r="A64" s="141"/>
      <c r="B64" s="61" t="s">
        <v>4016</v>
      </c>
      <c r="C64" s="57" t="s">
        <v>220</v>
      </c>
      <c r="D64" s="61" t="s">
        <v>1562</v>
      </c>
      <c r="E64" s="11" t="str">
        <f>HYPERLINK("https://youtu.be/kATZ_IpLLTI?t=7519","channel 2")</f>
        <v>channel 2</v>
      </c>
    </row>
    <row r="65">
      <c r="A65" s="141"/>
      <c r="B65" s="61" t="s">
        <v>4017</v>
      </c>
      <c r="C65" s="57" t="s">
        <v>7</v>
      </c>
      <c r="D65" s="61" t="s">
        <v>2153</v>
      </c>
      <c r="E65" s="158" t="str">
        <f>HYPERLINK("https://youtu.be/kg998J6wICA?t=8494","channel 1")</f>
        <v>channel 1</v>
      </c>
    </row>
    <row r="66">
      <c r="A66" s="141"/>
      <c r="B66" s="61" t="s">
        <v>2954</v>
      </c>
      <c r="C66" s="57" t="s">
        <v>184</v>
      </c>
      <c r="D66" s="61" t="s">
        <v>1562</v>
      </c>
      <c r="E66" s="11" t="str">
        <f>HYPERLINK("https://youtu.be/kATZ_IpLLTI?t=8487","channel 2")</f>
        <v>channel 2</v>
      </c>
    </row>
    <row r="67">
      <c r="A67" s="141"/>
      <c r="B67" s="160" t="s">
        <v>3011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4018</v>
      </c>
      <c r="C69" s="57" t="s">
        <v>16</v>
      </c>
      <c r="D69" s="61" t="s">
        <v>4019</v>
      </c>
      <c r="E69" s="158" t="str">
        <f>HYPERLINK("https://youtu.be/9dTOsQGBkIw","channel 1")</f>
        <v>channel 1</v>
      </c>
    </row>
    <row r="70">
      <c r="A70" s="141"/>
      <c r="B70" s="61" t="s">
        <v>4020</v>
      </c>
      <c r="C70" s="57" t="s">
        <v>177</v>
      </c>
      <c r="D70" s="61" t="s">
        <v>1679</v>
      </c>
      <c r="E70" s="11" t="str">
        <f>HYPERLINK("https://youtu.be/SMoGPju2XT8","channel 2")</f>
        <v>channel 2</v>
      </c>
    </row>
    <row r="71">
      <c r="A71" s="141"/>
      <c r="B71" s="61" t="s">
        <v>1548</v>
      </c>
      <c r="C71" s="57" t="s">
        <v>20</v>
      </c>
      <c r="D71" s="61" t="s">
        <v>4018</v>
      </c>
      <c r="E71" s="158" t="str">
        <f>HYPERLINK("https://youtu.be/9dTOsQGBkIw?t=954","channel 1")</f>
        <v>channel 1</v>
      </c>
    </row>
    <row r="72">
      <c r="A72" s="141"/>
      <c r="B72" s="61" t="s">
        <v>4020</v>
      </c>
      <c r="C72" s="57" t="s">
        <v>220</v>
      </c>
      <c r="D72" s="61" t="s">
        <v>4019</v>
      </c>
      <c r="E72" s="11" t="str">
        <f>HYPERLINK("https://youtu.be/SMoGPju2XT8?t=1121","channel 2")</f>
        <v>channel 2</v>
      </c>
    </row>
    <row r="73">
      <c r="A73" s="141"/>
      <c r="B73" s="61" t="s">
        <v>1548</v>
      </c>
      <c r="C73" s="57" t="s">
        <v>44</v>
      </c>
      <c r="D73" s="61" t="s">
        <v>1679</v>
      </c>
      <c r="E73" s="158" t="str">
        <f>HYPERLINK("https://youtu.be/9dTOsQGBkIw?t=1895","channel 1")</f>
        <v>channel 1</v>
      </c>
    </row>
    <row r="74">
      <c r="A74" s="141"/>
      <c r="B74" s="61" t="s">
        <v>4020</v>
      </c>
      <c r="C74" s="57" t="s">
        <v>271</v>
      </c>
      <c r="D74" s="61" t="s">
        <v>4018</v>
      </c>
      <c r="E74" s="11" t="str">
        <f>HYPERLINK("https://youtu.be/SMoGPju2XT8?t=2165","channel 2")</f>
        <v>channel 2</v>
      </c>
    </row>
    <row r="75">
      <c r="A75" s="141"/>
      <c r="B75" s="61" t="s">
        <v>1548</v>
      </c>
      <c r="C75" s="57" t="s">
        <v>264</v>
      </c>
      <c r="D75" s="61" t="s">
        <v>4019</v>
      </c>
      <c r="E75" s="158" t="str">
        <f>HYPERLINK("https://youtu.be/9dTOsQGBkIw?t=2922","channel 1")</f>
        <v>channel 1</v>
      </c>
    </row>
    <row r="76">
      <c r="A76" s="141"/>
      <c r="B76" s="61" t="s">
        <v>1679</v>
      </c>
      <c r="C76" s="57" t="s">
        <v>181</v>
      </c>
      <c r="D76" s="61" t="s">
        <v>4018</v>
      </c>
      <c r="E76" s="11" t="str">
        <f>HYPERLINK("https://youtu.be/SMoGPju2XT8?t=3105","channel 2")</f>
        <v>channel 2</v>
      </c>
    </row>
    <row r="77">
      <c r="A77" s="141"/>
      <c r="B77" s="61" t="s">
        <v>1548</v>
      </c>
      <c r="C77" s="57" t="s">
        <v>195</v>
      </c>
      <c r="D77" s="61" t="s">
        <v>4020</v>
      </c>
      <c r="E77" s="158" t="str">
        <f>HYPERLINK("https://youtu.be/9dTOsQGBkIw?t=3906","channel 1")</f>
        <v>channel 1</v>
      </c>
    </row>
    <row r="78">
      <c r="A78" s="141"/>
      <c r="B78" s="61" t="s">
        <v>1679</v>
      </c>
      <c r="C78" s="57" t="s">
        <v>4021</v>
      </c>
      <c r="D78" s="61" t="s">
        <v>4019</v>
      </c>
      <c r="E78" s="11" t="str">
        <f>HYPERLINK("https://youtu.be/SMoGPju2XT8?t=4158","channel 2")</f>
        <v>channel 2</v>
      </c>
    </row>
    <row r="79">
      <c r="A79" s="141"/>
      <c r="B79" s="61" t="s">
        <v>4019</v>
      </c>
      <c r="C79" s="57" t="s">
        <v>524</v>
      </c>
      <c r="D79" s="61" t="s">
        <v>4018</v>
      </c>
      <c r="E79" s="158" t="str">
        <f>HYPERLINK("https://youtu.be/9dTOsQGBkIw?t=5041","channel 1")</f>
        <v>channel 1</v>
      </c>
    </row>
    <row r="80">
      <c r="A80" s="141"/>
      <c r="B80" s="61" t="s">
        <v>1679</v>
      </c>
      <c r="C80" s="57" t="s">
        <v>545</v>
      </c>
      <c r="D80" s="61" t="s">
        <v>4020</v>
      </c>
      <c r="E80" s="11" t="str">
        <f>HYPERLINK("https://youtu.be/SMoGPju2XT8?t=5229","channel 2")</f>
        <v>channel 2</v>
      </c>
    </row>
    <row r="81">
      <c r="A81" s="141"/>
      <c r="B81" s="61" t="s">
        <v>4018</v>
      </c>
      <c r="C81" s="57" t="s">
        <v>344</v>
      </c>
      <c r="D81" s="61" t="s">
        <v>1548</v>
      </c>
      <c r="E81" s="158" t="str">
        <f>HYPERLINK("https://youtu.be/9dTOsQGBkIw?t=5957","channel 1")</f>
        <v>channel 1</v>
      </c>
    </row>
    <row r="82">
      <c r="A82" s="141"/>
      <c r="B82" s="61" t="s">
        <v>4019</v>
      </c>
      <c r="C82" s="57" t="s">
        <v>157</v>
      </c>
      <c r="D82" s="61" t="s">
        <v>4020</v>
      </c>
      <c r="E82" s="11" t="str">
        <f>HYPERLINK("https://youtu.be/SMoGPju2XT8?t=6215","channel 2")</f>
        <v>channel 2</v>
      </c>
    </row>
    <row r="83">
      <c r="A83" s="141"/>
      <c r="B83" s="61" t="s">
        <v>1679</v>
      </c>
      <c r="C83" s="57" t="s">
        <v>210</v>
      </c>
      <c r="D83" s="61" t="s">
        <v>1548</v>
      </c>
      <c r="E83" s="158" t="str">
        <f>HYPERLINK("https://youtu.be/9dTOsQGBkIw?t=7002","channel 1")</f>
        <v>channel 1</v>
      </c>
    </row>
    <row r="84">
      <c r="A84" s="141"/>
      <c r="B84" s="61" t="s">
        <v>4018</v>
      </c>
      <c r="C84" s="57" t="s">
        <v>173</v>
      </c>
      <c r="D84" s="61" t="s">
        <v>4020</v>
      </c>
      <c r="E84" s="11" t="str">
        <f>HYPERLINK("https://youtu.be/SMoGPju2XT8?t=7143","channel 2")</f>
        <v>channel 2</v>
      </c>
    </row>
    <row r="85">
      <c r="A85" s="141"/>
      <c r="B85" s="61" t="s">
        <v>4019</v>
      </c>
      <c r="C85" s="57" t="s">
        <v>278</v>
      </c>
      <c r="D85" s="61" t="s">
        <v>1548</v>
      </c>
      <c r="E85" s="158" t="str">
        <f>HYPERLINK("https://youtu.be/9dTOsQGBkIw?t=7993","channel 1")</f>
        <v>channel 1</v>
      </c>
    </row>
    <row r="86">
      <c r="A86" s="141"/>
      <c r="B86" s="61" t="s">
        <v>4018</v>
      </c>
      <c r="C86" s="57" t="s">
        <v>196</v>
      </c>
      <c r="D86" s="61" t="s">
        <v>1679</v>
      </c>
      <c r="E86" s="11" t="str">
        <f>HYPERLINK("https://youtu.be/SMoGPju2XT8?t=8085","channel 2")</f>
        <v>channel 2</v>
      </c>
    </row>
    <row r="87">
      <c r="A87" s="141"/>
      <c r="B87" s="61" t="s">
        <v>4020</v>
      </c>
      <c r="C87" s="57" t="s">
        <v>383</v>
      </c>
      <c r="D87" s="61" t="s">
        <v>1548</v>
      </c>
      <c r="E87" s="158" t="str">
        <f>HYPERLINK("https://youtu.be/9dTOsQGBkIw?t=8856","channel 1")</f>
        <v>channel 1</v>
      </c>
    </row>
    <row r="88">
      <c r="A88" s="141"/>
      <c r="B88" s="61" t="s">
        <v>4019</v>
      </c>
      <c r="C88" s="57" t="s">
        <v>324</v>
      </c>
      <c r="D88" s="61" t="s">
        <v>1679</v>
      </c>
      <c r="E88" s="11" t="str">
        <f>HYPERLINK("https://youtu.be/SMoGPju2XT8?t=8986","channel 2")</f>
        <v>channel 2</v>
      </c>
    </row>
    <row r="89">
      <c r="A89" s="141"/>
      <c r="B89" s="96" t="s">
        <v>2828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1513</v>
      </c>
      <c r="C91" s="57" t="s">
        <v>218</v>
      </c>
      <c r="D91" s="56" t="s">
        <v>4022</v>
      </c>
      <c r="E91" s="158" t="str">
        <f>HYPERLINK("https://youtu.be/GRzxxlkXPT4","channel 1")</f>
        <v>channel 1</v>
      </c>
    </row>
    <row r="92">
      <c r="A92" s="141"/>
      <c r="B92" s="61" t="s">
        <v>4023</v>
      </c>
      <c r="C92" s="57" t="s">
        <v>736</v>
      </c>
      <c r="D92" s="61" t="s">
        <v>3961</v>
      </c>
      <c r="E92" s="11" t="str">
        <f>HYPERLINK("https://youtu.be/jTPCBu4QD7s","channel 2")</f>
        <v>channel 2</v>
      </c>
    </row>
    <row r="93">
      <c r="A93" s="141"/>
      <c r="B93" s="61" t="s">
        <v>834</v>
      </c>
      <c r="C93" s="57" t="s">
        <v>697</v>
      </c>
      <c r="D93" s="61" t="s">
        <v>1513</v>
      </c>
      <c r="E93" s="158" t="str">
        <f>HYPERLINK("https://youtu.be/GRzxxlkXPT4?t=936","channel 1")</f>
        <v>channel 1</v>
      </c>
    </row>
    <row r="94">
      <c r="A94" s="141"/>
      <c r="B94" s="61" t="s">
        <v>4023</v>
      </c>
      <c r="C94" s="57" t="s">
        <v>257</v>
      </c>
      <c r="D94" s="56" t="s">
        <v>4022</v>
      </c>
      <c r="E94" s="11" t="str">
        <f>HYPERLINK("https://youtu.be/jTPCBu4QD7s?t=996","channel 2")</f>
        <v>channel 2</v>
      </c>
    </row>
    <row r="95">
      <c r="A95" s="141"/>
      <c r="B95" s="61" t="s">
        <v>834</v>
      </c>
      <c r="C95" s="54" t="s">
        <v>231</v>
      </c>
      <c r="D95" s="61" t="s">
        <v>3961</v>
      </c>
      <c r="E95" s="158" t="str">
        <f>HYPERLINK("https://youtu.be/GRzxxlkXPT4?t=1639","channel 1")</f>
        <v>channel 1</v>
      </c>
    </row>
    <row r="96">
      <c r="A96" s="141"/>
      <c r="B96" s="61" t="s">
        <v>4023</v>
      </c>
      <c r="C96" s="57" t="s">
        <v>218</v>
      </c>
      <c r="D96" s="61" t="s">
        <v>1513</v>
      </c>
      <c r="E96" s="11" t="str">
        <f>HYPERLINK("https://youtu.be/jTPCBu4QD7s?t=1682","channel 2")</f>
        <v>channel 2</v>
      </c>
    </row>
    <row r="97">
      <c r="A97" s="141"/>
      <c r="B97" s="61" t="s">
        <v>834</v>
      </c>
      <c r="C97" s="57" t="s">
        <v>324</v>
      </c>
      <c r="D97" s="56" t="s">
        <v>4022</v>
      </c>
      <c r="E97" s="158" t="str">
        <f>HYPERLINK("https://youtu.be/GRzxxlkXPT4?t=2622","channel 1")</f>
        <v>channel 1</v>
      </c>
    </row>
    <row r="98">
      <c r="A98" s="141"/>
      <c r="B98" s="61" t="s">
        <v>3961</v>
      </c>
      <c r="C98" s="57" t="s">
        <v>18</v>
      </c>
      <c r="D98" s="61" t="s">
        <v>1513</v>
      </c>
      <c r="E98" s="11" t="str">
        <f>HYPERLINK("https://youtu.be/jTPCBu4QD7s?t=2668","channel 2")</f>
        <v>channel 2</v>
      </c>
    </row>
    <row r="99">
      <c r="A99" s="141"/>
      <c r="B99" s="61" t="s">
        <v>834</v>
      </c>
      <c r="C99" s="57" t="s">
        <v>394</v>
      </c>
      <c r="D99" s="61" t="s">
        <v>4023</v>
      </c>
      <c r="E99" s="158" t="str">
        <f>HYPERLINK("https://youtu.be/GRzxxlkXPT4?t=3535","channel 1")</f>
        <v>channel 1</v>
      </c>
    </row>
    <row r="100">
      <c r="A100" s="141"/>
      <c r="B100" s="61" t="s">
        <v>3961</v>
      </c>
      <c r="C100" s="57" t="s">
        <v>38</v>
      </c>
      <c r="D100" s="56" t="s">
        <v>4022</v>
      </c>
      <c r="E100" s="11" t="str">
        <f>HYPERLINK("https://youtu.be/jTPCBu4QD7s?t=3569","channel 2")</f>
        <v>channel 2</v>
      </c>
    </row>
    <row r="101">
      <c r="A101" s="141"/>
      <c r="B101" s="56" t="s">
        <v>4022</v>
      </c>
      <c r="C101" s="57" t="s">
        <v>43</v>
      </c>
      <c r="D101" s="61" t="s">
        <v>1513</v>
      </c>
      <c r="E101" s="158" t="str">
        <f>HYPERLINK("https://youtu.be/GRzxxlkXPT4?t=4431","channel 1")</f>
        <v>channel 1</v>
      </c>
    </row>
    <row r="102">
      <c r="A102" s="141"/>
      <c r="B102" s="61" t="s">
        <v>3961</v>
      </c>
      <c r="C102" s="57" t="s">
        <v>369</v>
      </c>
      <c r="D102" s="61" t="s">
        <v>4023</v>
      </c>
      <c r="E102" s="11" t="str">
        <f>HYPERLINK("https://youtu.be/jTPCBu4QD7s?t=4459","channel 2")</f>
        <v>channel 2</v>
      </c>
    </row>
    <row r="103">
      <c r="A103" s="141"/>
      <c r="B103" s="61" t="s">
        <v>1513</v>
      </c>
      <c r="C103" s="57" t="s">
        <v>16</v>
      </c>
      <c r="D103" s="61" t="s">
        <v>834</v>
      </c>
      <c r="E103" s="158" t="str">
        <f>HYPERLINK("https://youtu.be/GRzxxlkXPT4?t=5363","channel 1")</f>
        <v>channel 1</v>
      </c>
    </row>
    <row r="104">
      <c r="A104" s="141"/>
      <c r="B104" s="56" t="s">
        <v>4022</v>
      </c>
      <c r="C104" s="57" t="s">
        <v>220</v>
      </c>
      <c r="D104" s="61" t="s">
        <v>4023</v>
      </c>
      <c r="E104" s="11" t="str">
        <f>HYPERLINK("https://youtu.be/jTPCBu4QD7s?t=5382","channel 2")</f>
        <v>channel 2</v>
      </c>
    </row>
    <row r="105">
      <c r="A105" s="141"/>
      <c r="B105" s="61" t="s">
        <v>3961</v>
      </c>
      <c r="C105" s="57" t="s">
        <v>257</v>
      </c>
      <c r="D105" s="61" t="s">
        <v>834</v>
      </c>
      <c r="E105" s="158" t="str">
        <f>HYPERLINK("https://youtu.be/GRzxxlkXPT4?t=6298","channel 1")</f>
        <v>channel 1</v>
      </c>
    </row>
    <row r="106">
      <c r="A106" s="141"/>
      <c r="B106" s="61" t="s">
        <v>1513</v>
      </c>
      <c r="C106" s="57" t="s">
        <v>289</v>
      </c>
      <c r="D106" s="61" t="s">
        <v>4023</v>
      </c>
      <c r="E106" s="11" t="str">
        <f>HYPERLINK("https://youtu.be/jTPCBu4QD7s?t=6289","channel 2")</f>
        <v>channel 2</v>
      </c>
    </row>
    <row r="107">
      <c r="A107" s="141"/>
      <c r="B107" s="56" t="s">
        <v>4022</v>
      </c>
      <c r="C107" s="57" t="s">
        <v>20</v>
      </c>
      <c r="D107" s="61" t="s">
        <v>834</v>
      </c>
      <c r="E107" s="158" t="str">
        <f>HYPERLINK("https://youtu.be/GRzxxlkXPT4?t=7224","channel 1")</f>
        <v>channel 1</v>
      </c>
    </row>
    <row r="108">
      <c r="A108" s="141"/>
      <c r="B108" s="61" t="s">
        <v>1513</v>
      </c>
      <c r="C108" s="57" t="s">
        <v>248</v>
      </c>
      <c r="D108" s="61" t="s">
        <v>3961</v>
      </c>
      <c r="E108" s="11" t="str">
        <f>HYPERLINK("https://youtu.be/jTPCBu4QD7s?t=7242","channel 2")</f>
        <v>channel 2</v>
      </c>
    </row>
    <row r="109">
      <c r="A109" s="141"/>
      <c r="B109" s="61" t="s">
        <v>4023</v>
      </c>
      <c r="C109" s="57" t="s">
        <v>155</v>
      </c>
      <c r="D109" s="61" t="s">
        <v>834</v>
      </c>
      <c r="E109" s="158" t="str">
        <f>HYPERLINK("https://youtu.be/GRzxxlkXPT4?t=8112","channel 1")</f>
        <v>channel 1</v>
      </c>
    </row>
    <row r="110">
      <c r="A110" s="141"/>
      <c r="B110" s="56" t="s">
        <v>4022</v>
      </c>
      <c r="C110" s="57" t="s">
        <v>18</v>
      </c>
      <c r="D110" s="61" t="s">
        <v>3961</v>
      </c>
      <c r="E110" s="11" t="str">
        <f>HYPERLINK("https://youtu.be/jTPCBu4QD7s?t=8111","channel 2")</f>
        <v>channel 2</v>
      </c>
    </row>
    <row r="111">
      <c r="A111" s="141"/>
      <c r="B111" s="96" t="s">
        <v>2565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61" t="s">
        <v>1448</v>
      </c>
      <c r="C113" s="57" t="s">
        <v>16</v>
      </c>
      <c r="D113" s="56" t="s">
        <v>3216</v>
      </c>
      <c r="E113" s="158" t="str">
        <f>HYPERLINK("https://youtu.be/oY3Fn96f0Gg","channel 1")</f>
        <v>channel 1</v>
      </c>
    </row>
    <row r="114">
      <c r="A114" s="141"/>
      <c r="B114" s="61" t="s">
        <v>3869</v>
      </c>
      <c r="C114" s="57" t="s">
        <v>664</v>
      </c>
      <c r="D114" s="61" t="s">
        <v>4024</v>
      </c>
      <c r="E114" s="11" t="str">
        <f>HYPERLINK("https://youtu.be/iKS9KZlD-c4","channel 2")</f>
        <v>channel 2</v>
      </c>
    </row>
    <row r="115">
      <c r="A115" s="141"/>
      <c r="B115" s="61" t="s">
        <v>2531</v>
      </c>
      <c r="C115" s="57" t="s">
        <v>220</v>
      </c>
      <c r="D115" s="61" t="s">
        <v>1448</v>
      </c>
      <c r="E115" s="158" t="str">
        <f>HYPERLINK("https://youtu.be/oY3Fn96f0Gg?t=941","channel 1")</f>
        <v>channel 1</v>
      </c>
    </row>
    <row r="116">
      <c r="A116" s="141"/>
      <c r="B116" s="61" t="s">
        <v>3869</v>
      </c>
      <c r="C116" s="57" t="s">
        <v>180</v>
      </c>
      <c r="D116" s="56" t="s">
        <v>3216</v>
      </c>
      <c r="E116" s="11" t="str">
        <f>HYPERLINK("https://youtu.be/iKS9KZlD-c4?t=1051","channel 2")</f>
        <v>channel 2</v>
      </c>
    </row>
    <row r="117">
      <c r="A117" s="141"/>
      <c r="B117" s="61" t="s">
        <v>2531</v>
      </c>
      <c r="C117" s="57" t="s">
        <v>380</v>
      </c>
      <c r="D117" s="61" t="s">
        <v>4024</v>
      </c>
      <c r="E117" s="158" t="str">
        <f>HYPERLINK("https://youtu.be/oY3Fn96f0Gg?t=1893","channel 1")</f>
        <v>channel 1</v>
      </c>
    </row>
    <row r="118">
      <c r="A118" s="141"/>
      <c r="B118" s="61" t="s">
        <v>3869</v>
      </c>
      <c r="C118" s="57" t="s">
        <v>41</v>
      </c>
      <c r="D118" s="61" t="s">
        <v>1448</v>
      </c>
      <c r="E118" s="11" t="str">
        <f>HYPERLINK("https://youtu.be/iKS9KZlD-c4?t=1937","channel 2")</f>
        <v>channel 2</v>
      </c>
    </row>
    <row r="119">
      <c r="A119" s="141"/>
      <c r="B119" s="61" t="s">
        <v>2531</v>
      </c>
      <c r="C119" s="57" t="s">
        <v>665</v>
      </c>
      <c r="D119" s="56" t="s">
        <v>3216</v>
      </c>
      <c r="E119" s="158" t="str">
        <f>HYPERLINK("https://youtu.be/oY3Fn96f0Gg?t=2818","channel 1")</f>
        <v>channel 1</v>
      </c>
    </row>
    <row r="120">
      <c r="A120" s="141"/>
      <c r="B120" s="61" t="s">
        <v>4024</v>
      </c>
      <c r="C120" s="57" t="s">
        <v>393</v>
      </c>
      <c r="D120" s="61" t="s">
        <v>1448</v>
      </c>
      <c r="E120" s="11" t="str">
        <f>HYPERLINK("https://youtu.be/iKS9KZlD-c4?t=2919","channel 2")</f>
        <v>channel 2</v>
      </c>
    </row>
    <row r="121">
      <c r="A121" s="141"/>
      <c r="B121" s="61" t="s">
        <v>2531</v>
      </c>
      <c r="C121" s="57" t="s">
        <v>4025</v>
      </c>
      <c r="D121" s="61" t="s">
        <v>3869</v>
      </c>
      <c r="E121" s="158" t="str">
        <f>HYPERLINK("https://youtu.be/oY3Fn96f0Gg?t=3734","channel 1")</f>
        <v>channel 1</v>
      </c>
    </row>
    <row r="122">
      <c r="A122" s="141"/>
      <c r="B122" s="61" t="s">
        <v>4024</v>
      </c>
      <c r="C122" s="57" t="s">
        <v>1553</v>
      </c>
      <c r="D122" s="56" t="s">
        <v>3216</v>
      </c>
      <c r="E122" s="11" t="str">
        <f>HYPERLINK("https://youtu.be/iKS9KZlD-c4?t=3850","channel 2")</f>
        <v>channel 2</v>
      </c>
    </row>
    <row r="123">
      <c r="A123" s="141"/>
      <c r="B123" s="56" t="s">
        <v>3216</v>
      </c>
      <c r="C123" s="57" t="s">
        <v>196</v>
      </c>
      <c r="D123" s="61" t="s">
        <v>1448</v>
      </c>
      <c r="E123" s="158" t="str">
        <f>HYPERLINK("https://youtu.be/oY3Fn96f0Gg?t=4648","channel 1")</f>
        <v>channel 1</v>
      </c>
    </row>
    <row r="124">
      <c r="A124" s="141"/>
      <c r="B124" s="61" t="s">
        <v>4024</v>
      </c>
      <c r="C124" s="57" t="s">
        <v>335</v>
      </c>
      <c r="D124" s="61" t="s">
        <v>3869</v>
      </c>
      <c r="E124" s="11" t="str">
        <f>HYPERLINK("https://youtu.be/iKS9KZlD-c4?t=4772","channel 2")</f>
        <v>channel 2</v>
      </c>
    </row>
    <row r="125">
      <c r="A125" s="141"/>
      <c r="B125" s="61" t="s">
        <v>1448</v>
      </c>
      <c r="C125" s="57" t="s">
        <v>257</v>
      </c>
      <c r="D125" s="61" t="s">
        <v>2531</v>
      </c>
      <c r="E125" s="158" t="str">
        <f>HYPERLINK("https://youtu.be/oY3Fn96f0Gg?t=5585","channel 1")</f>
        <v>channel 1</v>
      </c>
    </row>
    <row r="126">
      <c r="A126" s="141"/>
      <c r="B126" s="56" t="s">
        <v>3216</v>
      </c>
      <c r="C126" s="57" t="s">
        <v>281</v>
      </c>
      <c r="D126" s="61" t="s">
        <v>3869</v>
      </c>
      <c r="E126" s="11" t="str">
        <f>HYPERLINK("https://youtu.be/iKS9KZlD-c4?t=5661","channel 2")</f>
        <v>channel 2</v>
      </c>
    </row>
    <row r="127">
      <c r="A127" s="141"/>
      <c r="B127" s="61" t="s">
        <v>4024</v>
      </c>
      <c r="C127" s="57" t="s">
        <v>1619</v>
      </c>
      <c r="D127" s="61" t="s">
        <v>2531</v>
      </c>
      <c r="E127" s="158" t="str">
        <f>HYPERLINK("https://youtu.be/oY3Fn96f0Gg?t=6440","channel 1")</f>
        <v>channel 1</v>
      </c>
    </row>
    <row r="128">
      <c r="A128" s="141"/>
      <c r="B128" s="61" t="s">
        <v>1448</v>
      </c>
      <c r="C128" s="57" t="s">
        <v>218</v>
      </c>
      <c r="D128" s="61" t="s">
        <v>3869</v>
      </c>
      <c r="E128" s="11" t="str">
        <f>HYPERLINK("https://youtu.be/iKS9KZlD-c4?t=6569","channel 2")</f>
        <v>channel 2</v>
      </c>
    </row>
    <row r="129">
      <c r="A129" s="141"/>
      <c r="B129" s="56" t="s">
        <v>3216</v>
      </c>
      <c r="C129" s="57" t="s">
        <v>229</v>
      </c>
      <c r="D129" s="61" t="s">
        <v>2531</v>
      </c>
      <c r="E129" s="158" t="str">
        <f>HYPERLINK("https://youtu.be/oY3Fn96f0Gg?t=7341","channel 1")</f>
        <v>channel 1</v>
      </c>
    </row>
    <row r="130">
      <c r="A130" s="141"/>
      <c r="B130" s="61" t="s">
        <v>1448</v>
      </c>
      <c r="C130" s="57" t="s">
        <v>257</v>
      </c>
      <c r="D130" s="61" t="s">
        <v>4024</v>
      </c>
      <c r="E130" s="11" t="str">
        <f>HYPERLINK("https://youtu.be/iKS9KZlD-c4?t=7494","channel 2")</f>
        <v>channel 2</v>
      </c>
    </row>
    <row r="131">
      <c r="A131" s="141"/>
      <c r="B131" s="61" t="s">
        <v>3869</v>
      </c>
      <c r="C131" s="57" t="s">
        <v>737</v>
      </c>
      <c r="D131" s="61" t="s">
        <v>2531</v>
      </c>
      <c r="E131" s="158" t="str">
        <f>HYPERLINK("https://youtu.be/oY3Fn96f0Gg?t=8227","channel 1")</f>
        <v>channel 1</v>
      </c>
    </row>
    <row r="132">
      <c r="A132" s="145"/>
      <c r="B132" s="56" t="s">
        <v>3216</v>
      </c>
      <c r="C132" s="57" t="s">
        <v>357</v>
      </c>
      <c r="D132" s="61" t="s">
        <v>4024</v>
      </c>
      <c r="E132" s="11" t="str">
        <f>HYPERLINK("https://youtu.be/iKS9KZlD-c4?t=8403","channel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1" t="s">
        <v>2260</v>
      </c>
      <c r="C1" s="2"/>
      <c r="D1" s="3"/>
      <c r="E1" s="157"/>
    </row>
    <row r="2">
      <c r="A2" s="141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41"/>
      <c r="B3" s="61" t="s">
        <v>3914</v>
      </c>
      <c r="C3" s="57" t="s">
        <v>291</v>
      </c>
      <c r="D3" s="61" t="s">
        <v>138</v>
      </c>
      <c r="E3" s="158" t="str">
        <f>HYPERLINK("https://youtu.be/Y80h138eHIk","channel 1")</f>
        <v>channel 1</v>
      </c>
    </row>
    <row r="4">
      <c r="A4" s="141"/>
      <c r="B4" s="61" t="s">
        <v>4026</v>
      </c>
      <c r="C4" s="57" t="s">
        <v>162</v>
      </c>
      <c r="D4" s="61" t="s">
        <v>2262</v>
      </c>
      <c r="E4" s="11" t="str">
        <f>HYPERLINK("https://youtu.be/2ziGm-Yu1nE","channel 2")</f>
        <v>channel 2</v>
      </c>
    </row>
    <row r="5">
      <c r="A5" s="141"/>
      <c r="B5" s="61" t="s">
        <v>4027</v>
      </c>
      <c r="C5" s="57" t="s">
        <v>219</v>
      </c>
      <c r="D5" s="61" t="s">
        <v>3914</v>
      </c>
      <c r="E5" s="158" t="str">
        <f>HYPERLINK("https://youtu.be/Y80h138eHIk?t=1051","channel 1")</f>
        <v>channel 1</v>
      </c>
    </row>
    <row r="6">
      <c r="A6" s="141"/>
      <c r="B6" s="61" t="s">
        <v>4026</v>
      </c>
      <c r="C6" s="57" t="s">
        <v>158</v>
      </c>
      <c r="D6" s="61" t="s">
        <v>138</v>
      </c>
      <c r="E6" s="11" t="str">
        <f>HYPERLINK("https://youtu.be/2ziGm-Yu1nE?t=842","channel 2")</f>
        <v>channel 2</v>
      </c>
    </row>
    <row r="7">
      <c r="A7" s="141"/>
      <c r="B7" s="61" t="s">
        <v>4027</v>
      </c>
      <c r="C7" s="57" t="s">
        <v>209</v>
      </c>
      <c r="D7" s="61" t="s">
        <v>2262</v>
      </c>
      <c r="E7" s="158" t="str">
        <f>HYPERLINK("https://youtu.be/Y80h138eHIk?t=2086","channel 1")</f>
        <v>channel 1</v>
      </c>
    </row>
    <row r="8">
      <c r="A8" s="141"/>
      <c r="B8" s="61" t="s">
        <v>4026</v>
      </c>
      <c r="C8" s="57" t="s">
        <v>43</v>
      </c>
      <c r="D8" s="61" t="s">
        <v>3914</v>
      </c>
      <c r="E8" s="11" t="str">
        <f>HYPERLINK("https://youtu.be/2ziGm-Yu1nE?t=1897","channel 2")</f>
        <v>channel 2</v>
      </c>
    </row>
    <row r="9">
      <c r="A9" s="141"/>
      <c r="B9" s="61" t="s">
        <v>4027</v>
      </c>
      <c r="C9" s="57" t="s">
        <v>354</v>
      </c>
      <c r="D9" s="61" t="s">
        <v>138</v>
      </c>
      <c r="E9" s="158" t="str">
        <f>HYPERLINK("https://youtu.be/Y80h138eHIk?t=3184","channel 1")</f>
        <v>channel 1</v>
      </c>
    </row>
    <row r="10">
      <c r="A10" s="141"/>
      <c r="B10" s="61" t="s">
        <v>2262</v>
      </c>
      <c r="C10" s="57" t="s">
        <v>536</v>
      </c>
      <c r="D10" s="61" t="s">
        <v>3914</v>
      </c>
      <c r="E10" s="11" t="str">
        <f>HYPERLINK("https://youtu.be/2ziGm-Yu1nE?t=3050","channel 2")</f>
        <v>channel 2</v>
      </c>
    </row>
    <row r="11">
      <c r="A11" s="141"/>
      <c r="B11" s="61" t="s">
        <v>4027</v>
      </c>
      <c r="C11" s="57" t="s">
        <v>225</v>
      </c>
      <c r="D11" s="61" t="s">
        <v>4026</v>
      </c>
      <c r="E11" s="158" t="str">
        <f>HYPERLINK("https://youtu.be/Y80h138eHIk?t=4141","chanel 1")</f>
        <v>chanel 1</v>
      </c>
    </row>
    <row r="12">
      <c r="A12" s="141"/>
      <c r="B12" s="61" t="s">
        <v>2262</v>
      </c>
      <c r="C12" s="57" t="s">
        <v>380</v>
      </c>
      <c r="D12" s="61" t="s">
        <v>138</v>
      </c>
      <c r="E12" s="11" t="str">
        <f>HYPERLINK("https://youtu.be/2ziGm-Yu1nE?t=4165","channel 2")</f>
        <v>channel 2</v>
      </c>
    </row>
    <row r="13">
      <c r="A13" s="141"/>
      <c r="B13" s="61" t="s">
        <v>138</v>
      </c>
      <c r="C13" s="57" t="s">
        <v>177</v>
      </c>
      <c r="D13" s="61" t="s">
        <v>3914</v>
      </c>
      <c r="E13" s="169" t="str">
        <f>HYPERLINK("https://youtu.be/Y80h138eHIk?t=5811","channel 1")</f>
        <v>channel 1</v>
      </c>
    </row>
    <row r="14">
      <c r="A14" s="141"/>
      <c r="B14" s="61" t="s">
        <v>2262</v>
      </c>
      <c r="C14" s="57" t="s">
        <v>209</v>
      </c>
      <c r="D14" s="61" t="s">
        <v>4026</v>
      </c>
      <c r="E14" s="11" t="str">
        <f>HYPERLINK("https://youtu.be/2ziGm-Yu1nE?t=5163","channel 2")</f>
        <v>channel 2</v>
      </c>
    </row>
    <row r="15">
      <c r="A15" s="141"/>
      <c r="B15" s="61" t="s">
        <v>3914</v>
      </c>
      <c r="C15" s="57" t="s">
        <v>351</v>
      </c>
      <c r="D15" s="61" t="s">
        <v>4027</v>
      </c>
      <c r="E15" s="158" t="str">
        <f>HYPERLINK("https://youtu.be/Y80h138eHIk?t=6489","channel 1")</f>
        <v>channel 1</v>
      </c>
    </row>
    <row r="16">
      <c r="A16" s="141"/>
      <c r="B16" s="61" t="s">
        <v>138</v>
      </c>
      <c r="C16" s="57" t="s">
        <v>155</v>
      </c>
      <c r="D16" s="61" t="s">
        <v>4026</v>
      </c>
      <c r="E16" s="11" t="str">
        <f>HYPERLINK("https://youtu.be/2ziGm-Yu1nE?t=6268","channel 2")</f>
        <v>channel 2</v>
      </c>
    </row>
    <row r="17">
      <c r="A17" s="141"/>
      <c r="B17" s="61" t="s">
        <v>2262</v>
      </c>
      <c r="C17" s="57" t="s">
        <v>158</v>
      </c>
      <c r="D17" s="61" t="s">
        <v>4027</v>
      </c>
      <c r="E17" s="158" t="str">
        <f>HYPERLINK("https://youtu.be/Y80h138eHIk?t=7455","channel 1")</f>
        <v>channel 1</v>
      </c>
    </row>
    <row r="18">
      <c r="A18" s="141"/>
      <c r="B18" s="61" t="s">
        <v>3914</v>
      </c>
      <c r="C18" s="57" t="s">
        <v>16</v>
      </c>
      <c r="D18" s="61" t="s">
        <v>4026</v>
      </c>
      <c r="E18" s="11" t="str">
        <f>HYPERLINK("https://youtu.be/2ziGm-Yu1nE?t=7402","channel 2")</f>
        <v>channel 2</v>
      </c>
    </row>
    <row r="19">
      <c r="A19" s="141"/>
      <c r="B19" s="61" t="s">
        <v>138</v>
      </c>
      <c r="C19" s="57" t="s">
        <v>195</v>
      </c>
      <c r="D19" s="61" t="s">
        <v>4027</v>
      </c>
      <c r="E19" s="158" t="str">
        <f>HYPERLINK("https://youtu.be/Y80h138eHIk?t=8307","channel 1")</f>
        <v>channel 1</v>
      </c>
    </row>
    <row r="20">
      <c r="A20" s="141"/>
      <c r="B20" s="61" t="s">
        <v>3914</v>
      </c>
      <c r="C20" s="57" t="s">
        <v>354</v>
      </c>
      <c r="D20" s="61" t="s">
        <v>2262</v>
      </c>
      <c r="E20" s="11" t="str">
        <f>HYPERLINK("https://youtu.be/2ziGm-Yu1nE?t=8350","channel 2")</f>
        <v>channel 2</v>
      </c>
    </row>
    <row r="21">
      <c r="A21" s="141"/>
      <c r="B21" s="61" t="s">
        <v>4026</v>
      </c>
      <c r="C21" s="57" t="s">
        <v>195</v>
      </c>
      <c r="D21" s="61" t="s">
        <v>4027</v>
      </c>
      <c r="E21" s="158" t="str">
        <f>HYPERLINK("https://youtu.be/Y80h138eHIk?t=9217","channel 1")</f>
        <v>channel 1</v>
      </c>
    </row>
    <row r="22">
      <c r="A22" s="141"/>
      <c r="B22" s="61" t="s">
        <v>138</v>
      </c>
      <c r="C22" s="57" t="s">
        <v>23</v>
      </c>
      <c r="D22" s="61" t="s">
        <v>2262</v>
      </c>
      <c r="E22" s="11" t="str">
        <f>HYPERLINK("https://youtu.be/2ziGm-Yu1nE?t=9328","channel 2")</f>
        <v>channel 2</v>
      </c>
    </row>
    <row r="23">
      <c r="A23" s="141"/>
      <c r="B23" s="1" t="s">
        <v>4028</v>
      </c>
      <c r="C23" s="2"/>
      <c r="D23" s="3"/>
      <c r="E23" s="157"/>
    </row>
    <row r="24">
      <c r="A24" s="141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41"/>
      <c r="B25" s="56" t="s">
        <v>4029</v>
      </c>
      <c r="C25" s="57" t="s">
        <v>545</v>
      </c>
      <c r="D25" s="61" t="s">
        <v>4030</v>
      </c>
      <c r="E25" s="158" t="str">
        <f>HYPERLINK("https://youtu.be/UTJzmwF6S2I","channel 1")</f>
        <v>channel 1</v>
      </c>
    </row>
    <row r="26">
      <c r="A26" s="141"/>
      <c r="B26" s="61" t="s">
        <v>4031</v>
      </c>
      <c r="C26" s="57" t="s">
        <v>245</v>
      </c>
      <c r="D26" s="61" t="s">
        <v>2989</v>
      </c>
      <c r="E26" s="11" t="str">
        <f>HYPERLINK("https://youtu.be/qoj-HCnTPDc","channel 2")</f>
        <v>channel 2</v>
      </c>
    </row>
    <row r="27">
      <c r="A27" s="141"/>
      <c r="B27" s="61" t="s">
        <v>2102</v>
      </c>
      <c r="C27" s="57" t="s">
        <v>36</v>
      </c>
      <c r="D27" s="56" t="s">
        <v>4029</v>
      </c>
      <c r="E27" s="158" t="str">
        <f>HYPERLINK("https://youtu.be/UTJzmwF6S2I?t=974","channel 1")</f>
        <v>channel 1</v>
      </c>
    </row>
    <row r="28">
      <c r="A28" s="141"/>
      <c r="B28" s="61" t="s">
        <v>4031</v>
      </c>
      <c r="C28" s="57" t="s">
        <v>162</v>
      </c>
      <c r="D28" s="61" t="s">
        <v>4030</v>
      </c>
      <c r="E28" s="11" t="str">
        <f>HYPERLINK("https://youtu.be/qoj-HCnTPDc?t=927","channel 2")</f>
        <v>channel 2</v>
      </c>
    </row>
    <row r="29">
      <c r="A29" s="141"/>
      <c r="B29" s="61" t="s">
        <v>2102</v>
      </c>
      <c r="C29" s="57" t="s">
        <v>18</v>
      </c>
      <c r="D29" s="61" t="s">
        <v>2989</v>
      </c>
      <c r="E29" s="158" t="str">
        <f>HYPERLINK("https://youtu.be/UTJzmwF6S2I?t=1903","channel 1")</f>
        <v>channel 1</v>
      </c>
    </row>
    <row r="30">
      <c r="A30" s="141"/>
      <c r="B30" s="61" t="s">
        <v>4031</v>
      </c>
      <c r="C30" s="57" t="s">
        <v>697</v>
      </c>
      <c r="D30" s="56" t="s">
        <v>4029</v>
      </c>
      <c r="E30" s="11" t="str">
        <f>HYPERLINK("https://youtu.be/qoj-HCnTPDc?t=1758","channel 2")</f>
        <v>channel 2</v>
      </c>
    </row>
    <row r="31">
      <c r="A31" s="141"/>
      <c r="B31" s="61" t="s">
        <v>2102</v>
      </c>
      <c r="C31" s="57" t="s">
        <v>16</v>
      </c>
      <c r="D31" s="61" t="s">
        <v>4030</v>
      </c>
      <c r="E31" s="158" t="str">
        <f>HYPERLINK("https://youtu.be/UTJzmwF6S2I?t=2794","channel 1")</f>
        <v>channel 1</v>
      </c>
    </row>
    <row r="32">
      <c r="A32" s="141"/>
      <c r="B32" s="61" t="s">
        <v>2989</v>
      </c>
      <c r="C32" s="57" t="s">
        <v>575</v>
      </c>
      <c r="D32" s="56" t="s">
        <v>4029</v>
      </c>
      <c r="E32" s="11" t="str">
        <f>HYPERLINK("https://youtu.be/qoj-HCnTPDc?t=2827","channel 2")</f>
        <v>channel 2</v>
      </c>
    </row>
    <row r="33">
      <c r="A33" s="141"/>
      <c r="B33" s="61" t="s">
        <v>2102</v>
      </c>
      <c r="C33" s="57" t="s">
        <v>601</v>
      </c>
      <c r="D33" s="61" t="s">
        <v>4031</v>
      </c>
      <c r="E33" s="158" t="str">
        <f>HYPERLINK("https://youtu.be/UTJzmwF6S2I?t=3652","channel 1")</f>
        <v>channel 1</v>
      </c>
    </row>
    <row r="34">
      <c r="A34" s="141"/>
      <c r="B34" s="61" t="s">
        <v>2989</v>
      </c>
      <c r="C34" s="57" t="s">
        <v>209</v>
      </c>
      <c r="D34" s="61" t="s">
        <v>4030</v>
      </c>
      <c r="E34" s="11" t="str">
        <f>HYPERLINK("https://youtu.be/qoj-HCnTPDc?t=3693","channel 2")</f>
        <v>channel 2</v>
      </c>
    </row>
    <row r="35">
      <c r="A35" s="141"/>
      <c r="B35" s="61" t="s">
        <v>4030</v>
      </c>
      <c r="C35" s="57" t="s">
        <v>194</v>
      </c>
      <c r="D35" s="56" t="s">
        <v>4029</v>
      </c>
      <c r="E35" s="158" t="str">
        <f>HYPERLINK("https://youtu.be/UTJzmwF6S2I?t=4647","channel 1")</f>
        <v>channel 1</v>
      </c>
    </row>
    <row r="36">
      <c r="A36" s="141"/>
      <c r="B36" s="61" t="s">
        <v>2989</v>
      </c>
      <c r="C36" s="57" t="s">
        <v>248</v>
      </c>
      <c r="D36" s="61" t="s">
        <v>4031</v>
      </c>
      <c r="E36" s="11" t="str">
        <f>HYPERLINK("https://youtu.be/qoj-HCnTPDc?t=4514","channel 2")</f>
        <v>channel 2</v>
      </c>
    </row>
    <row r="37">
      <c r="A37" s="141"/>
      <c r="B37" s="56" t="s">
        <v>4029</v>
      </c>
      <c r="C37" s="57" t="s">
        <v>220</v>
      </c>
      <c r="D37" s="61" t="s">
        <v>2102</v>
      </c>
      <c r="E37" s="158" t="str">
        <f>HYPERLINK("https://youtu.be/UTJzmwF6S2I?t=5571","channel 1")</f>
        <v>channel 1</v>
      </c>
    </row>
    <row r="38">
      <c r="A38" s="141"/>
      <c r="B38" s="61" t="s">
        <v>4030</v>
      </c>
      <c r="C38" s="57" t="s">
        <v>23</v>
      </c>
      <c r="D38" s="61" t="s">
        <v>4031</v>
      </c>
      <c r="E38" s="11" t="str">
        <f>HYPERLINK("https://youtu.be/qoj-HCnTPDc?t=5389","channel 2")</f>
        <v>channel 2</v>
      </c>
    </row>
    <row r="39">
      <c r="A39" s="141"/>
      <c r="B39" s="61" t="s">
        <v>2989</v>
      </c>
      <c r="C39" s="45" t="s">
        <v>229</v>
      </c>
      <c r="D39" s="61" t="s">
        <v>2102</v>
      </c>
      <c r="E39" s="158" t="str">
        <f>HYPERLINK("https://youtu.be/UTJzmwF6S2I?t=6469","channel 1")</f>
        <v>channel 1</v>
      </c>
    </row>
    <row r="40">
      <c r="A40" s="141"/>
      <c r="B40" s="56" t="s">
        <v>4029</v>
      </c>
      <c r="C40" s="57" t="s">
        <v>558</v>
      </c>
      <c r="D40" s="61" t="s">
        <v>4031</v>
      </c>
      <c r="E40" s="11" t="str">
        <f>HYPERLINK("https://youtu.be/qoj-HCnTPDc?t=6361","channel 2")</f>
        <v>channel 2</v>
      </c>
    </row>
    <row r="41">
      <c r="A41" s="141"/>
      <c r="B41" s="61" t="s">
        <v>4030</v>
      </c>
      <c r="C41" s="57" t="s">
        <v>203</v>
      </c>
      <c r="D41" s="61" t="s">
        <v>2102</v>
      </c>
      <c r="E41" s="158" t="str">
        <f>HYPERLINK("https://youtu.be/UTJzmwF6S2I?t=7630","channel 1")</f>
        <v>channel 1</v>
      </c>
    </row>
    <row r="42">
      <c r="A42" s="141"/>
      <c r="B42" s="56" t="s">
        <v>4029</v>
      </c>
      <c r="C42" s="57" t="s">
        <v>289</v>
      </c>
      <c r="D42" s="61" t="s">
        <v>2989</v>
      </c>
      <c r="E42" s="11" t="str">
        <f>HYPERLINK("https://youtu.be/qoj-HCnTPDc?t=7324","channel 2")</f>
        <v>channel 2</v>
      </c>
    </row>
    <row r="43">
      <c r="A43" s="141"/>
      <c r="B43" s="61" t="s">
        <v>4031</v>
      </c>
      <c r="C43" s="57" t="s">
        <v>198</v>
      </c>
      <c r="D43" s="61" t="s">
        <v>2102</v>
      </c>
      <c r="E43" s="158" t="str">
        <f>HYPERLINK("https://youtu.be/UTJzmwF6S2I?t=8526","channel 1")</f>
        <v>channel 1</v>
      </c>
    </row>
    <row r="44">
      <c r="A44" s="141"/>
      <c r="B44" s="61" t="s">
        <v>4030</v>
      </c>
      <c r="C44" s="57" t="s">
        <v>220</v>
      </c>
      <c r="D44" s="61" t="s">
        <v>2989</v>
      </c>
      <c r="E44" s="11" t="str">
        <f>HYPERLINK("https://youtu.be/qoj-HCnTPDc?t=8375","channel 2")</f>
        <v>channel 2</v>
      </c>
    </row>
    <row r="45">
      <c r="A45" s="141"/>
      <c r="B45" s="1" t="s">
        <v>2152</v>
      </c>
      <c r="C45" s="2"/>
      <c r="D45" s="3"/>
      <c r="E45" s="157"/>
    </row>
    <row r="46">
      <c r="A46" s="141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41"/>
      <c r="B47" s="61" t="s">
        <v>4032</v>
      </c>
      <c r="C47" s="57" t="s">
        <v>336</v>
      </c>
      <c r="D47" s="61" t="s">
        <v>813</v>
      </c>
      <c r="E47" s="158" t="str">
        <f>HYPERLINK("https://youtu.be/xX9T7pBxWFc","channel 1")</f>
        <v>channel 1</v>
      </c>
    </row>
    <row r="48">
      <c r="A48" s="141"/>
      <c r="B48" s="61" t="s">
        <v>2215</v>
      </c>
      <c r="C48" s="57" t="s">
        <v>38</v>
      </c>
      <c r="D48" s="61" t="s">
        <v>999</v>
      </c>
      <c r="E48" s="11" t="str">
        <f>HYPERLINK("https://youtu.be/mG0CYVeNaUU","channel 2")</f>
        <v>channel 2</v>
      </c>
    </row>
    <row r="49">
      <c r="A49" s="141"/>
      <c r="B49" s="61" t="s">
        <v>4033</v>
      </c>
      <c r="C49" s="57" t="s">
        <v>18</v>
      </c>
      <c r="D49" s="61" t="s">
        <v>4032</v>
      </c>
      <c r="E49" s="158" t="str">
        <f>HYPERLINK("https://youtu.be/xX9T7pBxWFc?t=909","channel 1")</f>
        <v>channel 1</v>
      </c>
    </row>
    <row r="50">
      <c r="A50" s="141"/>
      <c r="B50" s="61" t="s">
        <v>2215</v>
      </c>
      <c r="C50" s="57" t="s">
        <v>158</v>
      </c>
      <c r="D50" s="61" t="s">
        <v>813</v>
      </c>
      <c r="E50" s="11" t="str">
        <f>HYPERLINK("https://youtu.be/mG0CYVeNaUU?t=891","channel 2")</f>
        <v>channel 2</v>
      </c>
    </row>
    <row r="51">
      <c r="A51" s="141"/>
      <c r="B51" s="61" t="s">
        <v>4033</v>
      </c>
      <c r="C51" s="57" t="s">
        <v>194</v>
      </c>
      <c r="D51" s="61" t="s">
        <v>999</v>
      </c>
      <c r="E51" s="158" t="str">
        <f>HYPERLINK("https://youtu.be/xX9T7pBxWFc?t=1844","channel 1")</f>
        <v>channel 1</v>
      </c>
    </row>
    <row r="52">
      <c r="A52" s="141"/>
      <c r="B52" s="61" t="s">
        <v>2215</v>
      </c>
      <c r="C52" s="57" t="s">
        <v>7</v>
      </c>
      <c r="D52" s="61" t="s">
        <v>4032</v>
      </c>
      <c r="E52" s="11" t="str">
        <f>HYPERLINK("https://youtu.be/mG0CYVeNaUU?t=1887","channel 2")</f>
        <v>channel 2</v>
      </c>
    </row>
    <row r="53">
      <c r="A53" s="141"/>
      <c r="B53" s="61" t="s">
        <v>4033</v>
      </c>
      <c r="C53" s="57" t="s">
        <v>19</v>
      </c>
      <c r="D53" s="61" t="s">
        <v>813</v>
      </c>
      <c r="E53" s="158" t="str">
        <f>HYPERLINK("https://youtu.be/xX9T7pBxWFc?t=2772","channel 1")</f>
        <v>channel 1</v>
      </c>
    </row>
    <row r="54">
      <c r="A54" s="141"/>
      <c r="B54" s="61" t="s">
        <v>999</v>
      </c>
      <c r="C54" s="57" t="s">
        <v>227</v>
      </c>
      <c r="D54" s="61" t="s">
        <v>4032</v>
      </c>
      <c r="E54" s="11" t="str">
        <f>HYPERLINK("https://youtu.be/mG0CYVeNaUU?t=2936","channel 2")</f>
        <v>channel 2</v>
      </c>
    </row>
    <row r="55">
      <c r="A55" s="141"/>
      <c r="B55" s="61" t="s">
        <v>4033</v>
      </c>
      <c r="C55" s="57" t="s">
        <v>344</v>
      </c>
      <c r="D55" s="61" t="s">
        <v>2215</v>
      </c>
      <c r="E55" s="158" t="str">
        <f>HYPERLINK("https://youtu.be/xX9T7pBxWFc?t=3779","channel 1")</f>
        <v>channel 1</v>
      </c>
    </row>
    <row r="56">
      <c r="A56" s="141"/>
      <c r="B56" s="61" t="s">
        <v>999</v>
      </c>
      <c r="C56" s="57" t="s">
        <v>181</v>
      </c>
      <c r="D56" s="61" t="s">
        <v>813</v>
      </c>
      <c r="E56" s="11" t="str">
        <f>HYPERLINK("https://youtu.be/mG0CYVeNaUU?t=3991","channel 2")</f>
        <v>channel 2</v>
      </c>
    </row>
    <row r="57">
      <c r="A57" s="141"/>
      <c r="B57" s="61" t="s">
        <v>813</v>
      </c>
      <c r="C57" s="57" t="s">
        <v>155</v>
      </c>
      <c r="D57" s="61" t="s">
        <v>4032</v>
      </c>
      <c r="E57" s="158" t="str">
        <f>HYPERLINK("https://youtu.be/xX9T7pBxWFc?t=4752","channel 1")</f>
        <v>channel 1</v>
      </c>
    </row>
    <row r="58">
      <c r="A58" s="141"/>
      <c r="B58" s="61" t="s">
        <v>999</v>
      </c>
      <c r="C58" s="57" t="s">
        <v>155</v>
      </c>
      <c r="D58" s="61" t="s">
        <v>2215</v>
      </c>
      <c r="E58" s="11" t="str">
        <f>HYPERLINK("https://youtu.be/mG0CYVeNaUU?t=4871","channel 2")</f>
        <v>channel 2</v>
      </c>
    </row>
    <row r="59">
      <c r="A59" s="141"/>
      <c r="B59" s="61" t="s">
        <v>4032</v>
      </c>
      <c r="C59" s="57" t="s">
        <v>357</v>
      </c>
      <c r="D59" s="61" t="s">
        <v>4033</v>
      </c>
      <c r="E59" s="158" t="str">
        <f>HYPERLINK("https://youtu.be/xX9T7pBxWFc?t=5792","channel 1")</f>
        <v>channel 1</v>
      </c>
    </row>
    <row r="60">
      <c r="A60" s="141"/>
      <c r="B60" s="61" t="s">
        <v>813</v>
      </c>
      <c r="C60" s="57" t="s">
        <v>155</v>
      </c>
      <c r="D60" s="61" t="s">
        <v>2215</v>
      </c>
      <c r="E60" s="11" t="str">
        <f>HYPERLINK("https://youtu.be/mG0CYVeNaUU?t=5962","channel 2")</f>
        <v>channel 2</v>
      </c>
    </row>
    <row r="61">
      <c r="A61" s="141"/>
      <c r="B61" s="61" t="s">
        <v>999</v>
      </c>
      <c r="C61" s="57" t="s">
        <v>352</v>
      </c>
      <c r="D61" s="61" t="s">
        <v>4033</v>
      </c>
      <c r="E61" s="158" t="str">
        <f>HYPERLINK("https://youtu.be/xX9T7pBxWFc?t=6932","channel 1")</f>
        <v>channel 1</v>
      </c>
    </row>
    <row r="62">
      <c r="A62" s="141"/>
      <c r="B62" s="61" t="s">
        <v>4032</v>
      </c>
      <c r="C62" s="57" t="s">
        <v>41</v>
      </c>
      <c r="D62" s="61" t="s">
        <v>2215</v>
      </c>
      <c r="E62" s="11" t="str">
        <f>HYPERLINK("https://youtu.be/mG0CYVeNaUU?t=6933","channel 2")</f>
        <v>channel 2</v>
      </c>
    </row>
    <row r="63">
      <c r="A63" s="141"/>
      <c r="B63" s="61" t="s">
        <v>813</v>
      </c>
      <c r="C63" s="57" t="s">
        <v>155</v>
      </c>
      <c r="D63" s="61" t="s">
        <v>4033</v>
      </c>
      <c r="E63" s="158" t="str">
        <f>HYPERLINK("https://youtu.be/xX9T7pBxWFc?t=7877","channel 1")</f>
        <v>channel 1</v>
      </c>
    </row>
    <row r="64">
      <c r="A64" s="141"/>
      <c r="B64" s="61" t="s">
        <v>4032</v>
      </c>
      <c r="C64" s="57" t="s">
        <v>1153</v>
      </c>
      <c r="D64" s="61" t="s">
        <v>999</v>
      </c>
      <c r="E64" s="11" t="str">
        <f>HYPERLINK("https://youtu.be/mG0CYVeNaUU?t=8124","channel 2")</f>
        <v>channel 2</v>
      </c>
    </row>
    <row r="65">
      <c r="A65" s="141"/>
      <c r="B65" s="61" t="s">
        <v>2215</v>
      </c>
      <c r="C65" s="57" t="s">
        <v>194</v>
      </c>
      <c r="D65" s="61" t="s">
        <v>4033</v>
      </c>
      <c r="E65" s="158" t="str">
        <f>HYPERLINK("https://youtu.be/xX9T7pBxWFc?t=8876","channel 1")</f>
        <v>channel 1</v>
      </c>
    </row>
    <row r="66">
      <c r="A66" s="141"/>
      <c r="B66" s="61" t="s">
        <v>813</v>
      </c>
      <c r="C66" s="57" t="s">
        <v>219</v>
      </c>
      <c r="D66" s="61" t="s">
        <v>999</v>
      </c>
      <c r="E66" s="11" t="str">
        <f>HYPERLINK("https://youtu.be/mG0CYVeNaUU?t=9010","channel 2")</f>
        <v>channel 2</v>
      </c>
    </row>
    <row r="67">
      <c r="A67" s="141"/>
      <c r="B67" s="1" t="s">
        <v>1560</v>
      </c>
      <c r="C67" s="2"/>
      <c r="D67" s="3"/>
      <c r="E67" s="161"/>
    </row>
    <row r="68">
      <c r="A68" s="141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41"/>
      <c r="B69" s="61" t="s">
        <v>4034</v>
      </c>
      <c r="C69" s="57" t="s">
        <v>376</v>
      </c>
      <c r="D69" s="61" t="s">
        <v>10</v>
      </c>
      <c r="E69" s="158" t="str">
        <f>HYPERLINK("https://youtu.be/fCXjGGCSmD8","channel 1")</f>
        <v>channel 1</v>
      </c>
    </row>
    <row r="70">
      <c r="A70" s="141"/>
      <c r="B70" s="61" t="s">
        <v>1906</v>
      </c>
      <c r="C70" s="57" t="s">
        <v>4001</v>
      </c>
      <c r="D70" s="61" t="s">
        <v>1847</v>
      </c>
      <c r="E70" s="11" t="str">
        <f>HYPERLINK("https://youtu.be/uUr-jDvd8hQ","channel 2")</f>
        <v>channel 2</v>
      </c>
    </row>
    <row r="71">
      <c r="A71" s="141"/>
      <c r="B71" s="61" t="s">
        <v>4035</v>
      </c>
      <c r="C71" s="57" t="s">
        <v>193</v>
      </c>
      <c r="D71" s="61" t="s">
        <v>4034</v>
      </c>
      <c r="E71" s="158" t="str">
        <f>HYPERLINK("https://youtu.be/fCXjGGCSmD8?t=1041","channel 1")</f>
        <v>channel 1</v>
      </c>
    </row>
    <row r="72">
      <c r="A72" s="141"/>
      <c r="B72" s="61" t="s">
        <v>1906</v>
      </c>
      <c r="C72" s="57" t="s">
        <v>182</v>
      </c>
      <c r="D72" s="61" t="s">
        <v>10</v>
      </c>
      <c r="E72" s="11" t="str">
        <f>HYPERLINK("https://youtu.be/uUr-jDvd8hQ?t=873","channel 2")</f>
        <v>channel 2</v>
      </c>
    </row>
    <row r="73">
      <c r="A73" s="141"/>
      <c r="B73" s="61" t="s">
        <v>4035</v>
      </c>
      <c r="C73" s="57" t="s">
        <v>195</v>
      </c>
      <c r="D73" s="61" t="s">
        <v>1847</v>
      </c>
      <c r="E73" s="158" t="str">
        <f>HYPERLINK("https://youtu.be/fCXjGGCSmD8?t=2030","channel 1")</f>
        <v>channel 1</v>
      </c>
    </row>
    <row r="74">
      <c r="A74" s="141"/>
      <c r="B74" s="61" t="s">
        <v>1906</v>
      </c>
      <c r="C74" s="57" t="s">
        <v>181</v>
      </c>
      <c r="D74" s="61" t="s">
        <v>4034</v>
      </c>
      <c r="E74" s="11" t="str">
        <f>HYPERLINK("https://youtu.be/uUr-jDvd8hQ?t=1791","channel 2")</f>
        <v>channel 2</v>
      </c>
    </row>
    <row r="75">
      <c r="A75" s="141"/>
      <c r="B75" s="61" t="s">
        <v>4035</v>
      </c>
      <c r="C75" s="57" t="s">
        <v>193</v>
      </c>
      <c r="D75" s="61" t="s">
        <v>10</v>
      </c>
      <c r="E75" s="158" t="str">
        <f>HYPERLINK("https://youtu.be/fCXjGGCSmD8?t=3000","channel 1")</f>
        <v>channel 1</v>
      </c>
    </row>
    <row r="76">
      <c r="A76" s="141"/>
      <c r="B76" s="61" t="s">
        <v>1847</v>
      </c>
      <c r="C76" s="57" t="s">
        <v>256</v>
      </c>
      <c r="D76" s="61" t="s">
        <v>4034</v>
      </c>
      <c r="E76" s="11" t="str">
        <f>HYPERLINK("https://youtu.be/uUr-jDvd8hQ?t=2704","channel 2")</f>
        <v>channel 2</v>
      </c>
    </row>
    <row r="77">
      <c r="A77" s="141"/>
      <c r="B77" s="61" t="s">
        <v>4035</v>
      </c>
      <c r="C77" s="57" t="s">
        <v>290</v>
      </c>
      <c r="D77" s="61" t="s">
        <v>1906</v>
      </c>
      <c r="E77" s="158" t="str">
        <f>HYPERLINK("https://youtu.be/fCXjGGCSmD8?t=3929","channel 1")</f>
        <v>channel 1</v>
      </c>
    </row>
    <row r="78">
      <c r="A78" s="141"/>
      <c r="B78" s="61" t="s">
        <v>1847</v>
      </c>
      <c r="C78" s="57" t="s">
        <v>162</v>
      </c>
      <c r="D78" s="61" t="s">
        <v>10</v>
      </c>
      <c r="E78" s="11" t="str">
        <f>HYPERLINK("https://youtu.be/uUr-jDvd8hQ?t=3722","channel 2")</f>
        <v>channel 2</v>
      </c>
    </row>
    <row r="79">
      <c r="A79" s="141"/>
      <c r="B79" s="61" t="s">
        <v>10</v>
      </c>
      <c r="C79" s="57" t="s">
        <v>352</v>
      </c>
      <c r="D79" s="61" t="s">
        <v>4034</v>
      </c>
      <c r="E79" s="158" t="str">
        <f>HYPERLINK("https://youtu.be/fCXjGGCSmD8?t=4909","channel 1")</f>
        <v>channel 1</v>
      </c>
    </row>
    <row r="80">
      <c r="A80" s="141"/>
      <c r="B80" s="61" t="s">
        <v>1847</v>
      </c>
      <c r="C80" s="57" t="s">
        <v>344</v>
      </c>
      <c r="D80" s="61" t="s">
        <v>1906</v>
      </c>
      <c r="E80" s="11" t="str">
        <f>HYPERLINK("https://youtu.be/uUr-jDvd8hQ?t=4774","channel 2")</f>
        <v>channel 2</v>
      </c>
    </row>
    <row r="81">
      <c r="A81" s="141"/>
      <c r="B81" s="61" t="s">
        <v>4034</v>
      </c>
      <c r="C81" s="57" t="s">
        <v>20</v>
      </c>
      <c r="D81" s="61" t="s">
        <v>4035</v>
      </c>
      <c r="E81" s="158" t="str">
        <f>HYPERLINK("https://youtu.be/fCXjGGCSmD8?t=5924","channel 1")</f>
        <v>channel 1</v>
      </c>
    </row>
    <row r="82">
      <c r="A82" s="141"/>
      <c r="B82" s="61" t="s">
        <v>10</v>
      </c>
      <c r="C82" s="57" t="s">
        <v>161</v>
      </c>
      <c r="D82" s="61" t="s">
        <v>1906</v>
      </c>
      <c r="E82" s="11" t="str">
        <f>HYPERLINK("https://youtu.be/uUr-jDvd8hQ?t=5642","channel 2")</f>
        <v>channel 2</v>
      </c>
    </row>
    <row r="83">
      <c r="A83" s="141"/>
      <c r="B83" s="61" t="s">
        <v>1847</v>
      </c>
      <c r="C83" s="57" t="s">
        <v>193</v>
      </c>
      <c r="D83" s="61" t="s">
        <v>4035</v>
      </c>
      <c r="E83" s="158" t="str">
        <f>HYPERLINK("https://youtu.be/fCXjGGCSmD8?t=6847","channel 1")</f>
        <v>channel 1</v>
      </c>
    </row>
    <row r="84">
      <c r="A84" s="141"/>
      <c r="B84" s="61" t="s">
        <v>4034</v>
      </c>
      <c r="C84" s="57" t="s">
        <v>158</v>
      </c>
      <c r="D84" s="61" t="s">
        <v>1906</v>
      </c>
      <c r="E84" s="11" t="str">
        <f>HYPERLINK("https://youtu.be/uUr-jDvd8hQ?t=6719","channel 2")</f>
        <v>channel 2</v>
      </c>
    </row>
    <row r="85">
      <c r="A85" s="141"/>
      <c r="B85" s="61" t="s">
        <v>10</v>
      </c>
      <c r="C85" s="57" t="s">
        <v>219</v>
      </c>
      <c r="D85" s="61" t="s">
        <v>4035</v>
      </c>
      <c r="E85" s="158" t="str">
        <f>HYPERLINK("https://youtu.be/fCXjGGCSmD8?t=7749","channel 1")</f>
        <v>channel 1</v>
      </c>
    </row>
    <row r="86">
      <c r="A86" s="141"/>
      <c r="B86" s="61" t="s">
        <v>4034</v>
      </c>
      <c r="C86" s="57" t="s">
        <v>41</v>
      </c>
      <c r="D86" s="61" t="s">
        <v>1847</v>
      </c>
      <c r="E86" s="11" t="str">
        <f>HYPERLINK("https://youtu.be/uUr-jDvd8hQ?t=7712","channel 2")</f>
        <v>channel 2</v>
      </c>
    </row>
    <row r="87">
      <c r="A87" s="141"/>
      <c r="B87" s="61" t="s">
        <v>1906</v>
      </c>
      <c r="C87" s="57" t="s">
        <v>1550</v>
      </c>
      <c r="D87" s="61" t="s">
        <v>4035</v>
      </c>
      <c r="E87" s="158" t="str">
        <f>HYPERLINK("https://youtu.be/fCXjGGCSmD8?t=8625","channel 1")</f>
        <v>channel 1</v>
      </c>
    </row>
    <row r="88">
      <c r="A88" s="141"/>
      <c r="B88" s="61" t="s">
        <v>10</v>
      </c>
      <c r="C88" s="57" t="s">
        <v>23</v>
      </c>
      <c r="D88" s="61" t="s">
        <v>1847</v>
      </c>
      <c r="E88" s="11" t="str">
        <f>HYPERLINK("https://youtu.be/uUr-jDvd8hQ?t=8570","channel 2")</f>
        <v>channel 2</v>
      </c>
    </row>
    <row r="89">
      <c r="A89" s="141"/>
      <c r="B89" s="96" t="s">
        <v>3576</v>
      </c>
      <c r="C89" s="2"/>
      <c r="D89" s="3"/>
      <c r="E89" s="161"/>
    </row>
    <row r="90">
      <c r="A90" s="141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41"/>
      <c r="B91" s="61" t="s">
        <v>3309</v>
      </c>
      <c r="C91" s="57" t="s">
        <v>279</v>
      </c>
      <c r="D91" s="61" t="s">
        <v>3789</v>
      </c>
      <c r="E91" s="158" t="str">
        <f>HYPERLINK("https://youtu.be/dkF3qG1_U7w","channel 1")</f>
        <v>channel 1</v>
      </c>
    </row>
    <row r="92">
      <c r="A92" s="141"/>
      <c r="B92" s="61" t="s">
        <v>2800</v>
      </c>
      <c r="C92" s="57" t="s">
        <v>426</v>
      </c>
      <c r="D92" s="61" t="s">
        <v>1578</v>
      </c>
      <c r="E92" s="11" t="str">
        <f>HYPERLINK("https://youtu.be/vizBeLpHSwQ","channel 2")</f>
        <v>channel 2</v>
      </c>
    </row>
    <row r="93">
      <c r="A93" s="141"/>
      <c r="B93" s="61" t="s">
        <v>1623</v>
      </c>
      <c r="C93" s="57" t="s">
        <v>762</v>
      </c>
      <c r="D93" s="61" t="s">
        <v>3309</v>
      </c>
      <c r="E93" s="158" t="str">
        <f>HYPERLINK("https://youtu.be/dkF3qG1_U7w?t=1056","channel 1")</f>
        <v>channel 1</v>
      </c>
    </row>
    <row r="94">
      <c r="A94" s="141"/>
      <c r="B94" s="61" t="s">
        <v>2800</v>
      </c>
      <c r="C94" s="57" t="s">
        <v>14</v>
      </c>
      <c r="D94" s="61" t="s">
        <v>3789</v>
      </c>
      <c r="E94" s="11" t="str">
        <f>HYPERLINK("https://youtu.be/vizBeLpHSwQ?t=955","channel 2")</f>
        <v>channel 2</v>
      </c>
    </row>
    <row r="95">
      <c r="A95" s="141"/>
      <c r="B95" s="61" t="s">
        <v>1623</v>
      </c>
      <c r="C95" s="57" t="s">
        <v>20</v>
      </c>
      <c r="D95" s="61" t="s">
        <v>1578</v>
      </c>
      <c r="E95" s="158" t="str">
        <f>HYPERLINK("https://youtu.be/dkF3qG1_U7w?t=1941","channel 1")</f>
        <v>channel 1</v>
      </c>
    </row>
    <row r="96">
      <c r="A96" s="141"/>
      <c r="B96" s="61" t="s">
        <v>2800</v>
      </c>
      <c r="C96" s="57" t="s">
        <v>163</v>
      </c>
      <c r="D96" s="61" t="s">
        <v>3309</v>
      </c>
      <c r="E96" s="11" t="str">
        <f>HYPERLINK("https://youtu.be/vizBeLpHSwQ?t=1893","channel 2")</f>
        <v>channel 2</v>
      </c>
    </row>
    <row r="97">
      <c r="A97" s="141"/>
      <c r="B97" s="61" t="s">
        <v>1623</v>
      </c>
      <c r="C97" s="57" t="s">
        <v>43</v>
      </c>
      <c r="D97" s="61" t="s">
        <v>3789</v>
      </c>
      <c r="E97" s="158" t="str">
        <f>HYPERLINK("https://youtu.be/dkF3qG1_U7w?t=2845","channel 1")</f>
        <v>channel 1</v>
      </c>
    </row>
    <row r="98">
      <c r="A98" s="141"/>
      <c r="B98" s="61" t="s">
        <v>1578</v>
      </c>
      <c r="C98" s="57" t="s">
        <v>195</v>
      </c>
      <c r="D98" s="61" t="s">
        <v>3309</v>
      </c>
      <c r="E98" s="11" t="str">
        <f>HYPERLINK("https://youtu.be/vizBeLpHSwQ?t=2763","channel 2")</f>
        <v>channel 2</v>
      </c>
    </row>
    <row r="99">
      <c r="A99" s="141"/>
      <c r="B99" s="61" t="s">
        <v>1623</v>
      </c>
      <c r="C99" s="57" t="s">
        <v>193</v>
      </c>
      <c r="D99" s="61" t="s">
        <v>2800</v>
      </c>
      <c r="E99" s="158" t="str">
        <f>HYPERLINK("https://youtu.be/dkF3qG1_U7w?t=3737","channel 1")</f>
        <v>channel 1</v>
      </c>
    </row>
    <row r="100">
      <c r="A100" s="141"/>
      <c r="B100" s="61" t="s">
        <v>1578</v>
      </c>
      <c r="C100" s="57" t="s">
        <v>193</v>
      </c>
      <c r="D100" s="61" t="s">
        <v>3789</v>
      </c>
      <c r="E100" s="11" t="str">
        <f>HYPERLINK("https://youtu.be/vizBeLpHSwQ?t=3635","channel 2")</f>
        <v>channel 2</v>
      </c>
    </row>
    <row r="101">
      <c r="A101" s="141"/>
      <c r="B101" s="61" t="s">
        <v>3789</v>
      </c>
      <c r="C101" s="57" t="s">
        <v>23</v>
      </c>
      <c r="D101" s="61" t="s">
        <v>3309</v>
      </c>
      <c r="E101" s="158" t="str">
        <f>HYPERLINK("https://youtu.be/dkF3qG1_U7w?t=4666","channel 1")</f>
        <v>channel 1</v>
      </c>
    </row>
    <row r="102">
      <c r="A102" s="141"/>
      <c r="B102" s="61" t="s">
        <v>1578</v>
      </c>
      <c r="C102" s="57" t="s">
        <v>268</v>
      </c>
      <c r="D102" s="61" t="s">
        <v>2800</v>
      </c>
      <c r="E102" s="11" t="str">
        <f>HYPERLINK("https://youtu.be/vizBeLpHSwQ?t=4594","channel 2")</f>
        <v>channel 2</v>
      </c>
    </row>
    <row r="103">
      <c r="A103" s="141"/>
      <c r="B103" s="61" t="s">
        <v>3309</v>
      </c>
      <c r="C103" s="57" t="s">
        <v>357</v>
      </c>
      <c r="D103" s="61" t="s">
        <v>1623</v>
      </c>
      <c r="E103" s="158" t="str">
        <f>HYPERLINK("https://youtu.be/dkF3qG1_U7w?t=5533","channel 1")</f>
        <v>channel 1</v>
      </c>
    </row>
    <row r="104">
      <c r="A104" s="141"/>
      <c r="B104" s="61" t="s">
        <v>3789</v>
      </c>
      <c r="C104" s="57" t="s">
        <v>278</v>
      </c>
      <c r="D104" s="61" t="s">
        <v>2800</v>
      </c>
      <c r="E104" s="11" t="str">
        <f>HYPERLINK("https://youtu.be/vizBeLpHSwQ?t=5504","channel 2")</f>
        <v>channel 2</v>
      </c>
    </row>
    <row r="105">
      <c r="A105" s="141"/>
      <c r="B105" s="61" t="s">
        <v>1578</v>
      </c>
      <c r="C105" s="57" t="s">
        <v>24</v>
      </c>
      <c r="D105" s="61" t="s">
        <v>1623</v>
      </c>
      <c r="E105" s="158" t="str">
        <f>HYPERLINK("https://youtu.be/dkF3qG1_U7w?t=6377","channel 1")</f>
        <v>channel 1</v>
      </c>
    </row>
    <row r="106">
      <c r="A106" s="141"/>
      <c r="B106" s="61" t="s">
        <v>3309</v>
      </c>
      <c r="C106" s="57" t="s">
        <v>545</v>
      </c>
      <c r="D106" s="61" t="s">
        <v>2800</v>
      </c>
      <c r="E106" s="11" t="str">
        <f>HYPERLINK("https://youtu.be/vizBeLpHSwQ?t=6363","channel 2")</f>
        <v>channel 2</v>
      </c>
    </row>
    <row r="107">
      <c r="A107" s="141"/>
      <c r="B107" s="61" t="s">
        <v>3789</v>
      </c>
      <c r="C107" s="57" t="s">
        <v>7</v>
      </c>
      <c r="D107" s="61" t="s">
        <v>1623</v>
      </c>
      <c r="E107" s="158" t="str">
        <f>HYPERLINK("https://youtu.be/dkF3qG1_U7w?t=7353","channel 1")</f>
        <v>channel 1</v>
      </c>
    </row>
    <row r="108">
      <c r="A108" s="141"/>
      <c r="B108" s="61" t="s">
        <v>3309</v>
      </c>
      <c r="C108" s="57" t="s">
        <v>2264</v>
      </c>
      <c r="D108" s="61" t="s">
        <v>1578</v>
      </c>
      <c r="E108" s="11" t="str">
        <f>HYPERLINK("https://youtu.be/vizBeLpHSwQ?t=7314","channel 2")</f>
        <v>channel 2</v>
      </c>
    </row>
    <row r="109">
      <c r="A109" s="141"/>
      <c r="B109" s="61" t="s">
        <v>2800</v>
      </c>
      <c r="C109" s="57" t="s">
        <v>863</v>
      </c>
      <c r="D109" s="61" t="s">
        <v>1623</v>
      </c>
      <c r="E109" s="158" t="str">
        <f>HYPERLINK("https://youtu.be/dkF3qG1_U7w?t=8281","channel 1")</f>
        <v>channel 1</v>
      </c>
    </row>
    <row r="110">
      <c r="A110" s="141"/>
      <c r="B110" s="61" t="s">
        <v>3789</v>
      </c>
      <c r="C110" s="57" t="s">
        <v>155</v>
      </c>
      <c r="D110" s="61" t="s">
        <v>1578</v>
      </c>
      <c r="E110" s="11" t="str">
        <f>HYPERLINK("https://youtu.be/vizBeLpHSwQ?t=8208","channel 2")</f>
        <v>channel 2</v>
      </c>
    </row>
    <row r="111">
      <c r="A111" s="141"/>
      <c r="B111" s="1" t="s">
        <v>2304</v>
      </c>
      <c r="C111" s="2"/>
      <c r="D111" s="3"/>
      <c r="E111" s="161"/>
    </row>
    <row r="112">
      <c r="A112" s="141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41"/>
      <c r="B113" s="61" t="s">
        <v>3370</v>
      </c>
      <c r="C113" s="57" t="s">
        <v>181</v>
      </c>
      <c r="D113" s="61" t="s">
        <v>4036</v>
      </c>
      <c r="E113" s="158" t="str">
        <f>HYPERLINK("https://youtu.be/ejaAyX4k5oQ","channel 1")</f>
        <v>channel 1</v>
      </c>
    </row>
    <row r="114">
      <c r="A114" s="141"/>
      <c r="B114" s="61" t="s">
        <v>3544</v>
      </c>
      <c r="C114" s="57" t="s">
        <v>196</v>
      </c>
      <c r="D114" s="61" t="s">
        <v>4037</v>
      </c>
      <c r="E114" s="11" t="str">
        <f>HYPERLINK("https://youtu.be/RjIVK1mbSxc","channel 2")</f>
        <v>channel 2</v>
      </c>
    </row>
    <row r="115">
      <c r="A115" s="141"/>
      <c r="B115" s="61" t="s">
        <v>104</v>
      </c>
      <c r="C115" s="57" t="s">
        <v>19</v>
      </c>
      <c r="D115" s="61" t="s">
        <v>3370</v>
      </c>
      <c r="E115" s="158" t="str">
        <f>HYPERLINK("https://youtu.be/ejaAyX4k5oQ?t=953","channel 1")</f>
        <v>channel 1</v>
      </c>
    </row>
    <row r="116">
      <c r="A116" s="141"/>
      <c r="B116" s="61" t="s">
        <v>3544</v>
      </c>
      <c r="C116" s="57" t="s">
        <v>198</v>
      </c>
      <c r="D116" s="61" t="s">
        <v>4036</v>
      </c>
      <c r="E116" s="11" t="str">
        <f>HYPERLINK("https://youtu.be/RjIVK1mbSxc?t=944","channel 2")</f>
        <v>channel 2</v>
      </c>
    </row>
    <row r="117">
      <c r="A117" s="141"/>
      <c r="B117" s="61" t="s">
        <v>104</v>
      </c>
      <c r="C117" s="57" t="s">
        <v>196</v>
      </c>
      <c r="D117" s="61" t="s">
        <v>4037</v>
      </c>
      <c r="E117" s="158" t="str">
        <f>HYPERLINK("https://youtu.be/ejaAyX4k5oQ?t=1850","channel 1")</f>
        <v>channel 1</v>
      </c>
    </row>
    <row r="118">
      <c r="A118" s="141"/>
      <c r="B118" s="61" t="s">
        <v>3544</v>
      </c>
      <c r="C118" s="57" t="s">
        <v>338</v>
      </c>
      <c r="D118" s="61" t="s">
        <v>3370</v>
      </c>
      <c r="E118" s="11" t="str">
        <f>HYPERLINK("https://youtu.be/RjIVK1mbSxc?t=1813","channel 2")</f>
        <v>channel 2</v>
      </c>
    </row>
    <row r="119">
      <c r="A119" s="141"/>
      <c r="B119" s="61" t="s">
        <v>104</v>
      </c>
      <c r="C119" s="57" t="s">
        <v>20</v>
      </c>
      <c r="D119" s="61" t="s">
        <v>4036</v>
      </c>
      <c r="E119" s="158" t="str">
        <f>HYPERLINK("https://youtu.be/ejaAyX4k5oQ?t=2816","channel 1")</f>
        <v>channel 1</v>
      </c>
    </row>
    <row r="120">
      <c r="A120" s="141"/>
      <c r="B120" s="61" t="s">
        <v>4037</v>
      </c>
      <c r="C120" s="57" t="s">
        <v>4038</v>
      </c>
      <c r="D120" s="61" t="s">
        <v>3370</v>
      </c>
      <c r="E120" s="11" t="str">
        <f>HYPERLINK("https://youtu.be/RjIVK1mbSxc?t=2725","channel 2")</f>
        <v>channel 2</v>
      </c>
    </row>
    <row r="121">
      <c r="A121" s="141"/>
      <c r="B121" s="61" t="s">
        <v>104</v>
      </c>
      <c r="C121" s="57" t="s">
        <v>211</v>
      </c>
      <c r="D121" s="61" t="s">
        <v>3544</v>
      </c>
      <c r="E121" s="158" t="str">
        <f>HYPERLINK("https://youtu.be/ejaAyX4k5oQ?t=3747","channel 1")</f>
        <v>channel 1</v>
      </c>
    </row>
    <row r="122">
      <c r="A122" s="141"/>
      <c r="B122" s="61" t="s">
        <v>4037</v>
      </c>
      <c r="C122" s="57" t="s">
        <v>408</v>
      </c>
      <c r="D122" s="61" t="s">
        <v>4036</v>
      </c>
      <c r="E122" s="11" t="str">
        <f>HYPERLINK("https://youtu.be/RjIVK1mbSxc?t=3727","channel 2")</f>
        <v>channel 2</v>
      </c>
    </row>
    <row r="123">
      <c r="A123" s="141"/>
      <c r="B123" s="61" t="s">
        <v>4036</v>
      </c>
      <c r="C123" s="57" t="s">
        <v>23</v>
      </c>
      <c r="D123" s="61" t="s">
        <v>3370</v>
      </c>
      <c r="E123" s="158" t="str">
        <f>HYPERLINK("https://youtu.be/ejaAyX4k5oQ?t=4654","channel 1")</f>
        <v>channel 1</v>
      </c>
    </row>
    <row r="124">
      <c r="A124" s="141"/>
      <c r="B124" s="61" t="s">
        <v>4037</v>
      </c>
      <c r="C124" s="57" t="s">
        <v>158</v>
      </c>
      <c r="D124" s="61" t="s">
        <v>3544</v>
      </c>
      <c r="E124" s="11" t="str">
        <f>HYPERLINK("https://youtu.be/RjIVK1mbSxc?t=4649","channel 2")</f>
        <v>channel 2</v>
      </c>
    </row>
    <row r="125">
      <c r="A125" s="141"/>
      <c r="B125" s="61" t="s">
        <v>3370</v>
      </c>
      <c r="C125" s="57" t="s">
        <v>181</v>
      </c>
      <c r="D125" s="61" t="s">
        <v>104</v>
      </c>
      <c r="E125" s="158" t="str">
        <f>HYPERLINK("https://youtu.be/ejaAyX4k5oQ?t=5573","channel 1")</f>
        <v>channel 1</v>
      </c>
    </row>
    <row r="126">
      <c r="A126" s="141"/>
      <c r="B126" s="61" t="s">
        <v>4036</v>
      </c>
      <c r="C126" s="57" t="s">
        <v>41</v>
      </c>
      <c r="D126" s="61" t="s">
        <v>3544</v>
      </c>
      <c r="E126" s="11" t="str">
        <f>HYPERLINK("https://youtu.be/RjIVK1mbSxc?t=5587","channel 2")</f>
        <v>channel 2</v>
      </c>
    </row>
    <row r="127">
      <c r="A127" s="141"/>
      <c r="B127" s="61" t="s">
        <v>4037</v>
      </c>
      <c r="C127" s="57" t="s">
        <v>291</v>
      </c>
      <c r="D127" s="61" t="s">
        <v>104</v>
      </c>
      <c r="E127" s="158" t="str">
        <f>HYPERLINK("https://youtu.be/ejaAyX4k5oQ?t=6481","channel 1")</f>
        <v>channel 1</v>
      </c>
    </row>
    <row r="128">
      <c r="A128" s="141"/>
      <c r="B128" s="61" t="s">
        <v>3370</v>
      </c>
      <c r="C128" s="57" t="s">
        <v>196</v>
      </c>
      <c r="D128" s="61" t="s">
        <v>3544</v>
      </c>
      <c r="E128" s="11" t="str">
        <f>HYPERLINK("https://youtu.be/RjIVK1mbSxc?t=6486","channel 2")</f>
        <v>channel 2</v>
      </c>
    </row>
    <row r="129">
      <c r="A129" s="141"/>
      <c r="B129" s="61" t="s">
        <v>4036</v>
      </c>
      <c r="C129" s="57" t="s">
        <v>218</v>
      </c>
      <c r="D129" s="61" t="s">
        <v>104</v>
      </c>
      <c r="E129" s="158" t="str">
        <f>HYPERLINK("https://youtu.be/ejaAyX4k5oQ?t=7464","channel 1")</f>
        <v>channel 1</v>
      </c>
    </row>
    <row r="130">
      <c r="A130" s="141"/>
      <c r="B130" s="61" t="s">
        <v>3370</v>
      </c>
      <c r="C130" s="57" t="s">
        <v>7</v>
      </c>
      <c r="D130" s="61" t="s">
        <v>4037</v>
      </c>
      <c r="E130" s="11" t="str">
        <f>HYPERLINK("https://youtu.be/RjIVK1mbSxc?t=7413","channel 2")</f>
        <v>channel 2</v>
      </c>
    </row>
    <row r="131">
      <c r="A131" s="141"/>
      <c r="B131" s="61" t="s">
        <v>3544</v>
      </c>
      <c r="C131" s="57" t="s">
        <v>222</v>
      </c>
      <c r="D131" s="61" t="s">
        <v>104</v>
      </c>
      <c r="E131" s="158" t="str">
        <f>HYPERLINK("https://youtu.be/ejaAyX4k5oQ?t=8374","channel 1")</f>
        <v>channel 1</v>
      </c>
    </row>
    <row r="132">
      <c r="A132" s="145"/>
      <c r="B132" s="61" t="s">
        <v>4036</v>
      </c>
      <c r="C132" s="57" t="s">
        <v>181</v>
      </c>
      <c r="D132" s="61" t="s">
        <v>4037</v>
      </c>
      <c r="E132" s="11" t="str">
        <f>HYPERLINK("https://youtu.be/RjIVK1mbSxc?t=8310","channel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2260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3258</v>
      </c>
      <c r="C3" s="57" t="s">
        <v>193</v>
      </c>
      <c r="D3" s="61" t="s">
        <v>3592</v>
      </c>
      <c r="E3" s="158" t="str">
        <f>HYPERLINK("https://youtu.be/7vUSOgDEvAw","channel 1")</f>
        <v>channel 1</v>
      </c>
    </row>
    <row r="4">
      <c r="A4" s="141"/>
      <c r="B4" s="61" t="s">
        <v>4039</v>
      </c>
      <c r="C4" s="84" t="s">
        <v>42</v>
      </c>
      <c r="D4" s="61" t="s">
        <v>4040</v>
      </c>
      <c r="E4" s="11" t="str">
        <f>HYPERLINK("https://youtu.be/-aSXapAZAr8","channel 2")</f>
        <v>channel 2</v>
      </c>
    </row>
    <row r="5">
      <c r="A5" s="141"/>
      <c r="B5" s="61" t="s">
        <v>3644</v>
      </c>
      <c r="C5" s="57" t="s">
        <v>38</v>
      </c>
      <c r="D5" s="61" t="s">
        <v>3258</v>
      </c>
      <c r="E5" s="158" t="str">
        <f>HYPERLINK("https://youtu.be/7vUSOgDEvAw?t=989","channel 1")</f>
        <v>channel 1</v>
      </c>
    </row>
    <row r="6">
      <c r="A6" s="141"/>
      <c r="B6" s="61" t="s">
        <v>4039</v>
      </c>
      <c r="C6" s="57" t="s">
        <v>161</v>
      </c>
      <c r="D6" s="61" t="s">
        <v>3592</v>
      </c>
      <c r="E6" s="11" t="str">
        <f>HYPERLINK("https://youtu.be/-aSXapAZAr8?t=1000","channel 2")</f>
        <v>channel 2</v>
      </c>
    </row>
    <row r="7">
      <c r="A7" s="141"/>
      <c r="B7" s="61" t="s">
        <v>3644</v>
      </c>
      <c r="C7" s="57" t="s">
        <v>344</v>
      </c>
      <c r="D7" s="61" t="s">
        <v>4040</v>
      </c>
      <c r="E7" s="158" t="str">
        <f>HYPERLINK("https://youtu.be/7vUSOgDEvAw?t=1884","channel 1")</f>
        <v>channel 1</v>
      </c>
    </row>
    <row r="8">
      <c r="A8" s="141"/>
      <c r="B8" s="61" t="s">
        <v>4039</v>
      </c>
      <c r="C8" s="57" t="s">
        <v>18</v>
      </c>
      <c r="D8" s="61" t="s">
        <v>3258</v>
      </c>
      <c r="E8" s="11" t="str">
        <f>HYPERLINK("https://youtu.be/-aSXapAZAr8?t=1927","channel 2")</f>
        <v>channel 2</v>
      </c>
    </row>
    <row r="9">
      <c r="A9" s="141"/>
      <c r="B9" s="61" t="s">
        <v>3644</v>
      </c>
      <c r="C9" s="57" t="s">
        <v>36</v>
      </c>
      <c r="D9" s="61" t="s">
        <v>3592</v>
      </c>
      <c r="E9" s="158" t="str">
        <f>HYPERLINK("https://youtu.be/7vUSOgDEvAw?t=2812","channel 1")</f>
        <v>channel 1</v>
      </c>
    </row>
    <row r="10">
      <c r="A10" s="141"/>
      <c r="B10" s="61" t="s">
        <v>4040</v>
      </c>
      <c r="C10" s="57" t="s">
        <v>464</v>
      </c>
      <c r="D10" s="61" t="s">
        <v>3258</v>
      </c>
      <c r="E10" s="11" t="str">
        <f>HYPERLINK("https://youtu.be/-aSXapAZAr8?t=2732","channel 2")</f>
        <v>channel 2</v>
      </c>
    </row>
    <row r="11">
      <c r="A11" s="141"/>
      <c r="B11" s="61" t="s">
        <v>3644</v>
      </c>
      <c r="C11" s="57" t="s">
        <v>7</v>
      </c>
      <c r="D11" s="61" t="s">
        <v>4039</v>
      </c>
      <c r="E11" s="158" t="str">
        <f>HYPERLINK("https://youtu.be/7vUSOgDEvAw?t=3764","channel 1")</f>
        <v>channel 1</v>
      </c>
    </row>
    <row r="12">
      <c r="A12" s="141"/>
      <c r="B12" s="61" t="s">
        <v>4040</v>
      </c>
      <c r="C12" s="57" t="s">
        <v>4041</v>
      </c>
      <c r="D12" s="61" t="s">
        <v>3592</v>
      </c>
      <c r="E12" s="11" t="str">
        <f>HYPERLINK("https://youtu.be/-aSXapAZAr8?t=3667","channel 2")</f>
        <v>channel 2</v>
      </c>
    </row>
    <row r="13">
      <c r="A13" s="141"/>
      <c r="B13" s="61" t="s">
        <v>3592</v>
      </c>
      <c r="C13" s="57" t="s">
        <v>208</v>
      </c>
      <c r="D13" s="61" t="s">
        <v>3258</v>
      </c>
      <c r="E13" s="158" t="str">
        <f>HYPERLINK("https://youtu.be/7vUSOgDEvAw?t=4702","channel 1")</f>
        <v>channel 1</v>
      </c>
    </row>
    <row r="14">
      <c r="A14" s="141"/>
      <c r="B14" s="61" t="s">
        <v>4040</v>
      </c>
      <c r="C14" s="57" t="s">
        <v>194</v>
      </c>
      <c r="D14" s="61" t="s">
        <v>4039</v>
      </c>
      <c r="E14" s="11" t="str">
        <f>HYPERLINK("https://youtu.be/-aSXapAZAr8?t=4631","channel 2")</f>
        <v>channel 2</v>
      </c>
    </row>
    <row r="15">
      <c r="A15" s="141"/>
      <c r="B15" s="61" t="s">
        <v>3258</v>
      </c>
      <c r="C15" s="57" t="s">
        <v>7</v>
      </c>
      <c r="D15" s="61" t="s">
        <v>3644</v>
      </c>
      <c r="E15" s="158" t="str">
        <f>HYPERLINK("https://youtu.be/7vUSOgDEvAw?t=5613","channel 1")</f>
        <v>channel 1</v>
      </c>
    </row>
    <row r="16">
      <c r="A16" s="141"/>
      <c r="B16" s="61" t="s">
        <v>3592</v>
      </c>
      <c r="C16" s="57" t="s">
        <v>289</v>
      </c>
      <c r="D16" s="61" t="s">
        <v>4039</v>
      </c>
      <c r="E16" s="11" t="str">
        <f>HYPERLINK("https://youtu.be/-aSXapAZAr8?t=5798","channel 2")</f>
        <v>channel 2</v>
      </c>
    </row>
    <row r="17">
      <c r="A17" s="141"/>
      <c r="B17" s="61" t="s">
        <v>4040</v>
      </c>
      <c r="C17" s="57" t="s">
        <v>195</v>
      </c>
      <c r="D17" s="61" t="s">
        <v>3644</v>
      </c>
      <c r="E17" s="158" t="str">
        <f>HYPERLINK("https://youtu.be/7vUSOgDEvAw?t=6852","channel 1")</f>
        <v>channel 1</v>
      </c>
    </row>
    <row r="18">
      <c r="A18" s="141"/>
      <c r="B18" s="61" t="s">
        <v>3258</v>
      </c>
      <c r="C18" s="57" t="s">
        <v>302</v>
      </c>
      <c r="D18" s="61" t="s">
        <v>4039</v>
      </c>
      <c r="E18" s="11" t="str">
        <f>HYPERLINK("https://youtu.be/-aSXapAZAr8?t=6816","channel 2")</f>
        <v>channel 2</v>
      </c>
    </row>
    <row r="19">
      <c r="A19" s="141"/>
      <c r="B19" s="61" t="s">
        <v>3592</v>
      </c>
      <c r="C19" s="57" t="s">
        <v>222</v>
      </c>
      <c r="D19" s="61" t="s">
        <v>3644</v>
      </c>
      <c r="E19" s="158" t="str">
        <f>HYPERLINK("https://youtu.be/7vUSOgDEvAw?t=7763","channel 1")</f>
        <v>channel 1</v>
      </c>
    </row>
    <row r="20">
      <c r="A20" s="141"/>
      <c r="B20" s="61" t="s">
        <v>3258</v>
      </c>
      <c r="C20" s="57" t="s">
        <v>354</v>
      </c>
      <c r="D20" s="61" t="s">
        <v>4040</v>
      </c>
      <c r="E20" s="11" t="str">
        <f>HYPERLINK("https://youtu.be/-aSXapAZAr8?t=7724","channel 2")</f>
        <v>channel 2</v>
      </c>
    </row>
    <row r="21">
      <c r="A21" s="141"/>
      <c r="B21" s="61" t="s">
        <v>4039</v>
      </c>
      <c r="C21" s="57" t="s">
        <v>16</v>
      </c>
      <c r="D21" s="61" t="s">
        <v>3644</v>
      </c>
      <c r="E21" s="158" t="str">
        <f>HYPERLINK("https://youtu.be/7vUSOgDEvAw?t=8733","channel 1")</f>
        <v>channel 1</v>
      </c>
    </row>
    <row r="22">
      <c r="A22" s="141"/>
      <c r="B22" s="61" t="s">
        <v>3592</v>
      </c>
      <c r="C22" s="57" t="s">
        <v>4042</v>
      </c>
      <c r="D22" s="61" t="s">
        <v>4040</v>
      </c>
      <c r="E22" s="11" t="str">
        <f>HYPERLINK("https://youtu.be/-aSXapAZAr8?t=8623","channel 2")</f>
        <v>channel 2</v>
      </c>
    </row>
    <row r="23">
      <c r="A23" s="141"/>
      <c r="B23" s="96" t="s">
        <v>3229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2943</v>
      </c>
      <c r="C25" s="57" t="s">
        <v>292</v>
      </c>
      <c r="D25" s="61" t="s">
        <v>3232</v>
      </c>
      <c r="E25" s="158" t="str">
        <f>HYPERLINK("https://youtu.be/vqdbdpVe2EQ","channel 1")</f>
        <v>channel 1</v>
      </c>
    </row>
    <row r="26">
      <c r="A26" s="141"/>
      <c r="B26" s="61" t="s">
        <v>4043</v>
      </c>
      <c r="C26" s="57" t="s">
        <v>354</v>
      </c>
      <c r="D26" s="61" t="s">
        <v>4044</v>
      </c>
      <c r="E26" s="11" t="str">
        <f>HYPERLINK("https://youtu.be/8qEh9V-ZpfA","channel 2")</f>
        <v>channel 2</v>
      </c>
    </row>
    <row r="27">
      <c r="A27" s="141"/>
      <c r="B27" s="61" t="s">
        <v>4045</v>
      </c>
      <c r="C27" s="57" t="s">
        <v>158</v>
      </c>
      <c r="D27" s="61" t="s">
        <v>2943</v>
      </c>
      <c r="E27" s="158" t="str">
        <f>HYPERLINK("https://youtu.be/vqdbdpVe2EQ?t=895","channel 1")</f>
        <v>channel 1</v>
      </c>
    </row>
    <row r="28">
      <c r="A28" s="141"/>
      <c r="B28" s="61" t="s">
        <v>4043</v>
      </c>
      <c r="C28" s="57" t="s">
        <v>218</v>
      </c>
      <c r="D28" s="61" t="s">
        <v>3232</v>
      </c>
      <c r="E28" s="11" t="str">
        <f>HYPERLINK("https://youtu.be/8qEh9V-ZpfA?t=925","channel 2")</f>
        <v>channel 2</v>
      </c>
    </row>
    <row r="29">
      <c r="A29" s="141"/>
      <c r="B29" s="61" t="s">
        <v>4045</v>
      </c>
      <c r="C29" s="57" t="s">
        <v>225</v>
      </c>
      <c r="D29" s="61" t="s">
        <v>4044</v>
      </c>
      <c r="E29" s="158" t="str">
        <f>HYPERLINK("https://youtu.be/vqdbdpVe2EQ?t=1813","channel 1")</f>
        <v>channel 1</v>
      </c>
    </row>
    <row r="30">
      <c r="A30" s="141"/>
      <c r="B30" s="61" t="s">
        <v>4043</v>
      </c>
      <c r="C30" s="57" t="s">
        <v>271</v>
      </c>
      <c r="D30" s="61" t="s">
        <v>2943</v>
      </c>
      <c r="E30" s="11" t="str">
        <f>HYPERLINK("https://youtu.be/8qEh9V-ZpfA?t=1971","channel 2")</f>
        <v>channel 2</v>
      </c>
    </row>
    <row r="31">
      <c r="A31" s="141"/>
      <c r="B31" s="61" t="s">
        <v>4045</v>
      </c>
      <c r="C31" s="57" t="s">
        <v>324</v>
      </c>
      <c r="D31" s="61" t="s">
        <v>3232</v>
      </c>
      <c r="E31" s="158" t="str">
        <f>HYPERLINK("https://youtu.be/vqdbdpVe2EQ?t=2800","channel 1")</f>
        <v>channel 1</v>
      </c>
    </row>
    <row r="32">
      <c r="A32" s="141"/>
      <c r="B32" s="61" t="s">
        <v>4044</v>
      </c>
      <c r="C32" s="57" t="s">
        <v>177</v>
      </c>
      <c r="D32" s="61" t="s">
        <v>2943</v>
      </c>
      <c r="E32" s="11" t="str">
        <f>HYPERLINK("https://youtu.be/8qEh9V-ZpfA?t=2878","channel 2")</f>
        <v>channel 2</v>
      </c>
    </row>
    <row r="33">
      <c r="A33" s="141"/>
      <c r="B33" s="61" t="s">
        <v>4045</v>
      </c>
      <c r="C33" s="57" t="s">
        <v>43</v>
      </c>
      <c r="D33" s="61" t="s">
        <v>4043</v>
      </c>
      <c r="E33" s="158" t="str">
        <f>HYPERLINK("https://youtu.be/vqdbdpVe2EQ?t=3733","channel 1")</f>
        <v>channel 1</v>
      </c>
    </row>
    <row r="34">
      <c r="A34" s="141"/>
      <c r="B34" s="61" t="s">
        <v>4044</v>
      </c>
      <c r="C34" s="57" t="s">
        <v>265</v>
      </c>
      <c r="D34" s="61" t="s">
        <v>3232</v>
      </c>
      <c r="E34" s="11" t="str">
        <f>HYPERLINK("https://youtu.be/8qEh9V-ZpfA?t=3850","channel 2")</f>
        <v>channel 2</v>
      </c>
    </row>
    <row r="35">
      <c r="A35" s="141"/>
      <c r="B35" s="61" t="s">
        <v>3232</v>
      </c>
      <c r="C35" s="57" t="s">
        <v>203</v>
      </c>
      <c r="D35" s="61" t="s">
        <v>2943</v>
      </c>
      <c r="E35" s="158" t="str">
        <f>HYPERLINK("https://youtu.be/vqdbdpVe2EQ?t=4694","channel 1")</f>
        <v>channel 1</v>
      </c>
    </row>
    <row r="36">
      <c r="A36" s="141"/>
      <c r="B36" s="61" t="s">
        <v>4044</v>
      </c>
      <c r="C36" s="57" t="s">
        <v>22</v>
      </c>
      <c r="D36" s="61" t="s">
        <v>4043</v>
      </c>
      <c r="E36" s="11" t="str">
        <f>HYPERLINK("https://youtu.be/8qEh9V-ZpfA?t=4812","channel 2")</f>
        <v>channel 2</v>
      </c>
    </row>
    <row r="37">
      <c r="A37" s="141"/>
      <c r="B37" s="61" t="s">
        <v>2943</v>
      </c>
      <c r="C37" s="57" t="s">
        <v>164</v>
      </c>
      <c r="D37" s="61" t="s">
        <v>4045</v>
      </c>
      <c r="E37" s="158" t="str">
        <f>HYPERLINK("https://youtu.be/vqdbdpVe2EQ?t=5656","channel 1")</f>
        <v>channel 1</v>
      </c>
    </row>
    <row r="38">
      <c r="A38" s="141"/>
      <c r="B38" s="61" t="s">
        <v>3232</v>
      </c>
      <c r="C38" s="57" t="s">
        <v>426</v>
      </c>
      <c r="D38" s="61" t="s">
        <v>4043</v>
      </c>
      <c r="E38" s="11" t="str">
        <f>HYPERLINK("https://youtu.be/8qEh9V-ZpfA?t=5858","channel 2")</f>
        <v>channel 2</v>
      </c>
    </row>
    <row r="39">
      <c r="A39" s="141"/>
      <c r="B39" s="61" t="s">
        <v>4044</v>
      </c>
      <c r="C39" s="45" t="s">
        <v>342</v>
      </c>
      <c r="D39" s="61" t="s">
        <v>4045</v>
      </c>
      <c r="E39" s="158" t="str">
        <f>HYPERLINK("https://youtu.be/vqdbdpVe2EQ?t=6622","channel 1")</f>
        <v>channel 1</v>
      </c>
    </row>
    <row r="40">
      <c r="A40" s="141"/>
      <c r="B40" s="61" t="s">
        <v>2943</v>
      </c>
      <c r="C40" s="57" t="s">
        <v>2360</v>
      </c>
      <c r="D40" s="61" t="s">
        <v>4043</v>
      </c>
      <c r="E40" s="11" t="str">
        <f>HYPERLINK("https://youtu.be/8qEh9V-ZpfA?t=6783","channel 2")</f>
        <v>channel 2</v>
      </c>
    </row>
    <row r="41">
      <c r="A41" s="141"/>
      <c r="B41" s="61" t="s">
        <v>3232</v>
      </c>
      <c r="C41" s="57" t="s">
        <v>189</v>
      </c>
      <c r="D41" s="61" t="s">
        <v>4045</v>
      </c>
      <c r="E41" s="158" t="str">
        <f>HYPERLINK("https://youtu.be/vqdbdpVe2EQ?t=7569","channel 1")</f>
        <v>channel 1</v>
      </c>
    </row>
    <row r="42">
      <c r="A42" s="141"/>
      <c r="B42" s="61" t="s">
        <v>2943</v>
      </c>
      <c r="C42" s="57" t="s">
        <v>554</v>
      </c>
      <c r="D42" s="61" t="s">
        <v>4044</v>
      </c>
      <c r="E42" s="11" t="str">
        <f>HYPERLINK("https://youtu.be/8qEh9V-ZpfA?t=7700","channel 2")</f>
        <v>channel 2</v>
      </c>
    </row>
    <row r="43">
      <c r="A43" s="141"/>
      <c r="B43" s="61" t="s">
        <v>4043</v>
      </c>
      <c r="C43" s="57" t="s">
        <v>208</v>
      </c>
      <c r="D43" s="61" t="s">
        <v>4045</v>
      </c>
      <c r="E43" s="158" t="str">
        <f>HYPERLINK("https://youtu.be/vqdbdpVe2EQ?t=8496","channel 1")</f>
        <v>channel 1</v>
      </c>
    </row>
    <row r="44">
      <c r="A44" s="141"/>
      <c r="B44" s="61" t="s">
        <v>3232</v>
      </c>
      <c r="C44" s="57" t="s">
        <v>1363</v>
      </c>
      <c r="D44" s="61" t="s">
        <v>4044</v>
      </c>
      <c r="E44" s="11" t="str">
        <f>HYPERLINK("https://youtu.be/8qEh9V-ZpfA?t=8571","channel 2")</f>
        <v>channel 2</v>
      </c>
    </row>
    <row r="45">
      <c r="A45" s="141"/>
      <c r="B45" s="96" t="s">
        <v>2483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4023</v>
      </c>
      <c r="C47" s="57" t="s">
        <v>442</v>
      </c>
      <c r="D47" s="61" t="s">
        <v>3205</v>
      </c>
      <c r="E47" s="158" t="str">
        <f>HYPERLINK("https://youtu.be/IuK74g5VZyc","channel 1")</f>
        <v>channel 1</v>
      </c>
    </row>
    <row r="48">
      <c r="A48" s="141"/>
      <c r="B48" s="61" t="s">
        <v>4046</v>
      </c>
      <c r="C48" s="57" t="s">
        <v>162</v>
      </c>
      <c r="D48" s="61" t="s">
        <v>4047</v>
      </c>
      <c r="E48" s="11" t="str">
        <f>HYPERLINK("https://youtu.be/kvIc4t8qgxE","channel 2")</f>
        <v>channel 2</v>
      </c>
    </row>
    <row r="49">
      <c r="A49" s="141"/>
      <c r="B49" s="61" t="s">
        <v>3629</v>
      </c>
      <c r="C49" s="57" t="s">
        <v>37</v>
      </c>
      <c r="D49" s="61" t="s">
        <v>4023</v>
      </c>
      <c r="E49" s="158" t="str">
        <f>HYPERLINK("https://youtu.be/IuK74g5VZyc?t=912","channel 1")</f>
        <v>channel 1</v>
      </c>
    </row>
    <row r="50">
      <c r="A50" s="141"/>
      <c r="B50" s="61" t="s">
        <v>4046</v>
      </c>
      <c r="C50" s="57" t="s">
        <v>426</v>
      </c>
      <c r="D50" s="61" t="s">
        <v>3205</v>
      </c>
      <c r="E50" s="11" t="str">
        <f>HYPERLINK("https://youtu.be/kvIc4t8qgxE?t=936","channel 2")</f>
        <v>channel 2</v>
      </c>
    </row>
    <row r="51">
      <c r="A51" s="141"/>
      <c r="B51" s="61" t="s">
        <v>3629</v>
      </c>
      <c r="C51" s="57" t="s">
        <v>433</v>
      </c>
      <c r="D51" s="61" t="s">
        <v>4047</v>
      </c>
      <c r="E51" s="158" t="str">
        <f>HYPERLINK("https://youtu.be/IuK74g5VZyc?t=1858","channel 1")</f>
        <v>channel 1</v>
      </c>
    </row>
    <row r="52">
      <c r="A52" s="141"/>
      <c r="B52" s="61" t="s">
        <v>4046</v>
      </c>
      <c r="C52" s="57" t="s">
        <v>161</v>
      </c>
      <c r="D52" s="61" t="s">
        <v>4023</v>
      </c>
      <c r="E52" s="11" t="str">
        <f>HYPERLINK("https://youtu.be/kvIc4t8qgxE?t=1819","channel 2")</f>
        <v>channel 2</v>
      </c>
    </row>
    <row r="53">
      <c r="A53" s="141"/>
      <c r="B53" s="61" t="s">
        <v>3629</v>
      </c>
      <c r="C53" s="57" t="s">
        <v>164</v>
      </c>
      <c r="D53" s="61" t="s">
        <v>3205</v>
      </c>
      <c r="E53" s="158" t="str">
        <f>HYPERLINK("https://youtu.be/IuK74g5VZyc?t=2785","channel 1")</f>
        <v>channel 1</v>
      </c>
    </row>
    <row r="54">
      <c r="A54" s="141"/>
      <c r="B54" s="61" t="s">
        <v>4047</v>
      </c>
      <c r="C54" s="57" t="s">
        <v>193</v>
      </c>
      <c r="D54" s="61" t="s">
        <v>4023</v>
      </c>
      <c r="E54" s="11" t="str">
        <f>HYPERLINK("https://youtu.be/kvIc4t8qgxE?t=2740","channel 2")</f>
        <v>channel 2</v>
      </c>
    </row>
    <row r="55">
      <c r="A55" s="141"/>
      <c r="B55" s="61" t="s">
        <v>3629</v>
      </c>
      <c r="C55" s="57" t="s">
        <v>177</v>
      </c>
      <c r="D55" s="61" t="s">
        <v>4046</v>
      </c>
      <c r="E55" s="158" t="str">
        <f>HYPERLINK("https://youtu.be/IuK74g5VZyc?t=3721","channel 1")</f>
        <v>channel 1</v>
      </c>
    </row>
    <row r="56">
      <c r="A56" s="141"/>
      <c r="B56" s="61" t="s">
        <v>4047</v>
      </c>
      <c r="C56" s="57" t="s">
        <v>290</v>
      </c>
      <c r="D56" s="61" t="s">
        <v>3205</v>
      </c>
      <c r="E56" s="11" t="str">
        <f>HYPERLINK("https://youtu.be/kvIc4t8qgxE?t=3663","channel 2")</f>
        <v>channel 2</v>
      </c>
    </row>
    <row r="57">
      <c r="A57" s="141"/>
      <c r="B57" s="61" t="s">
        <v>3205</v>
      </c>
      <c r="C57" s="57" t="s">
        <v>208</v>
      </c>
      <c r="D57" s="61" t="s">
        <v>4023</v>
      </c>
      <c r="E57" s="158" t="str">
        <f>HYPERLINK("https://youtu.be/IuK74g5VZyc?t=4619","channel 1")</f>
        <v>channel 1</v>
      </c>
    </row>
    <row r="58">
      <c r="A58" s="141"/>
      <c r="B58" s="61" t="s">
        <v>4047</v>
      </c>
      <c r="C58" s="57" t="s">
        <v>442</v>
      </c>
      <c r="D58" s="61" t="s">
        <v>4046</v>
      </c>
      <c r="E58" s="11" t="str">
        <f>HYPERLINK("https://youtu.be/kvIc4t8qgxE?t=4590","channel 2")</f>
        <v>channel 2</v>
      </c>
    </row>
    <row r="59">
      <c r="A59" s="141"/>
      <c r="B59" s="61" t="s">
        <v>4023</v>
      </c>
      <c r="C59" s="57" t="s">
        <v>180</v>
      </c>
      <c r="D59" s="61" t="s">
        <v>3629</v>
      </c>
      <c r="E59" s="158" t="str">
        <f>HYPERLINK("https://youtu.be/IuK74g5VZyc?t=5588","channel 1")</f>
        <v>channel 1</v>
      </c>
    </row>
    <row r="60">
      <c r="A60" s="141"/>
      <c r="B60" s="61" t="s">
        <v>3205</v>
      </c>
      <c r="C60" s="57" t="s">
        <v>357</v>
      </c>
      <c r="D60" s="61" t="s">
        <v>4046</v>
      </c>
      <c r="E60" s="11" t="str">
        <f>HYPERLINK("https://youtu.be/kvIc4t8qgxE?t=5543","channel 2")</f>
        <v>channel 2</v>
      </c>
    </row>
    <row r="61">
      <c r="A61" s="141"/>
      <c r="B61" s="61" t="s">
        <v>4047</v>
      </c>
      <c r="C61" s="57" t="s">
        <v>545</v>
      </c>
      <c r="D61" s="61" t="s">
        <v>3629</v>
      </c>
      <c r="E61" s="158" t="str">
        <f>HYPERLINK("https://youtu.be/IuK74g5VZyc?t=6471","channel 1")</f>
        <v>channel 1</v>
      </c>
    </row>
    <row r="62">
      <c r="A62" s="141"/>
      <c r="B62" s="61" t="s">
        <v>4023</v>
      </c>
      <c r="C62" s="45" t="s">
        <v>290</v>
      </c>
      <c r="D62" s="61" t="s">
        <v>4046</v>
      </c>
      <c r="E62" s="11" t="str">
        <f>HYPERLINK("https://youtu.be/kvIc4t8qgxE?t=6451","channel 2")</f>
        <v>channel 2</v>
      </c>
    </row>
    <row r="63">
      <c r="A63" s="141"/>
      <c r="B63" s="61" t="s">
        <v>3205</v>
      </c>
      <c r="C63" s="57" t="s">
        <v>517</v>
      </c>
      <c r="D63" s="61" t="s">
        <v>3629</v>
      </c>
      <c r="E63" s="158" t="str">
        <f>HYPERLINK("https://youtu.be/IuK74g5VZyc?t=7367","channel 1")</f>
        <v>channel 1</v>
      </c>
    </row>
    <row r="64">
      <c r="A64" s="141"/>
      <c r="B64" s="61" t="s">
        <v>4023</v>
      </c>
      <c r="C64" s="57" t="s">
        <v>244</v>
      </c>
      <c r="D64" s="61" t="s">
        <v>4047</v>
      </c>
      <c r="E64" s="11" t="str">
        <f>HYPERLINK("https://youtu.be/kvIc4t8qgxE?t=7431","channel 2")</f>
        <v>channel 2</v>
      </c>
    </row>
    <row r="65">
      <c r="A65" s="141"/>
      <c r="B65" s="61" t="s">
        <v>4046</v>
      </c>
      <c r="C65" s="57" t="s">
        <v>155</v>
      </c>
      <c r="D65" s="61" t="s">
        <v>3629</v>
      </c>
      <c r="E65" s="158" t="str">
        <f>HYPERLINK("https://youtu.be/IuK74g5VZyc?t=8447","channel 1")</f>
        <v>channel 1</v>
      </c>
    </row>
    <row r="66">
      <c r="A66" s="141"/>
      <c r="B66" s="61" t="s">
        <v>3205</v>
      </c>
      <c r="C66" s="57" t="s">
        <v>324</v>
      </c>
      <c r="D66" s="61" t="s">
        <v>4047</v>
      </c>
      <c r="E66" s="11" t="str">
        <f>HYPERLINK("https://youtu.be/kvIc4t8qgxE?t=8334","channel 2")</f>
        <v>channel 2</v>
      </c>
    </row>
    <row r="67">
      <c r="A67" s="141"/>
      <c r="B67" s="160" t="s">
        <v>2659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4048</v>
      </c>
      <c r="C69" s="57" t="s">
        <v>229</v>
      </c>
      <c r="D69" s="61" t="s">
        <v>3873</v>
      </c>
      <c r="E69" s="158" t="str">
        <f>HYPERLINK("https://youtu.be/p0rYsEoVbOk","channel 1")</f>
        <v>channel 1</v>
      </c>
    </row>
    <row r="70">
      <c r="A70" s="141"/>
      <c r="B70" s="61" t="s">
        <v>3468</v>
      </c>
      <c r="C70" s="57" t="s">
        <v>888</v>
      </c>
      <c r="D70" s="61" t="s">
        <v>58</v>
      </c>
      <c r="E70" s="11" t="str">
        <f>HYPERLINK("https://youtu.be/1SpKqEFu8As","channel 2")</f>
        <v>channel 2</v>
      </c>
    </row>
    <row r="71">
      <c r="A71" s="141"/>
      <c r="B71" s="61" t="s">
        <v>4049</v>
      </c>
      <c r="C71" s="57" t="s">
        <v>18</v>
      </c>
      <c r="D71" s="61" t="s">
        <v>4048</v>
      </c>
      <c r="E71" s="158" t="str">
        <f>HYPERLINK("https://youtu.be/p0rYsEoVbOk?t=924","channel 1")</f>
        <v>channel 1</v>
      </c>
    </row>
    <row r="72">
      <c r="A72" s="141"/>
      <c r="B72" s="61" t="s">
        <v>3468</v>
      </c>
      <c r="C72" s="57" t="s">
        <v>381</v>
      </c>
      <c r="D72" s="61" t="s">
        <v>3873</v>
      </c>
      <c r="E72" s="11" t="str">
        <f>HYPERLINK("https://youtu.be/1SpKqEFu8As?t=926","channel 2")</f>
        <v>channel 2</v>
      </c>
    </row>
    <row r="73">
      <c r="A73" s="141"/>
      <c r="B73" s="61" t="s">
        <v>4049</v>
      </c>
      <c r="C73" s="57" t="s">
        <v>18</v>
      </c>
      <c r="D73" s="61" t="s">
        <v>58</v>
      </c>
      <c r="E73" s="158" t="str">
        <f>HYPERLINK("https://youtu.be/p0rYsEoVbOk?t=1807","channel 1")</f>
        <v>channel 1</v>
      </c>
    </row>
    <row r="74">
      <c r="A74" s="141"/>
      <c r="B74" s="61" t="s">
        <v>3468</v>
      </c>
      <c r="C74" s="57" t="s">
        <v>14</v>
      </c>
      <c r="D74" s="61" t="s">
        <v>4048</v>
      </c>
      <c r="E74" s="11" t="str">
        <f>HYPERLINK("https://youtu.be/1SpKqEFu8As?t=1862","channel 2")</f>
        <v>channel 2</v>
      </c>
    </row>
    <row r="75">
      <c r="A75" s="141"/>
      <c r="B75" s="61" t="s">
        <v>4049</v>
      </c>
      <c r="C75" s="57" t="s">
        <v>160</v>
      </c>
      <c r="D75" s="61" t="s">
        <v>3873</v>
      </c>
      <c r="E75" s="158" t="str">
        <f>HYPERLINK("https://youtu.be/p0rYsEoVbOk?t=2684","channel 1")</f>
        <v>channel 1</v>
      </c>
    </row>
    <row r="76">
      <c r="A76" s="141"/>
      <c r="B76" s="61" t="s">
        <v>58</v>
      </c>
      <c r="C76" s="57" t="s">
        <v>193</v>
      </c>
      <c r="D76" s="61" t="s">
        <v>4048</v>
      </c>
      <c r="E76" s="11" t="str">
        <f>HYPERLINK("https://youtu.be/1SpKqEFu8As?t=2766","channel 2")</f>
        <v>channel 2</v>
      </c>
    </row>
    <row r="77">
      <c r="A77" s="141"/>
      <c r="B77" s="61" t="s">
        <v>4049</v>
      </c>
      <c r="C77" s="57" t="s">
        <v>233</v>
      </c>
      <c r="D77" s="61" t="s">
        <v>3468</v>
      </c>
      <c r="E77" s="158" t="str">
        <f>HYPERLINK("https://youtu.be/p0rYsEoVbOk?t=3652","channel 1")</f>
        <v>channel 1</v>
      </c>
    </row>
    <row r="78">
      <c r="A78" s="141"/>
      <c r="B78" s="61" t="s">
        <v>58</v>
      </c>
      <c r="C78" s="57" t="s">
        <v>11</v>
      </c>
      <c r="D78" s="61" t="s">
        <v>3873</v>
      </c>
      <c r="E78" s="11" t="str">
        <f>HYPERLINK("https://youtu.be/1SpKqEFu8As?t=3673","channel 2")</f>
        <v>channel 2</v>
      </c>
    </row>
    <row r="79">
      <c r="A79" s="141"/>
      <c r="B79" s="61" t="s">
        <v>3873</v>
      </c>
      <c r="C79" s="57" t="s">
        <v>313</v>
      </c>
      <c r="D79" s="61" t="s">
        <v>4048</v>
      </c>
      <c r="E79" s="158" t="str">
        <f>HYPERLINK("https://youtu.be/p0rYsEoVbOk?t=4621","channel 1")</f>
        <v>channel 1</v>
      </c>
    </row>
    <row r="80">
      <c r="A80" s="141"/>
      <c r="B80" s="61" t="s">
        <v>58</v>
      </c>
      <c r="C80" s="57" t="s">
        <v>209</v>
      </c>
      <c r="D80" s="61" t="s">
        <v>3468</v>
      </c>
      <c r="E80" s="11" t="str">
        <f>HYPERLINK("https://youtu.be/1SpKqEFu8As?t=4632","channel 2")</f>
        <v>channel 2</v>
      </c>
    </row>
    <row r="81">
      <c r="A81" s="141"/>
      <c r="B81" s="61" t="s">
        <v>4048</v>
      </c>
      <c r="C81" s="57" t="s">
        <v>163</v>
      </c>
      <c r="D81" s="61" t="s">
        <v>4049</v>
      </c>
      <c r="E81" s="158" t="str">
        <f>HYPERLINK("https://youtu.be/p0rYsEoVbOk?t=5514","channel 1")</f>
        <v>channel 1</v>
      </c>
    </row>
    <row r="82">
      <c r="A82" s="141"/>
      <c r="B82" s="61" t="s">
        <v>3873</v>
      </c>
      <c r="C82" s="57" t="s">
        <v>353</v>
      </c>
      <c r="D82" s="61" t="s">
        <v>3468</v>
      </c>
      <c r="E82" s="11" t="str">
        <f>HYPERLINK("https://youtu.be/1SpKqEFu8As?t=5522","channel 2")</f>
        <v>channel 2</v>
      </c>
    </row>
    <row r="83">
      <c r="A83" s="141"/>
      <c r="B83" s="61" t="s">
        <v>58</v>
      </c>
      <c r="C83" s="57" t="s">
        <v>173</v>
      </c>
      <c r="D83" s="61" t="s">
        <v>4049</v>
      </c>
      <c r="E83" s="158" t="str">
        <f>HYPERLINK("https://youtu.be/p0rYsEoVbOk?t=6437","channel 1")</f>
        <v>channel 1</v>
      </c>
    </row>
    <row r="84">
      <c r="A84" s="141"/>
      <c r="B84" s="61" t="s">
        <v>4048</v>
      </c>
      <c r="C84" s="57" t="s">
        <v>42</v>
      </c>
      <c r="D84" s="61" t="s">
        <v>3468</v>
      </c>
      <c r="E84" s="11" t="str">
        <f>HYPERLINK("https://youtu.be/1SpKqEFu8As?t=6460","channel 2")</f>
        <v>channel 2</v>
      </c>
    </row>
    <row r="85">
      <c r="A85" s="141"/>
      <c r="B85" s="61" t="s">
        <v>3873</v>
      </c>
      <c r="C85" s="57" t="s">
        <v>209</v>
      </c>
      <c r="D85" s="61" t="s">
        <v>4049</v>
      </c>
      <c r="E85" s="158" t="str">
        <f>HYPERLINK("https://youtu.be/p0rYsEoVbOk?t=7351","channel 1")</f>
        <v>channel 1</v>
      </c>
    </row>
    <row r="86">
      <c r="A86" s="141"/>
      <c r="B86" s="61" t="s">
        <v>4048</v>
      </c>
      <c r="C86" s="57" t="s">
        <v>162</v>
      </c>
      <c r="D86" s="61" t="s">
        <v>58</v>
      </c>
      <c r="E86" s="11" t="str">
        <f>HYPERLINK("https://youtu.be/1SpKqEFu8As?t=7340","channel 2")</f>
        <v>channel 2</v>
      </c>
    </row>
    <row r="87">
      <c r="A87" s="141"/>
      <c r="B87" s="61" t="s">
        <v>3468</v>
      </c>
      <c r="C87" s="57" t="s">
        <v>545</v>
      </c>
      <c r="D87" s="61" t="s">
        <v>4049</v>
      </c>
      <c r="E87" s="158" t="str">
        <f>HYPERLINK("https://youtu.be/p0rYsEoVbOk?t=8297","channel 1")</f>
        <v>channel 1</v>
      </c>
    </row>
    <row r="88">
      <c r="A88" s="141"/>
      <c r="B88" s="61" t="s">
        <v>3873</v>
      </c>
      <c r="C88" s="57" t="s">
        <v>251</v>
      </c>
      <c r="D88" s="61" t="s">
        <v>58</v>
      </c>
      <c r="E88" s="11" t="str">
        <f>HYPERLINK("https://youtu.be/1SpKqEFu8As?t=8341","channel 2")</f>
        <v>channel 2</v>
      </c>
    </row>
    <row r="89">
      <c r="A89" s="141"/>
      <c r="B89" s="96" t="s">
        <v>2674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3820</v>
      </c>
      <c r="C91" s="57" t="s">
        <v>248</v>
      </c>
      <c r="D91" s="61" t="s">
        <v>648</v>
      </c>
      <c r="E91" s="158" t="str">
        <f>HYPERLINK("https://youtu.be/zMxjy3bSTvM","channel 1")</f>
        <v>channel 1</v>
      </c>
    </row>
    <row r="92">
      <c r="A92" s="141"/>
      <c r="B92" s="61" t="s">
        <v>4050</v>
      </c>
      <c r="C92" s="57" t="s">
        <v>1107</v>
      </c>
      <c r="D92" s="61" t="s">
        <v>3382</v>
      </c>
      <c r="E92" s="11" t="str">
        <f>HYPERLINK("https://youtu.be/SZbqRksmLNk","channel 2")</f>
        <v>channel 2</v>
      </c>
    </row>
    <row r="93">
      <c r="A93" s="141"/>
      <c r="B93" s="61" t="s">
        <v>4051</v>
      </c>
      <c r="C93" s="57" t="s">
        <v>187</v>
      </c>
      <c r="D93" s="61" t="s">
        <v>3820</v>
      </c>
      <c r="E93" s="158" t="str">
        <f>HYPERLINK("https://youtu.be/zMxjy3bSTvM?t=832","channel 1")</f>
        <v>channel 1</v>
      </c>
    </row>
    <row r="94">
      <c r="A94" s="141"/>
      <c r="B94" s="61" t="s">
        <v>4050</v>
      </c>
      <c r="C94" s="57" t="s">
        <v>352</v>
      </c>
      <c r="D94" s="61" t="s">
        <v>648</v>
      </c>
      <c r="E94" s="11" t="str">
        <f>HYPERLINK("https://youtu.be/SZbqRksmLNk?t=987","channel 2")</f>
        <v>channel 2</v>
      </c>
    </row>
    <row r="95">
      <c r="A95" s="141"/>
      <c r="B95" s="61" t="s">
        <v>4051</v>
      </c>
      <c r="C95" s="54" t="s">
        <v>7</v>
      </c>
      <c r="D95" s="61" t="s">
        <v>3382</v>
      </c>
      <c r="E95" s="158" t="str">
        <f>HYPERLINK("https://youtu.be/zMxjy3bSTvM?t=1729","channel 1")</f>
        <v>channel 1</v>
      </c>
    </row>
    <row r="96">
      <c r="A96" s="141"/>
      <c r="B96" s="61" t="s">
        <v>4050</v>
      </c>
      <c r="C96" s="57" t="s">
        <v>222</v>
      </c>
      <c r="D96" s="61" t="s">
        <v>3820</v>
      </c>
      <c r="E96" s="11" t="str">
        <f>HYPERLINK("https://youtu.be/SZbqRksmLNk?t=1895","channel 2")</f>
        <v>channel 2</v>
      </c>
    </row>
    <row r="97">
      <c r="A97" s="141"/>
      <c r="B97" s="61" t="s">
        <v>4051</v>
      </c>
      <c r="C97" s="57" t="s">
        <v>313</v>
      </c>
      <c r="D97" s="61" t="s">
        <v>648</v>
      </c>
      <c r="E97" s="158" t="str">
        <f>HYPERLINK("https://youtu.be/zMxjy3bSTvM?t=2712","channel 1")</f>
        <v>channel 1</v>
      </c>
    </row>
    <row r="98">
      <c r="A98" s="141"/>
      <c r="B98" s="61" t="s">
        <v>3382</v>
      </c>
      <c r="C98" s="57" t="s">
        <v>433</v>
      </c>
      <c r="D98" s="61" t="s">
        <v>3820</v>
      </c>
      <c r="E98" s="11" t="str">
        <f>HYPERLINK("https://youtu.be/SZbqRksmLNk?t=2862","channel 2")</f>
        <v>channel 2</v>
      </c>
    </row>
    <row r="99">
      <c r="A99" s="141"/>
      <c r="B99" s="61" t="s">
        <v>4051</v>
      </c>
      <c r="C99" s="57" t="s">
        <v>175</v>
      </c>
      <c r="D99" s="61" t="s">
        <v>4050</v>
      </c>
      <c r="E99" s="158" t="str">
        <f>HYPERLINK("https://youtu.be/zMxjy3bSTvM?t=3600","channel 1")</f>
        <v>channel 1</v>
      </c>
    </row>
    <row r="100">
      <c r="A100" s="141"/>
      <c r="B100" s="61" t="s">
        <v>3382</v>
      </c>
      <c r="C100" s="57" t="s">
        <v>182</v>
      </c>
      <c r="D100" s="61" t="s">
        <v>648</v>
      </c>
      <c r="E100" s="11" t="str">
        <f>HYPERLINK("https://youtu.be/SZbqRksmLNk?t=3790","channel 2")</f>
        <v>channel 2</v>
      </c>
    </row>
    <row r="101">
      <c r="A101" s="141"/>
      <c r="B101" s="61" t="s">
        <v>648</v>
      </c>
      <c r="C101" s="57" t="s">
        <v>43</v>
      </c>
      <c r="D101" s="61" t="s">
        <v>3820</v>
      </c>
      <c r="E101" s="158" t="str">
        <f>HYPERLINK("https://youtu.be/zMxjy3bSTvM?t=4468","channel 1")</f>
        <v>channel 1</v>
      </c>
    </row>
    <row r="102">
      <c r="A102" s="141"/>
      <c r="B102" s="61" t="s">
        <v>3382</v>
      </c>
      <c r="C102" s="57" t="s">
        <v>184</v>
      </c>
      <c r="D102" s="61" t="s">
        <v>4050</v>
      </c>
      <c r="E102" s="11" t="str">
        <f>HYPERLINK("https://youtu.be/SZbqRksmLNk?t=4752","channel 2")</f>
        <v>channel 2</v>
      </c>
    </row>
    <row r="103">
      <c r="A103" s="141"/>
      <c r="B103" s="61" t="s">
        <v>3820</v>
      </c>
      <c r="C103" s="57" t="s">
        <v>207</v>
      </c>
      <c r="D103" s="61" t="s">
        <v>4051</v>
      </c>
      <c r="E103" s="158" t="str">
        <f>HYPERLINK("https://youtu.be/zMxjy3bSTvM?t=5375","channel 1")</f>
        <v>channel 1</v>
      </c>
    </row>
    <row r="104">
      <c r="A104" s="141"/>
      <c r="B104" s="61" t="s">
        <v>648</v>
      </c>
      <c r="C104" s="57" t="s">
        <v>4052</v>
      </c>
      <c r="D104" s="61" t="s">
        <v>4050</v>
      </c>
      <c r="E104" s="11" t="str">
        <f>HYPERLINK("https://youtu.be/SZbqRksmLNk?t=5649","channel 2")</f>
        <v>channel 2</v>
      </c>
    </row>
    <row r="105">
      <c r="A105" s="141"/>
      <c r="B105" s="61" t="s">
        <v>3382</v>
      </c>
      <c r="C105" s="57" t="s">
        <v>750</v>
      </c>
      <c r="D105" s="61" t="s">
        <v>4051</v>
      </c>
      <c r="E105" s="158" t="str">
        <f>HYPERLINK("https://youtu.be/zMxjy3bSTvM?t=6223","channel 1")</f>
        <v>channel 1</v>
      </c>
    </row>
    <row r="106">
      <c r="A106" s="141"/>
      <c r="B106" s="61" t="s">
        <v>3820</v>
      </c>
      <c r="C106" s="57" t="s">
        <v>176</v>
      </c>
      <c r="D106" s="61" t="s">
        <v>4050</v>
      </c>
      <c r="E106" s="11" t="str">
        <f>HYPERLINK("https://youtu.be/SZbqRksmLNk?t=6586","channel 2")</f>
        <v>channel 2</v>
      </c>
    </row>
    <row r="107">
      <c r="A107" s="141"/>
      <c r="B107" s="61" t="s">
        <v>648</v>
      </c>
      <c r="C107" s="57" t="s">
        <v>1079</v>
      </c>
      <c r="D107" s="61" t="s">
        <v>4051</v>
      </c>
      <c r="E107" s="158" t="str">
        <f>HYPERLINK("https://youtu.be/zMxjy3bSTvM?t=7166","channel 1")</f>
        <v>channel 1</v>
      </c>
    </row>
    <row r="108">
      <c r="A108" s="141"/>
      <c r="B108" s="61" t="s">
        <v>3820</v>
      </c>
      <c r="C108" s="57" t="s">
        <v>351</v>
      </c>
      <c r="D108" s="61" t="s">
        <v>3382</v>
      </c>
      <c r="E108" s="11" t="str">
        <f>HYPERLINK("https://youtu.be/SZbqRksmLNk?t=7500","channel 2")</f>
        <v>channel 2</v>
      </c>
    </row>
    <row r="109">
      <c r="A109" s="141"/>
      <c r="B109" s="61" t="s">
        <v>4050</v>
      </c>
      <c r="C109" s="57" t="s">
        <v>696</v>
      </c>
      <c r="D109" s="61" t="s">
        <v>4051</v>
      </c>
      <c r="E109" s="158" t="str">
        <f>HYPERLINK("https://youtu.be/zMxjy3bSTvM?t=8058","channel 1")</f>
        <v>channel 1</v>
      </c>
    </row>
    <row r="110">
      <c r="A110" s="141"/>
      <c r="B110" s="61" t="s">
        <v>648</v>
      </c>
      <c r="C110" s="57" t="s">
        <v>166</v>
      </c>
      <c r="D110" s="61" t="s">
        <v>3382</v>
      </c>
      <c r="E110" s="11" t="str">
        <f>HYPERLINK("https://youtu.be/SZbqRksmLNk?t=8395","channel 2")</f>
        <v>channel 2</v>
      </c>
    </row>
    <row r="111">
      <c r="A111" s="141"/>
      <c r="B111" s="96" t="s">
        <v>2375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61" t="s">
        <v>3535</v>
      </c>
      <c r="C113" s="57" t="s">
        <v>23</v>
      </c>
      <c r="D113" s="61" t="s">
        <v>3070</v>
      </c>
      <c r="E113" s="158" t="str">
        <f>HYPERLINK("https://youtu.be/5lC43L5T_4g","channel 1")</f>
        <v>channel 1</v>
      </c>
    </row>
    <row r="114">
      <c r="A114" s="141"/>
      <c r="B114" s="61" t="s">
        <v>3173</v>
      </c>
      <c r="C114" s="57" t="s">
        <v>311</v>
      </c>
      <c r="D114" s="56" t="s">
        <v>4053</v>
      </c>
      <c r="E114" s="11" t="str">
        <f>HYPERLINK("https://youtu.be/innpaOOxegY","channel 2")</f>
        <v>channel 2</v>
      </c>
    </row>
    <row r="115">
      <c r="A115" s="141"/>
      <c r="B115" s="61" t="s">
        <v>4054</v>
      </c>
      <c r="C115" s="57" t="s">
        <v>16</v>
      </c>
      <c r="D115" s="61" t="s">
        <v>3535</v>
      </c>
      <c r="E115" s="158" t="str">
        <f>HYPERLINK("https://youtu.be/5lC43L5T_4g?t=879","channel 1")</f>
        <v>channel 1</v>
      </c>
    </row>
    <row r="116">
      <c r="A116" s="141"/>
      <c r="B116" s="61" t="s">
        <v>3173</v>
      </c>
      <c r="C116" s="57" t="s">
        <v>19</v>
      </c>
      <c r="D116" s="61" t="s">
        <v>3070</v>
      </c>
      <c r="E116" s="11" t="str">
        <f>HYPERLINK("https://youtu.be/innpaOOxegY?t=1009","channel 2")</f>
        <v>channel 2</v>
      </c>
    </row>
    <row r="117">
      <c r="A117" s="141"/>
      <c r="B117" s="61" t="s">
        <v>4054</v>
      </c>
      <c r="C117" s="57" t="s">
        <v>264</v>
      </c>
      <c r="D117" s="56" t="s">
        <v>4053</v>
      </c>
      <c r="E117" s="158" t="str">
        <f>HYPERLINK("https://youtu.be/5lC43L5T_4g?t=1733","channel 1")</f>
        <v>channel 1</v>
      </c>
    </row>
    <row r="118">
      <c r="A118" s="141"/>
      <c r="B118" s="61" t="s">
        <v>3173</v>
      </c>
      <c r="C118" s="57" t="s">
        <v>41</v>
      </c>
      <c r="D118" s="61" t="s">
        <v>3535</v>
      </c>
      <c r="E118" s="11" t="str">
        <f>HYPERLINK("https://youtu.be/innpaOOxegY?t=1910","channel 2")</f>
        <v>channel 2</v>
      </c>
    </row>
    <row r="119">
      <c r="A119" s="141"/>
      <c r="B119" s="61" t="s">
        <v>4054</v>
      </c>
      <c r="C119" s="57" t="s">
        <v>696</v>
      </c>
      <c r="D119" s="61" t="s">
        <v>3070</v>
      </c>
      <c r="E119" s="158" t="str">
        <f>HYPERLINK("https://youtu.be/5lC43L5T_4g?t=2682","channel 1")</f>
        <v>channel 1</v>
      </c>
    </row>
    <row r="120">
      <c r="A120" s="141"/>
      <c r="B120" s="56" t="s">
        <v>4053</v>
      </c>
      <c r="C120" s="57" t="s">
        <v>207</v>
      </c>
      <c r="D120" s="61" t="s">
        <v>3535</v>
      </c>
      <c r="E120" s="11" t="str">
        <f>HYPERLINK("https://youtu.be/innpaOOxegY?t=2748","channel 2")</f>
        <v>channel 2</v>
      </c>
    </row>
    <row r="121">
      <c r="A121" s="141"/>
      <c r="B121" s="61" t="s">
        <v>4054</v>
      </c>
      <c r="C121" s="57" t="s">
        <v>209</v>
      </c>
      <c r="D121" s="61" t="s">
        <v>3173</v>
      </c>
      <c r="E121" s="158" t="str">
        <f>HYPERLINK("https://youtu.be/5lC43L5T_4g?t=3531","channel 1")</f>
        <v>channel 1</v>
      </c>
    </row>
    <row r="122">
      <c r="A122" s="141"/>
      <c r="B122" s="56" t="s">
        <v>4053</v>
      </c>
      <c r="C122" s="57" t="s">
        <v>888</v>
      </c>
      <c r="D122" s="61" t="s">
        <v>3070</v>
      </c>
      <c r="E122" s="11" t="str">
        <f>HYPERLINK("https://youtu.be/innpaOOxegY?t=3629","channel 2")</f>
        <v>channel 2</v>
      </c>
    </row>
    <row r="123">
      <c r="A123" s="141"/>
      <c r="B123" s="61" t="s">
        <v>3070</v>
      </c>
      <c r="C123" s="57" t="s">
        <v>303</v>
      </c>
      <c r="D123" s="61" t="s">
        <v>3535</v>
      </c>
      <c r="E123" s="158" t="str">
        <f>HYPERLINK("https://youtu.be/5lC43L5T_4g?t=4385","channel 1")</f>
        <v>channel 1</v>
      </c>
    </row>
    <row r="124">
      <c r="A124" s="141"/>
      <c r="B124" s="56" t="s">
        <v>4053</v>
      </c>
      <c r="C124" s="57" t="s">
        <v>16</v>
      </c>
      <c r="D124" s="61" t="s">
        <v>3173</v>
      </c>
      <c r="E124" s="11" t="str">
        <f>HYPERLINK("https://youtu.be/innpaOOxegY?t=4431","channel 2")</f>
        <v>channel 2</v>
      </c>
    </row>
    <row r="125">
      <c r="A125" s="141"/>
      <c r="B125" s="61" t="s">
        <v>3535</v>
      </c>
      <c r="C125" s="57" t="s">
        <v>18</v>
      </c>
      <c r="D125" s="61" t="s">
        <v>4054</v>
      </c>
      <c r="E125" s="158" t="str">
        <f>HYPERLINK("https://youtu.be/5lC43L5T_4g?t=5274","channel 1")</f>
        <v>channel 1</v>
      </c>
    </row>
    <row r="126">
      <c r="A126" s="141"/>
      <c r="B126" s="61" t="s">
        <v>3070</v>
      </c>
      <c r="C126" s="57" t="s">
        <v>231</v>
      </c>
      <c r="D126" s="61" t="s">
        <v>3173</v>
      </c>
      <c r="E126" s="11" t="str">
        <f>HYPERLINK("https://youtu.be/innpaOOxegY?t=5282","channel 2")</f>
        <v>channel 2</v>
      </c>
    </row>
    <row r="127">
      <c r="A127" s="141"/>
      <c r="B127" s="56" t="s">
        <v>4053</v>
      </c>
      <c r="C127" s="57" t="s">
        <v>7</v>
      </c>
      <c r="D127" s="61" t="s">
        <v>4054</v>
      </c>
      <c r="E127" s="158" t="str">
        <f>HYPERLINK("https://youtu.be/5lC43L5T_4g?t=6108","channel 1")</f>
        <v>channel 1</v>
      </c>
    </row>
    <row r="128">
      <c r="A128" s="141"/>
      <c r="B128" s="61" t="s">
        <v>3535</v>
      </c>
      <c r="C128" s="57" t="s">
        <v>23</v>
      </c>
      <c r="D128" s="61" t="s">
        <v>3173</v>
      </c>
      <c r="E128" s="11" t="str">
        <f>HYPERLINK("https://youtu.be/innpaOOxegY?t=6150","channel 2")</f>
        <v>channel 2</v>
      </c>
    </row>
    <row r="129">
      <c r="A129" s="141"/>
      <c r="B129" s="61" t="s">
        <v>3070</v>
      </c>
      <c r="C129" s="57" t="s">
        <v>165</v>
      </c>
      <c r="D129" s="61" t="s">
        <v>4054</v>
      </c>
      <c r="E129" s="158" t="str">
        <f>HYPERLINK("https://youtu.be/5lC43L5T_4g?t=7072","channel 1")</f>
        <v>channel 1</v>
      </c>
    </row>
    <row r="130">
      <c r="A130" s="141"/>
      <c r="B130" s="61" t="s">
        <v>3535</v>
      </c>
      <c r="C130" s="57" t="s">
        <v>14</v>
      </c>
      <c r="D130" s="56" t="s">
        <v>4053</v>
      </c>
      <c r="E130" s="11" t="str">
        <f>HYPERLINK("https://youtu.be/innpaOOxegY?t=6972","channel 2")</f>
        <v>channel 2</v>
      </c>
    </row>
    <row r="131">
      <c r="A131" s="141"/>
      <c r="B131" s="61" t="s">
        <v>3173</v>
      </c>
      <c r="C131" s="57" t="s">
        <v>245</v>
      </c>
      <c r="D131" s="61" t="s">
        <v>4054</v>
      </c>
      <c r="E131" s="158" t="str">
        <f>HYPERLINK("https://youtu.be/5lC43L5T_4g?t=7921","channel 1")</f>
        <v>channel 1</v>
      </c>
    </row>
    <row r="132">
      <c r="A132" s="145"/>
      <c r="B132" s="61" t="s">
        <v>3070</v>
      </c>
      <c r="C132" s="57" t="s">
        <v>1468</v>
      </c>
      <c r="D132" s="56" t="s">
        <v>4053</v>
      </c>
      <c r="E132" s="11" t="str">
        <f>HYPERLINK("https://youtu.be/innpaOOxegY?t=7852","channel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2882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3287</v>
      </c>
      <c r="C3" s="57" t="s">
        <v>264</v>
      </c>
      <c r="D3" s="61" t="s">
        <v>3681</v>
      </c>
      <c r="E3" s="158" t="str">
        <f>HYPERLINK("https://youtu.be/x0gGe_ww3A0","channel 1")</f>
        <v>channel 1</v>
      </c>
    </row>
    <row r="4">
      <c r="A4" s="141"/>
      <c r="B4" s="61" t="s">
        <v>4055</v>
      </c>
      <c r="C4" s="84" t="s">
        <v>24</v>
      </c>
      <c r="D4" s="61" t="s">
        <v>4056</v>
      </c>
      <c r="E4" s="11" t="str">
        <f>HYPERLINK("https://youtu.be/dry6x3RHFhg","channel 2")</f>
        <v>channel 2</v>
      </c>
    </row>
    <row r="5">
      <c r="A5" s="141"/>
      <c r="B5" s="61" t="s">
        <v>3658</v>
      </c>
      <c r="C5" s="57" t="s">
        <v>185</v>
      </c>
      <c r="D5" s="61" t="s">
        <v>3287</v>
      </c>
      <c r="E5" s="158" t="str">
        <f>HYPERLINK("https://youtu.be/x0gGe_ww3A0?t=810","channel 1")</f>
        <v>channel 1</v>
      </c>
    </row>
    <row r="6">
      <c r="A6" s="141"/>
      <c r="B6" s="61" t="s">
        <v>4055</v>
      </c>
      <c r="C6" s="57" t="s">
        <v>334</v>
      </c>
      <c r="D6" s="61" t="s">
        <v>3681</v>
      </c>
      <c r="E6" s="11" t="str">
        <f>HYPERLINK("https://youtu.be/dry6x3RHFhg?t=1026","channel 2")</f>
        <v>channel 2</v>
      </c>
    </row>
    <row r="7">
      <c r="A7" s="141"/>
      <c r="B7" s="61" t="s">
        <v>3658</v>
      </c>
      <c r="C7" s="57" t="s">
        <v>23</v>
      </c>
      <c r="D7" s="61" t="s">
        <v>4056</v>
      </c>
      <c r="E7" s="158" t="str">
        <f>HYPERLINK("https://youtu.be/x0gGe_ww3A0?t=1693","channel 1")</f>
        <v>channel 1</v>
      </c>
    </row>
    <row r="8">
      <c r="A8" s="141"/>
      <c r="B8" s="61" t="s">
        <v>4055</v>
      </c>
      <c r="C8" s="57" t="s">
        <v>352</v>
      </c>
      <c r="D8" s="61" t="s">
        <v>3287</v>
      </c>
      <c r="E8" s="11" t="str">
        <f>HYPERLINK("https://youtu.be/dry6x3RHFhg?t=1923","channel 2")</f>
        <v>channel 2</v>
      </c>
    </row>
    <row r="9">
      <c r="A9" s="141"/>
      <c r="B9" s="61" t="s">
        <v>3658</v>
      </c>
      <c r="C9" s="57" t="s">
        <v>185</v>
      </c>
      <c r="D9" s="61" t="s">
        <v>3681</v>
      </c>
      <c r="E9" s="158" t="str">
        <f>HYPERLINK("https://youtu.be/x0gGe_ww3A0?t=2568","channel 1")</f>
        <v>channel 1</v>
      </c>
    </row>
    <row r="10">
      <c r="A10" s="141"/>
      <c r="B10" s="61" t="s">
        <v>4056</v>
      </c>
      <c r="C10" s="57" t="s">
        <v>292</v>
      </c>
      <c r="D10" s="61" t="s">
        <v>3287</v>
      </c>
      <c r="E10" s="11" t="str">
        <f>HYPERLINK("https://youtu.be/dry6x3RHFhg?t=2891","channel 2")</f>
        <v>channel 2</v>
      </c>
    </row>
    <row r="11">
      <c r="A11" s="141"/>
      <c r="B11" s="61" t="s">
        <v>3658</v>
      </c>
      <c r="C11" s="57" t="s">
        <v>20</v>
      </c>
      <c r="D11" s="61" t="s">
        <v>4055</v>
      </c>
      <c r="E11" s="158" t="str">
        <f>HYPERLINK("https://youtu.be/x0gGe_ww3A0?t=3566","channel 1")</f>
        <v>channel 1</v>
      </c>
    </row>
    <row r="12">
      <c r="A12" s="141"/>
      <c r="B12" s="61" t="s">
        <v>4056</v>
      </c>
      <c r="C12" s="57" t="s">
        <v>1059</v>
      </c>
      <c r="D12" s="61" t="s">
        <v>3681</v>
      </c>
      <c r="E12" s="11" t="str">
        <f>HYPERLINK("https://youtu.be/dry6x3RHFhg?t=3788","channel 2")</f>
        <v>channel 2</v>
      </c>
    </row>
    <row r="13">
      <c r="A13" s="141"/>
      <c r="B13" s="61" t="s">
        <v>3681</v>
      </c>
      <c r="C13" s="57" t="s">
        <v>42</v>
      </c>
      <c r="D13" s="61" t="s">
        <v>3287</v>
      </c>
      <c r="E13" s="158" t="str">
        <f>HYPERLINK("https://youtu.be/x0gGe_ww3A0?t=4556","channel 1")</f>
        <v>channel 1</v>
      </c>
    </row>
    <row r="14">
      <c r="A14" s="141"/>
      <c r="B14" s="61" t="s">
        <v>4056</v>
      </c>
      <c r="C14" s="57" t="s">
        <v>158</v>
      </c>
      <c r="D14" s="61" t="s">
        <v>4055</v>
      </c>
      <c r="E14" s="11" t="str">
        <f>HYPERLINK("https://youtu.be/dry6x3RHFhg?t=4680","channel 2")</f>
        <v>channel 2</v>
      </c>
    </row>
    <row r="15">
      <c r="A15" s="141"/>
      <c r="B15" s="61" t="s">
        <v>3287</v>
      </c>
      <c r="C15" s="57" t="s">
        <v>198</v>
      </c>
      <c r="D15" s="61" t="s">
        <v>3658</v>
      </c>
      <c r="E15" s="158" t="str">
        <f>HYPERLINK("https://youtu.be/x0gGe_ww3A0?t=5324","channel 1")</f>
        <v>channel 1</v>
      </c>
    </row>
    <row r="16">
      <c r="A16" s="141"/>
      <c r="B16" s="61" t="s">
        <v>3681</v>
      </c>
      <c r="C16" s="57" t="s">
        <v>380</v>
      </c>
      <c r="D16" s="61" t="s">
        <v>4055</v>
      </c>
      <c r="E16" s="11" t="str">
        <f>HYPERLINK("https://youtu.be/dry6x3RHFhg?t=5551","channel 2")</f>
        <v>channel 2</v>
      </c>
    </row>
    <row r="17">
      <c r="A17" s="141"/>
      <c r="B17" s="61" t="s">
        <v>4056</v>
      </c>
      <c r="C17" s="57" t="s">
        <v>208</v>
      </c>
      <c r="D17" s="61" t="s">
        <v>3658</v>
      </c>
      <c r="E17" s="158" t="str">
        <f>HYPERLINK("https://youtu.be/x0gGe_ww3A0?t=6206","channel 1")</f>
        <v>channel 1</v>
      </c>
    </row>
    <row r="18">
      <c r="A18" s="141"/>
      <c r="B18" s="61" t="s">
        <v>3287</v>
      </c>
      <c r="C18" s="57" t="s">
        <v>173</v>
      </c>
      <c r="D18" s="61" t="s">
        <v>4055</v>
      </c>
      <c r="E18" s="11" t="str">
        <f>HYPERLINK("https://youtu.be/dry6x3RHFhg?t=6440","channel 2")</f>
        <v>channel 2</v>
      </c>
    </row>
    <row r="19">
      <c r="A19" s="141"/>
      <c r="B19" s="61" t="s">
        <v>3681</v>
      </c>
      <c r="C19" s="57" t="s">
        <v>229</v>
      </c>
      <c r="D19" s="61" t="s">
        <v>3658</v>
      </c>
      <c r="E19" s="158" t="str">
        <f>HYPERLINK("https://youtu.be/x0gGe_ww3A0?t=7225","channel 1")</f>
        <v>channel 1</v>
      </c>
    </row>
    <row r="20">
      <c r="A20" s="141"/>
      <c r="B20" s="61" t="s">
        <v>3287</v>
      </c>
      <c r="C20" s="57" t="s">
        <v>16</v>
      </c>
      <c r="D20" s="61" t="s">
        <v>4056</v>
      </c>
      <c r="E20" s="11" t="str">
        <f>HYPERLINK("https://youtu.be/dry6x3RHFhg?t=7455","channel 2")</f>
        <v>channel 2</v>
      </c>
    </row>
    <row r="21">
      <c r="A21" s="141"/>
      <c r="B21" s="61" t="s">
        <v>4055</v>
      </c>
      <c r="C21" s="57" t="s">
        <v>184</v>
      </c>
      <c r="D21" s="61" t="s">
        <v>3658</v>
      </c>
      <c r="E21" s="158" t="str">
        <f>HYPERLINK("https://youtu.be/x0gGe_ww3A0?t=8093","channel 1")</f>
        <v>channel 1</v>
      </c>
    </row>
    <row r="22">
      <c r="A22" s="141"/>
      <c r="B22" s="61" t="s">
        <v>3681</v>
      </c>
      <c r="C22" s="57" t="s">
        <v>786</v>
      </c>
      <c r="D22" s="61" t="s">
        <v>4056</v>
      </c>
      <c r="E22" s="11" t="str">
        <f>HYPERLINK("https://youtu.be/dry6x3RHFhg?t=8368","channel 2")</f>
        <v>channel 2</v>
      </c>
    </row>
    <row r="23">
      <c r="A23" s="141"/>
      <c r="B23" s="96" t="s">
        <v>1782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4057</v>
      </c>
      <c r="C25" s="57" t="s">
        <v>18</v>
      </c>
      <c r="D25" s="61" t="s">
        <v>3720</v>
      </c>
      <c r="E25" s="158" t="str">
        <f>HYPERLINK("https://youtu.be/loNLGOFb2zc","channel 1")</f>
        <v>channel 1</v>
      </c>
    </row>
    <row r="26">
      <c r="A26" s="141"/>
      <c r="B26" s="61" t="s">
        <v>4058</v>
      </c>
      <c r="C26" s="57" t="s">
        <v>155</v>
      </c>
      <c r="D26" s="61" t="s">
        <v>1906</v>
      </c>
      <c r="E26" s="11" t="str">
        <f>HYPERLINK("https://youtu.be/6CZiq9i1L_I?t=137","channel 2")</f>
        <v>channel 2</v>
      </c>
    </row>
    <row r="27">
      <c r="A27" s="141"/>
      <c r="B27" s="61" t="s">
        <v>3954</v>
      </c>
      <c r="C27" s="57" t="s">
        <v>545</v>
      </c>
      <c r="D27" s="61" t="s">
        <v>4057</v>
      </c>
      <c r="E27" s="158" t="str">
        <f>HYPERLINK("https://youtu.be/loNLGOFb2zc?t=794","channel 1")</f>
        <v>channel 1</v>
      </c>
    </row>
    <row r="28">
      <c r="A28" s="141"/>
      <c r="B28" s="61" t="s">
        <v>4058</v>
      </c>
      <c r="C28" s="57" t="s">
        <v>549</v>
      </c>
      <c r="D28" s="61" t="s">
        <v>3720</v>
      </c>
      <c r="E28" s="11" t="str">
        <f>HYPERLINK("https://youtu.be/6CZiq9i1L_I?t=1091","channel 2")</f>
        <v>channel 2</v>
      </c>
    </row>
    <row r="29">
      <c r="A29" s="141"/>
      <c r="B29" s="61" t="s">
        <v>3954</v>
      </c>
      <c r="C29" s="57" t="s">
        <v>327</v>
      </c>
      <c r="D29" s="61" t="s">
        <v>1906</v>
      </c>
      <c r="E29" s="158" t="str">
        <f>HYPERLINK("https://youtu.be/loNLGOFb2zc?t=1743","channel 1")</f>
        <v>channel 1</v>
      </c>
    </row>
    <row r="30">
      <c r="A30" s="141"/>
      <c r="B30" s="61" t="s">
        <v>4058</v>
      </c>
      <c r="C30" s="57" t="s">
        <v>248</v>
      </c>
      <c r="D30" s="61" t="s">
        <v>4057</v>
      </c>
      <c r="E30" s="11" t="str">
        <f>HYPERLINK("https://youtu.be/6CZiq9i1L_I?t=2012","channel 2")</f>
        <v>channel 2</v>
      </c>
    </row>
    <row r="31">
      <c r="A31" s="141"/>
      <c r="B31" s="61" t="s">
        <v>3954</v>
      </c>
      <c r="C31" s="57" t="s">
        <v>998</v>
      </c>
      <c r="D31" s="61" t="s">
        <v>3720</v>
      </c>
      <c r="E31" s="158" t="str">
        <f>HYPERLINK("https://youtu.be/loNLGOFb2zc?t=2619","channel 1")</f>
        <v>channel 1</v>
      </c>
    </row>
    <row r="32">
      <c r="A32" s="141"/>
      <c r="B32" s="61" t="s">
        <v>1906</v>
      </c>
      <c r="C32" s="57" t="s">
        <v>357</v>
      </c>
      <c r="D32" s="61" t="s">
        <v>4057</v>
      </c>
      <c r="E32" s="11" t="str">
        <f>HYPERLINK("https://youtu.be/6CZiq9i1L_I?t=2980","channel 2")</f>
        <v>channel 2</v>
      </c>
    </row>
    <row r="33">
      <c r="A33" s="141"/>
      <c r="B33" s="61" t="s">
        <v>3954</v>
      </c>
      <c r="C33" s="57" t="s">
        <v>291</v>
      </c>
      <c r="D33" s="61" t="s">
        <v>4058</v>
      </c>
      <c r="E33" s="158" t="str">
        <f>HYPERLINK("https://youtu.be/loNLGOFb2zc?t=3509","channel 1")</f>
        <v>channel 1</v>
      </c>
    </row>
    <row r="34">
      <c r="A34" s="141"/>
      <c r="B34" s="61" t="s">
        <v>1906</v>
      </c>
      <c r="C34" s="57" t="s">
        <v>248</v>
      </c>
      <c r="D34" s="61" t="s">
        <v>3720</v>
      </c>
      <c r="E34" s="11" t="str">
        <f>HYPERLINK("https://youtu.be/6CZiq9i1L_I?t=3918","channel 2")</f>
        <v>channel 2</v>
      </c>
    </row>
    <row r="35">
      <c r="A35" s="141"/>
      <c r="B35" s="61" t="s">
        <v>3720</v>
      </c>
      <c r="C35" s="57" t="s">
        <v>239</v>
      </c>
      <c r="D35" s="61" t="s">
        <v>4057</v>
      </c>
      <c r="E35" s="158" t="str">
        <f>HYPERLINK("https://youtu.be/loNLGOFb2zc?t=4495","channel 1")</f>
        <v>channel 1</v>
      </c>
    </row>
    <row r="36">
      <c r="A36" s="141"/>
      <c r="B36" s="61" t="s">
        <v>1906</v>
      </c>
      <c r="C36" s="57" t="s">
        <v>281</v>
      </c>
      <c r="D36" s="61" t="s">
        <v>4058</v>
      </c>
      <c r="E36" s="11" t="str">
        <f>HYPERLINK("https://youtu.be/6CZiq9i1L_I?t=4802","channel 2")</f>
        <v>channel 2</v>
      </c>
    </row>
    <row r="37">
      <c r="A37" s="141"/>
      <c r="B37" s="61" t="s">
        <v>4057</v>
      </c>
      <c r="C37" s="57" t="s">
        <v>281</v>
      </c>
      <c r="D37" s="61" t="s">
        <v>3954</v>
      </c>
      <c r="E37" s="158" t="str">
        <f>HYPERLINK("https://youtu.be/loNLGOFb2zc?t=5459","channel 1")</f>
        <v>channel 1</v>
      </c>
    </row>
    <row r="38">
      <c r="A38" s="141"/>
      <c r="B38" s="61" t="s">
        <v>3720</v>
      </c>
      <c r="C38" s="57" t="s">
        <v>547</v>
      </c>
      <c r="D38" s="61" t="s">
        <v>4058</v>
      </c>
      <c r="E38" s="11" t="str">
        <f>HYPERLINK("https://youtu.be/6CZiq9i1L_I?t=5698","channel 2")</f>
        <v>channel 2</v>
      </c>
    </row>
    <row r="39">
      <c r="A39" s="141"/>
      <c r="B39" s="61" t="s">
        <v>1906</v>
      </c>
      <c r="C39" s="45" t="s">
        <v>43</v>
      </c>
      <c r="D39" s="61" t="s">
        <v>3954</v>
      </c>
      <c r="E39" s="158" t="str">
        <f>HYPERLINK("https://youtu.be/loNLGOFb2zc?t=6430","channel 1")</f>
        <v>channel 1</v>
      </c>
    </row>
    <row r="40">
      <c r="A40" s="141"/>
      <c r="B40" s="61" t="s">
        <v>4057</v>
      </c>
      <c r="C40" s="57" t="s">
        <v>17</v>
      </c>
      <c r="D40" s="61" t="s">
        <v>4058</v>
      </c>
      <c r="E40" s="11" t="str">
        <f>HYPERLINK("https://youtu.be/6CZiq9i1L_I?t=6685","channel 2")</f>
        <v>channel 2</v>
      </c>
    </row>
    <row r="41">
      <c r="A41" s="141"/>
      <c r="B41" s="61" t="s">
        <v>3720</v>
      </c>
      <c r="C41" s="57" t="s">
        <v>338</v>
      </c>
      <c r="D41" s="61" t="s">
        <v>3954</v>
      </c>
      <c r="E41" s="158" t="str">
        <f>HYPERLINK("https://youtu.be/loNLGOFb2zc?t=7431","channel 1")</f>
        <v>channel 1</v>
      </c>
    </row>
    <row r="42">
      <c r="A42" s="141"/>
      <c r="B42" s="61" t="s">
        <v>4057</v>
      </c>
      <c r="C42" s="57" t="s">
        <v>219</v>
      </c>
      <c r="D42" s="61" t="s">
        <v>1906</v>
      </c>
      <c r="E42" s="11" t="str">
        <f>HYPERLINK("https://youtu.be/6CZiq9i1L_I?t=7786","channel 2")</f>
        <v>channel 2</v>
      </c>
    </row>
    <row r="43">
      <c r="A43" s="141"/>
      <c r="B43" s="61" t="s">
        <v>4058</v>
      </c>
      <c r="C43" s="57" t="s">
        <v>576</v>
      </c>
      <c r="D43" s="61" t="s">
        <v>3954</v>
      </c>
      <c r="E43" s="158" t="str">
        <f>HYPERLINK("https://youtu.be/loNLGOFb2zc?t=8424","channel 1")</f>
        <v>channel 1</v>
      </c>
    </row>
    <row r="44">
      <c r="A44" s="141"/>
      <c r="B44" s="61" t="s">
        <v>3720</v>
      </c>
      <c r="C44" s="57" t="s">
        <v>751</v>
      </c>
      <c r="D44" s="61" t="s">
        <v>1906</v>
      </c>
      <c r="E44" s="11" t="str">
        <f>HYPERLINK("https://youtu.be/6CZiq9i1L_I?t=8741","channel 2")</f>
        <v>channel 2</v>
      </c>
    </row>
    <row r="45">
      <c r="A45" s="141"/>
      <c r="B45" s="96" t="s">
        <v>2653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3967</v>
      </c>
      <c r="C47" s="57" t="s">
        <v>173</v>
      </c>
      <c r="D47" s="61" t="s">
        <v>3265</v>
      </c>
      <c r="E47" s="158" t="str">
        <f>HYPERLINK("https://youtu.be/QLuxo92SY5k","channel 1")</f>
        <v>channel 1</v>
      </c>
    </row>
    <row r="48">
      <c r="A48" s="141"/>
      <c r="B48" s="61" t="s">
        <v>4059</v>
      </c>
      <c r="C48" s="57" t="s">
        <v>20</v>
      </c>
      <c r="D48" s="61" t="s">
        <v>2987</v>
      </c>
      <c r="E48" s="11" t="str">
        <f>HYPERLINK("https://youtu.be/5woCOibJOLI","channel 2")</f>
        <v>channel 2</v>
      </c>
    </row>
    <row r="49">
      <c r="A49" s="141"/>
      <c r="B49" s="61" t="s">
        <v>4060</v>
      </c>
      <c r="C49" s="57" t="s">
        <v>351</v>
      </c>
      <c r="D49" s="61" t="s">
        <v>3967</v>
      </c>
      <c r="E49" s="158" t="str">
        <f>HYPERLINK("https://youtu.be/QLuxo92SY5k?t=997","channel 1")</f>
        <v>channel 1</v>
      </c>
    </row>
    <row r="50">
      <c r="A50" s="141"/>
      <c r="B50" s="61" t="s">
        <v>4059</v>
      </c>
      <c r="C50" s="57" t="s">
        <v>193</v>
      </c>
      <c r="D50" s="61" t="s">
        <v>3265</v>
      </c>
      <c r="E50" s="11" t="str">
        <f>HYPERLINK("https://youtu.be/5woCOibJOLI?t=964","channel 2")</f>
        <v>channel 2</v>
      </c>
    </row>
    <row r="51">
      <c r="A51" s="141"/>
      <c r="B51" s="61" t="s">
        <v>4060</v>
      </c>
      <c r="C51" s="57" t="s">
        <v>37</v>
      </c>
      <c r="D51" s="61" t="s">
        <v>2987</v>
      </c>
      <c r="E51" s="158" t="str">
        <f>HYPERLINK("https://youtu.be/QLuxo92SY5k?t=1937","channel 1")</f>
        <v>channel 1</v>
      </c>
    </row>
    <row r="52">
      <c r="A52" s="141"/>
      <c r="B52" s="61" t="s">
        <v>4059</v>
      </c>
      <c r="C52" s="57" t="s">
        <v>324</v>
      </c>
      <c r="D52" s="61" t="s">
        <v>3967</v>
      </c>
      <c r="E52" s="11" t="str">
        <f>HYPERLINK("https://youtu.be/5woCOibJOLI?t=1902","channel 2")</f>
        <v>channel 2</v>
      </c>
    </row>
    <row r="53">
      <c r="A53" s="141"/>
      <c r="B53" s="61" t="s">
        <v>4060</v>
      </c>
      <c r="C53" s="57" t="s">
        <v>16</v>
      </c>
      <c r="D53" s="61" t="s">
        <v>3265</v>
      </c>
      <c r="E53" s="158" t="str">
        <f>HYPERLINK("https://youtu.be/QLuxo92SY5k?t=2927","channel 1")</f>
        <v>channel 1</v>
      </c>
    </row>
    <row r="54">
      <c r="A54" s="141"/>
      <c r="B54" s="61" t="s">
        <v>2987</v>
      </c>
      <c r="C54" s="57" t="s">
        <v>290</v>
      </c>
      <c r="D54" s="61" t="s">
        <v>3967</v>
      </c>
      <c r="E54" s="11" t="str">
        <f>HYPERLINK("https://youtu.be/5woCOibJOLI?t=2953","channel 2")</f>
        <v>channel 2</v>
      </c>
    </row>
    <row r="55">
      <c r="A55" s="141"/>
      <c r="B55" s="61" t="s">
        <v>4060</v>
      </c>
      <c r="C55" s="57" t="s">
        <v>163</v>
      </c>
      <c r="D55" s="61" t="s">
        <v>4059</v>
      </c>
      <c r="E55" s="158" t="str">
        <f>HYPERLINK("https://youtu.be/QLuxo92SY5k?t=3802","channel 1")</f>
        <v>channel 1</v>
      </c>
    </row>
    <row r="56">
      <c r="A56" s="141"/>
      <c r="B56" s="61" t="s">
        <v>2987</v>
      </c>
      <c r="C56" s="57" t="s">
        <v>366</v>
      </c>
      <c r="D56" s="61" t="s">
        <v>3265</v>
      </c>
      <c r="E56" s="11" t="str">
        <f>HYPERLINK("https://youtu.be/5woCOibJOLI?t=3981","channel 2")</f>
        <v>channel 2</v>
      </c>
    </row>
    <row r="57">
      <c r="A57" s="141"/>
      <c r="B57" s="61" t="s">
        <v>3265</v>
      </c>
      <c r="C57" s="57" t="s">
        <v>176</v>
      </c>
      <c r="D57" s="61" t="s">
        <v>3967</v>
      </c>
      <c r="E57" s="158" t="str">
        <f>HYPERLINK("https://youtu.be/QLuxo92SY5k?t=4843","channel 1")</f>
        <v>channel 1</v>
      </c>
    </row>
    <row r="58">
      <c r="A58" s="141"/>
      <c r="B58" s="61" t="s">
        <v>2987</v>
      </c>
      <c r="C58" s="57" t="s">
        <v>36</v>
      </c>
      <c r="D58" s="61" t="s">
        <v>4059</v>
      </c>
      <c r="E58" s="11" t="str">
        <f>HYPERLINK("https://youtu.be/5woCOibJOLI?t=4881","channel 2")</f>
        <v>channel 2</v>
      </c>
    </row>
    <row r="59">
      <c r="A59" s="141"/>
      <c r="B59" s="61" t="s">
        <v>3967</v>
      </c>
      <c r="C59" s="57" t="s">
        <v>640</v>
      </c>
      <c r="D59" s="61" t="s">
        <v>4060</v>
      </c>
      <c r="E59" s="158" t="str">
        <f>HYPERLINK("https://youtu.be/QLuxo92SY5k?t=5805","channel 1")</f>
        <v>channel 1</v>
      </c>
    </row>
    <row r="60">
      <c r="A60" s="141"/>
      <c r="B60" s="61" t="s">
        <v>3265</v>
      </c>
      <c r="C60" s="57" t="s">
        <v>688</v>
      </c>
      <c r="D60" s="61" t="s">
        <v>4059</v>
      </c>
      <c r="E60" s="11" t="str">
        <f>HYPERLINK("https://youtu.be/5woCOibJOLI?t=5842","channel 2")</f>
        <v>channel 2</v>
      </c>
    </row>
    <row r="61">
      <c r="A61" s="141"/>
      <c r="B61" s="61" t="s">
        <v>2987</v>
      </c>
      <c r="C61" s="57" t="s">
        <v>459</v>
      </c>
      <c r="D61" s="61" t="s">
        <v>4060</v>
      </c>
      <c r="E61" s="158" t="str">
        <f>HYPERLINK("https://youtu.be/QLuxo92SY5k?t=6757","channel 1")</f>
        <v>channel 1</v>
      </c>
    </row>
    <row r="62">
      <c r="A62" s="141"/>
      <c r="B62" s="61" t="s">
        <v>3967</v>
      </c>
      <c r="C62" s="45" t="s">
        <v>17</v>
      </c>
      <c r="D62" s="61" t="s">
        <v>4059</v>
      </c>
      <c r="E62" s="11" t="str">
        <f>HYPERLINK("https://youtu.be/5woCOibJOLI?t=6855","channel 2")</f>
        <v>channel 2</v>
      </c>
    </row>
    <row r="63">
      <c r="A63" s="141"/>
      <c r="B63" s="61" t="s">
        <v>3265</v>
      </c>
      <c r="C63" s="57" t="s">
        <v>574</v>
      </c>
      <c r="D63" s="61" t="s">
        <v>4060</v>
      </c>
      <c r="E63" s="158" t="str">
        <f>HYPERLINK("https://youtu.be/QLuxo92SY5k?t=7786","channel 1")</f>
        <v>channel 1</v>
      </c>
    </row>
    <row r="64">
      <c r="A64" s="141"/>
      <c r="B64" s="61" t="s">
        <v>3967</v>
      </c>
      <c r="C64" s="57" t="s">
        <v>42</v>
      </c>
      <c r="D64" s="61" t="s">
        <v>2987</v>
      </c>
      <c r="E64" s="11" t="str">
        <f>HYPERLINK("https://youtu.be/5woCOibJOLI?t=7823","channel 2")</f>
        <v>channel 2</v>
      </c>
    </row>
    <row r="65">
      <c r="A65" s="141"/>
      <c r="B65" s="61" t="s">
        <v>4059</v>
      </c>
      <c r="C65" s="57" t="s">
        <v>208</v>
      </c>
      <c r="D65" s="61" t="s">
        <v>4060</v>
      </c>
      <c r="E65" s="158" t="str">
        <f>HYPERLINK("https://youtu.be/QLuxo92SY5k?t=8730","channel 1")</f>
        <v>channel 1</v>
      </c>
    </row>
    <row r="66">
      <c r="A66" s="141"/>
      <c r="B66" s="61" t="s">
        <v>3265</v>
      </c>
      <c r="C66" s="57" t="s">
        <v>292</v>
      </c>
      <c r="D66" s="61" t="s">
        <v>2987</v>
      </c>
      <c r="E66" s="11" t="str">
        <f>HYPERLINK("https://youtu.be/5woCOibJOLI?t=8708","channel 2")</f>
        <v>channel 2</v>
      </c>
    </row>
    <row r="67">
      <c r="A67" s="141"/>
      <c r="B67" s="160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4061</v>
      </c>
      <c r="C69" s="57" t="s">
        <v>19</v>
      </c>
      <c r="D69" s="61" t="s">
        <v>3530</v>
      </c>
      <c r="E69" s="158" t="str">
        <f>HYPERLINK("https://youtu.be/qjt7_FGehBM","channel 1")</f>
        <v>channel 1</v>
      </c>
    </row>
    <row r="70">
      <c r="A70" s="141"/>
      <c r="B70" s="61" t="s">
        <v>4062</v>
      </c>
      <c r="C70" s="57" t="s">
        <v>856</v>
      </c>
      <c r="D70" s="61" t="s">
        <v>4063</v>
      </c>
      <c r="E70" s="11" t="str">
        <f>HYPERLINK("https://youtu.be/r29BItdyXDk","channel 2")</f>
        <v>channel 2</v>
      </c>
    </row>
    <row r="71">
      <c r="A71" s="141"/>
      <c r="B71" s="61" t="s">
        <v>4064</v>
      </c>
      <c r="C71" s="57" t="s">
        <v>181</v>
      </c>
      <c r="D71" s="61" t="s">
        <v>4061</v>
      </c>
      <c r="E71" s="158" t="str">
        <f>HYPERLINK("https://youtu.be/qjt7_FGehBM?t=972","channel 1")</f>
        <v>channel 1</v>
      </c>
    </row>
    <row r="72">
      <c r="A72" s="141"/>
      <c r="B72" s="61" t="s">
        <v>4062</v>
      </c>
      <c r="C72" s="57" t="s">
        <v>290</v>
      </c>
      <c r="D72" s="61" t="s">
        <v>3530</v>
      </c>
      <c r="E72" s="11" t="str">
        <f>HYPERLINK("https://youtu.be/r29BItdyXDk?t=998","channel 2")</f>
        <v>channel 2</v>
      </c>
    </row>
    <row r="73">
      <c r="A73" s="141"/>
      <c r="B73" s="61" t="s">
        <v>4064</v>
      </c>
      <c r="C73" s="57" t="s">
        <v>256</v>
      </c>
      <c r="D73" s="61" t="s">
        <v>4063</v>
      </c>
      <c r="E73" s="158" t="str">
        <f>HYPERLINK("https://youtu.be/qjt7_FGehBM?t=1877","channel 1")</f>
        <v>channel 1</v>
      </c>
    </row>
    <row r="74">
      <c r="A74" s="141"/>
      <c r="B74" s="61" t="s">
        <v>4062</v>
      </c>
      <c r="C74" s="57" t="s">
        <v>16</v>
      </c>
      <c r="D74" s="61" t="s">
        <v>4061</v>
      </c>
      <c r="E74" s="11" t="str">
        <f>HYPERLINK("https://youtu.be/r29BItdyXDk?t=1918","channel 2")</f>
        <v>channel 2</v>
      </c>
    </row>
    <row r="75">
      <c r="A75" s="141"/>
      <c r="B75" s="61" t="s">
        <v>4064</v>
      </c>
      <c r="C75" s="54" t="s">
        <v>302</v>
      </c>
      <c r="D75" s="61" t="s">
        <v>3530</v>
      </c>
      <c r="E75" s="158" t="str">
        <f>HYPERLINK("https://youtu.be/qjt7_FGehBM?t=2967","channel 1")</f>
        <v>channel 1</v>
      </c>
    </row>
    <row r="76">
      <c r="A76" s="141"/>
      <c r="B76" s="61" t="s">
        <v>4063</v>
      </c>
      <c r="C76" s="57" t="s">
        <v>278</v>
      </c>
      <c r="D76" s="61" t="s">
        <v>4061</v>
      </c>
      <c r="E76" s="11" t="str">
        <f>HYPERLINK("https://youtu.be/r29BItdyXDk?t=3097","channel 2")</f>
        <v>channel 2</v>
      </c>
    </row>
    <row r="77">
      <c r="A77" s="141"/>
      <c r="B77" s="61" t="s">
        <v>4064</v>
      </c>
      <c r="C77" s="57" t="s">
        <v>23</v>
      </c>
      <c r="D77" s="61" t="s">
        <v>4062</v>
      </c>
      <c r="E77" s="158" t="str">
        <f>HYPERLINK("https://youtu.be/qjt7_FGehBM?t=3976","channel 1")</f>
        <v>channel 1</v>
      </c>
    </row>
    <row r="78">
      <c r="A78" s="141"/>
      <c r="B78" s="61" t="s">
        <v>4063</v>
      </c>
      <c r="C78" s="57" t="s">
        <v>7</v>
      </c>
      <c r="D78" s="61" t="s">
        <v>3530</v>
      </c>
      <c r="E78" s="11" t="str">
        <f>HYPERLINK("https://youtu.be/r29BItdyXDk?t=4064","channel 2")</f>
        <v>channel 2</v>
      </c>
    </row>
    <row r="79">
      <c r="A79" s="141"/>
      <c r="B79" s="61" t="s">
        <v>3530</v>
      </c>
      <c r="C79" s="57" t="s">
        <v>41</v>
      </c>
      <c r="D79" s="61" t="s">
        <v>4061</v>
      </c>
      <c r="E79" s="158" t="str">
        <f>HYPERLINK("https://youtu.be/qjt7_FGehBM?t=4962","channel 1")</f>
        <v>channel 1</v>
      </c>
    </row>
    <row r="80">
      <c r="A80" s="141"/>
      <c r="B80" s="61" t="s">
        <v>4063</v>
      </c>
      <c r="C80" s="57" t="s">
        <v>515</v>
      </c>
      <c r="D80" s="61" t="s">
        <v>4062</v>
      </c>
      <c r="E80" s="11" t="str">
        <f>HYPERLINK("https://youtu.be/r29BItdyXDk?t=5110","channel 2")</f>
        <v>channel 2</v>
      </c>
    </row>
    <row r="81">
      <c r="A81" s="141"/>
      <c r="B81" s="61" t="s">
        <v>4061</v>
      </c>
      <c r="C81" s="57" t="s">
        <v>219</v>
      </c>
      <c r="D81" s="61" t="s">
        <v>4064</v>
      </c>
      <c r="E81" s="158" t="str">
        <f>HYPERLINK("https://youtu.be/qjt7_FGehBM?t=6030","channel 1")</f>
        <v>channel 1</v>
      </c>
    </row>
    <row r="82">
      <c r="A82" s="141"/>
      <c r="B82" s="61" t="s">
        <v>3530</v>
      </c>
      <c r="C82" s="57" t="s">
        <v>158</v>
      </c>
      <c r="D82" s="61" t="s">
        <v>4062</v>
      </c>
      <c r="E82" s="11" t="str">
        <f>HYPERLINK("https://youtu.be/r29BItdyXDk?t=6276","channel 2")</f>
        <v>channel 2</v>
      </c>
    </row>
    <row r="83">
      <c r="A83" s="141"/>
      <c r="B83" s="61" t="s">
        <v>4063</v>
      </c>
      <c r="C83" s="57" t="s">
        <v>301</v>
      </c>
      <c r="D83" s="61" t="s">
        <v>4064</v>
      </c>
      <c r="E83" s="158" t="str">
        <f>HYPERLINK("https://youtu.be/qjt7_FGehBM?t=7007","channel 1")</f>
        <v>channel 1</v>
      </c>
    </row>
    <row r="84">
      <c r="A84" s="141"/>
      <c r="B84" s="61" t="s">
        <v>4061</v>
      </c>
      <c r="C84" s="57" t="s">
        <v>219</v>
      </c>
      <c r="D84" s="61" t="s">
        <v>4062</v>
      </c>
      <c r="E84" s="11" t="str">
        <f>HYPERLINK("https://youtu.be/r29BItdyXDk?t=7183","channel 2")</f>
        <v>channel 2</v>
      </c>
    </row>
    <row r="85">
      <c r="A85" s="141"/>
      <c r="B85" s="61" t="s">
        <v>3530</v>
      </c>
      <c r="C85" s="57" t="s">
        <v>198</v>
      </c>
      <c r="D85" s="61" t="s">
        <v>4064</v>
      </c>
      <c r="E85" s="158" t="str">
        <f>HYPERLINK("https://youtu.be/qjt7_FGehBM?t=7956","channel 1")</f>
        <v>channel 1</v>
      </c>
    </row>
    <row r="86">
      <c r="A86" s="141"/>
      <c r="B86" s="61" t="s">
        <v>4061</v>
      </c>
      <c r="C86" s="57" t="s">
        <v>418</v>
      </c>
      <c r="D86" s="61" t="s">
        <v>4063</v>
      </c>
      <c r="E86" s="11" t="str">
        <f>HYPERLINK("https://youtu.be/r29BItdyXDk?t=8135","channel 2")</f>
        <v>channel 2</v>
      </c>
    </row>
    <row r="87">
      <c r="A87" s="141"/>
      <c r="B87" s="61" t="s">
        <v>4062</v>
      </c>
      <c r="C87" s="57" t="s">
        <v>220</v>
      </c>
      <c r="D87" s="61" t="s">
        <v>4064</v>
      </c>
      <c r="E87" s="158" t="str">
        <f>HYPERLINK("https://youtu.be/qjt7_FGehBM?t=8934","channel 1")</f>
        <v>channel 1</v>
      </c>
    </row>
    <row r="88">
      <c r="A88" s="141"/>
      <c r="B88" s="61" t="s">
        <v>3530</v>
      </c>
      <c r="C88" s="57" t="s">
        <v>19</v>
      </c>
      <c r="D88" s="61" t="s">
        <v>4063</v>
      </c>
      <c r="E88" s="11" t="str">
        <f>HYPERLINK("https://youtu.be/r29BItdyXDk?t=8992","channel 2")</f>
        <v>channel 2</v>
      </c>
    </row>
    <row r="89">
      <c r="A89" s="141"/>
      <c r="B89" s="96" t="s">
        <v>2166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142" t="s">
        <v>3337</v>
      </c>
      <c r="C91" s="57" t="s">
        <v>362</v>
      </c>
      <c r="D91" s="61" t="s">
        <v>3928</v>
      </c>
      <c r="E91" s="158" t="str">
        <f>HYPERLINK("https://youtu.be/KQsEYr_BU-U","channel 1")</f>
        <v>channel 1</v>
      </c>
    </row>
    <row r="92">
      <c r="A92" s="141"/>
      <c r="B92" s="61" t="s">
        <v>1915</v>
      </c>
      <c r="C92" s="57" t="s">
        <v>177</v>
      </c>
      <c r="D92" s="61" t="s">
        <v>4065</v>
      </c>
      <c r="E92" s="11" t="str">
        <f>HYPERLINK("https://youtu.be/oS5GFNbC0zE","channel 2")</f>
        <v>channel 2</v>
      </c>
    </row>
    <row r="93">
      <c r="A93" s="141"/>
      <c r="B93" s="61" t="s">
        <v>4066</v>
      </c>
      <c r="C93" s="57" t="s">
        <v>979</v>
      </c>
      <c r="D93" s="61" t="s">
        <v>3337</v>
      </c>
      <c r="E93" s="158" t="str">
        <f>HYPERLINK("https://youtu.be/KQsEYr_BU-U?t=1103","channel 1")</f>
        <v>channel 1</v>
      </c>
    </row>
    <row r="94">
      <c r="A94" s="141"/>
      <c r="B94" s="61" t="s">
        <v>1915</v>
      </c>
      <c r="C94" s="57" t="s">
        <v>292</v>
      </c>
      <c r="D94" s="61" t="s">
        <v>3928</v>
      </c>
      <c r="E94" s="11" t="str">
        <f>HYPERLINK("https://youtu.be/oS5GFNbC0zE?t=1033","channel 2")</f>
        <v>channel 2</v>
      </c>
    </row>
    <row r="95">
      <c r="A95" s="141"/>
      <c r="B95" s="61" t="s">
        <v>4066</v>
      </c>
      <c r="C95" s="57" t="s">
        <v>250</v>
      </c>
      <c r="D95" s="61" t="s">
        <v>4065</v>
      </c>
      <c r="E95" s="158" t="str">
        <f>HYPERLINK("https://youtu.be/KQsEYr_BU-U?t=2023","channel 1")</f>
        <v>channel 1</v>
      </c>
    </row>
    <row r="96">
      <c r="A96" s="141"/>
      <c r="B96" s="61" t="s">
        <v>1915</v>
      </c>
      <c r="C96" s="57" t="s">
        <v>20</v>
      </c>
      <c r="D96" s="61" t="s">
        <v>3337</v>
      </c>
      <c r="E96" s="11" t="str">
        <f>HYPERLINK("https://youtu.be/oS5GFNbC0zE?t=1982","channel 2")</f>
        <v>channel 2</v>
      </c>
    </row>
    <row r="97">
      <c r="A97" s="141"/>
      <c r="B97" s="61" t="s">
        <v>4066</v>
      </c>
      <c r="C97" s="57" t="s">
        <v>395</v>
      </c>
      <c r="D97" s="61" t="s">
        <v>3928</v>
      </c>
      <c r="E97" s="158" t="str">
        <f>HYPERLINK("https://youtu.be/KQsEYr_BU-U?t=2953","channel 1")</f>
        <v>channel 1</v>
      </c>
    </row>
    <row r="98">
      <c r="A98" s="141"/>
      <c r="B98" s="61" t="s">
        <v>4065</v>
      </c>
      <c r="C98" s="57" t="s">
        <v>16</v>
      </c>
      <c r="D98" s="61" t="s">
        <v>3337</v>
      </c>
      <c r="E98" s="11" t="str">
        <f>HYPERLINK("https://youtu.be/oS5GFNbC0zE?t=3005","channel 2")</f>
        <v>channel 2</v>
      </c>
    </row>
    <row r="99">
      <c r="A99" s="141"/>
      <c r="B99" s="61" t="s">
        <v>4066</v>
      </c>
      <c r="C99" s="57" t="s">
        <v>197</v>
      </c>
      <c r="D99" s="61" t="s">
        <v>1915</v>
      </c>
      <c r="E99" s="158" t="str">
        <f>HYPERLINK("https://youtu.be/KQsEYr_BU-U?t=3880","channel 1")</f>
        <v>channel 1</v>
      </c>
    </row>
    <row r="100">
      <c r="A100" s="141"/>
      <c r="B100" s="61" t="s">
        <v>4065</v>
      </c>
      <c r="C100" s="57" t="s">
        <v>248</v>
      </c>
      <c r="D100" s="61" t="s">
        <v>3928</v>
      </c>
      <c r="E100" s="11" t="str">
        <f>HYPERLINK("https://youtu.be/oS5GFNbC0zE?t=3889","channel 2")</f>
        <v>channel 2</v>
      </c>
    </row>
    <row r="101">
      <c r="A101" s="141"/>
      <c r="B101" s="61" t="s">
        <v>3928</v>
      </c>
      <c r="C101" s="57" t="s">
        <v>158</v>
      </c>
      <c r="D101" s="61" t="s">
        <v>3337</v>
      </c>
      <c r="E101" s="158" t="str">
        <f>HYPERLINK("https://youtu.be/KQsEYr_BU-U?t=4788","channel 1")</f>
        <v>channel 1</v>
      </c>
    </row>
    <row r="102">
      <c r="A102" s="141"/>
      <c r="B102" s="61" t="s">
        <v>4065</v>
      </c>
      <c r="C102" s="57" t="s">
        <v>23</v>
      </c>
      <c r="D102" s="61" t="s">
        <v>1915</v>
      </c>
      <c r="E102" s="11" t="str">
        <f>HYPERLINK("https://youtu.be/oS5GFNbC0zE?t=4762","channel 2")</f>
        <v>channel 2</v>
      </c>
    </row>
    <row r="103">
      <c r="A103" s="141"/>
      <c r="B103" s="61" t="s">
        <v>3337</v>
      </c>
      <c r="C103" s="57" t="s">
        <v>1119</v>
      </c>
      <c r="D103" s="61" t="s">
        <v>4066</v>
      </c>
      <c r="E103" s="158" t="str">
        <f>HYPERLINK("https://youtu.be/KQsEYr_BU-U?t=5680","channel 1")</f>
        <v>channel 1</v>
      </c>
    </row>
    <row r="104">
      <c r="A104" s="141"/>
      <c r="B104" s="61" t="s">
        <v>3928</v>
      </c>
      <c r="C104" s="57" t="s">
        <v>744</v>
      </c>
      <c r="D104" s="61" t="s">
        <v>1915</v>
      </c>
      <c r="E104" s="11" t="str">
        <f>HYPERLINK("https://youtu.be/oS5GFNbC0zE?t=5627","channel 2")</f>
        <v>channel 2</v>
      </c>
    </row>
    <row r="105">
      <c r="A105" s="141"/>
      <c r="B105" s="61" t="s">
        <v>4065</v>
      </c>
      <c r="C105" s="57" t="s">
        <v>225</v>
      </c>
      <c r="D105" s="61" t="s">
        <v>4066</v>
      </c>
      <c r="E105" s="158" t="str">
        <f>HYPERLINK("https://youtu.be/KQsEYr_BU-U?t=6649","channel 1")</f>
        <v>channel 1</v>
      </c>
    </row>
    <row r="106">
      <c r="A106" s="141"/>
      <c r="B106" s="61" t="s">
        <v>3337</v>
      </c>
      <c r="C106" s="57" t="s">
        <v>16</v>
      </c>
      <c r="D106" s="61" t="s">
        <v>1915</v>
      </c>
      <c r="E106" s="11" t="str">
        <f>HYPERLINK("https://youtu.be/oS5GFNbC0zE?t=6548","channel 2")</f>
        <v>channel 2</v>
      </c>
    </row>
    <row r="107">
      <c r="A107" s="141"/>
      <c r="B107" s="61" t="s">
        <v>3928</v>
      </c>
      <c r="C107" s="57" t="s">
        <v>196</v>
      </c>
      <c r="D107" s="61" t="s">
        <v>4066</v>
      </c>
      <c r="E107" s="158" t="str">
        <f>HYPERLINK("https://youtu.be/KQsEYr_BU-U?t=7660","channel 1")</f>
        <v>channel 1</v>
      </c>
    </row>
    <row r="108">
      <c r="A108" s="141"/>
      <c r="B108" s="61" t="s">
        <v>3337</v>
      </c>
      <c r="C108" s="57" t="s">
        <v>157</v>
      </c>
      <c r="D108" s="61" t="s">
        <v>4065</v>
      </c>
      <c r="E108" s="11" t="str">
        <f>HYPERLINK("https://youtu.be/oS5GFNbC0zE?t=7674","channel 2")</f>
        <v>channel 2</v>
      </c>
    </row>
    <row r="109">
      <c r="A109" s="141"/>
      <c r="B109" s="61" t="s">
        <v>1915</v>
      </c>
      <c r="C109" s="57" t="s">
        <v>208</v>
      </c>
      <c r="D109" s="61" t="s">
        <v>4066</v>
      </c>
      <c r="E109" s="158" t="str">
        <f>HYPERLINK("https://youtu.be/KQsEYr_BU-U?t=8570","channel 1")</f>
        <v>channel 1</v>
      </c>
    </row>
    <row r="110">
      <c r="A110" s="141"/>
      <c r="B110" s="61" t="s">
        <v>3928</v>
      </c>
      <c r="C110" s="57" t="s">
        <v>231</v>
      </c>
      <c r="D110" s="61" t="s">
        <v>4065</v>
      </c>
      <c r="E110" s="11" t="str">
        <f>HYPERLINK("https://youtu.be/oS5GFNbC0zE?t=8617","channel 2")</f>
        <v>channel 2</v>
      </c>
    </row>
    <row r="111">
      <c r="A111" s="141"/>
      <c r="B111" s="96" t="s">
        <v>2375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61" t="s">
        <v>3535</v>
      </c>
      <c r="C113" s="57" t="s">
        <v>662</v>
      </c>
      <c r="D113" s="61" t="s">
        <v>3070</v>
      </c>
      <c r="E113" s="158" t="str">
        <f>HYPERLINK("https://youtu.be/gU_YFEV_KaI","channel 1")</f>
        <v>channel 1</v>
      </c>
    </row>
    <row r="114">
      <c r="A114" s="141"/>
      <c r="B114" s="61" t="s">
        <v>3173</v>
      </c>
      <c r="C114" s="57" t="s">
        <v>14</v>
      </c>
      <c r="D114" s="61" t="s">
        <v>3452</v>
      </c>
      <c r="E114" s="11" t="str">
        <f>HYPERLINK("https://youtu.be/gzHHJ3832y8","channel 2")</f>
        <v>channel 2</v>
      </c>
    </row>
    <row r="115">
      <c r="A115" s="141"/>
      <c r="B115" s="61" t="s">
        <v>4054</v>
      </c>
      <c r="C115" s="57" t="s">
        <v>757</v>
      </c>
      <c r="D115" s="61" t="s">
        <v>3535</v>
      </c>
      <c r="E115" s="158" t="str">
        <f>HYPERLINK("https://youtu.be/gU_YFEV_KaI?t=991","channel 1")</f>
        <v>channel 1</v>
      </c>
    </row>
    <row r="116">
      <c r="A116" s="141"/>
      <c r="B116" s="61" t="s">
        <v>3173</v>
      </c>
      <c r="C116" s="57" t="s">
        <v>250</v>
      </c>
      <c r="D116" s="61" t="s">
        <v>3070</v>
      </c>
      <c r="E116" s="11" t="str">
        <f>HYPERLINK("https://youtu.be/gzHHJ3832y8?t=954","channel 2")</f>
        <v>channel 2</v>
      </c>
    </row>
    <row r="117">
      <c r="A117" s="141"/>
      <c r="B117" s="61" t="s">
        <v>4054</v>
      </c>
      <c r="C117" s="57" t="s">
        <v>303</v>
      </c>
      <c r="D117" s="61" t="s">
        <v>3452</v>
      </c>
      <c r="E117" s="158" t="str">
        <f>HYPERLINK("https://youtu.be/gU_YFEV_KaI?t=1918","channel 1")</f>
        <v>channel 1</v>
      </c>
    </row>
    <row r="118">
      <c r="A118" s="141"/>
      <c r="B118" s="61" t="s">
        <v>3173</v>
      </c>
      <c r="C118" s="57" t="s">
        <v>218</v>
      </c>
      <c r="D118" s="61" t="s">
        <v>3535</v>
      </c>
      <c r="E118" s="11" t="str">
        <f>HYPERLINK("https://youtu.be/gzHHJ3832y8?t=1801","channel 2")</f>
        <v>channel 2</v>
      </c>
    </row>
    <row r="119">
      <c r="A119" s="141"/>
      <c r="B119" s="61" t="s">
        <v>4054</v>
      </c>
      <c r="C119" s="57" t="s">
        <v>210</v>
      </c>
      <c r="D119" s="61" t="s">
        <v>3070</v>
      </c>
      <c r="E119" s="158" t="str">
        <f>HYPERLINK("https://youtu.be/gU_YFEV_KaI?t=2910","channel 1")</f>
        <v>channel 1</v>
      </c>
    </row>
    <row r="120">
      <c r="A120" s="141"/>
      <c r="B120" s="61" t="s">
        <v>3452</v>
      </c>
      <c r="C120" s="57" t="s">
        <v>155</v>
      </c>
      <c r="D120" s="61" t="s">
        <v>3535</v>
      </c>
      <c r="E120" s="11" t="str">
        <f>HYPERLINK("https://youtu.be/gzHHJ3832y8?t=2782","channel 2")</f>
        <v>channel 2</v>
      </c>
    </row>
    <row r="121">
      <c r="A121" s="141"/>
      <c r="B121" s="61" t="s">
        <v>4054</v>
      </c>
      <c r="C121" s="57" t="s">
        <v>419</v>
      </c>
      <c r="D121" s="61" t="s">
        <v>3173</v>
      </c>
      <c r="E121" s="158" t="str">
        <f>HYPERLINK("https://youtu.be/gU_YFEV_KaI?t=3851","channel 1")</f>
        <v>channel 1</v>
      </c>
    </row>
    <row r="122">
      <c r="A122" s="141"/>
      <c r="B122" s="61" t="s">
        <v>3452</v>
      </c>
      <c r="C122" s="57" t="s">
        <v>545</v>
      </c>
      <c r="D122" s="61" t="s">
        <v>3070</v>
      </c>
      <c r="E122" s="11" t="str">
        <f>HYPERLINK("https://youtu.be/gzHHJ3832y8?t=3659","channel 2")</f>
        <v>channel 2</v>
      </c>
    </row>
    <row r="123">
      <c r="A123" s="141"/>
      <c r="B123" s="61" t="s">
        <v>3070</v>
      </c>
      <c r="C123" s="57" t="s">
        <v>155</v>
      </c>
      <c r="D123" s="61" t="s">
        <v>3535</v>
      </c>
      <c r="E123" s="158" t="str">
        <f>HYPERLINK("https://youtu.be/gU_YFEV_KaI?t=4803","channel 1")</f>
        <v>channel 1</v>
      </c>
    </row>
    <row r="124">
      <c r="A124" s="141"/>
      <c r="B124" s="61" t="s">
        <v>3452</v>
      </c>
      <c r="C124" s="57" t="s">
        <v>227</v>
      </c>
      <c r="D124" s="61" t="s">
        <v>3173</v>
      </c>
      <c r="E124" s="11" t="str">
        <f>HYPERLINK("https://youtu.be/gzHHJ3832y8?t=3659","channel 2")</f>
        <v>channel 2</v>
      </c>
    </row>
    <row r="125">
      <c r="A125" s="141"/>
      <c r="B125" s="61" t="s">
        <v>3535</v>
      </c>
      <c r="C125" s="57" t="s">
        <v>281</v>
      </c>
      <c r="D125" s="61" t="s">
        <v>4054</v>
      </c>
      <c r="E125" s="158" t="str">
        <f>HYPERLINK("https://youtu.be/gU_YFEV_KaI?t=5731","channel 1")</f>
        <v>channel 1</v>
      </c>
    </row>
    <row r="126">
      <c r="A126" s="141"/>
      <c r="B126" s="61" t="s">
        <v>3070</v>
      </c>
      <c r="C126" s="57" t="s">
        <v>22</v>
      </c>
      <c r="D126" s="61" t="s">
        <v>3173</v>
      </c>
      <c r="E126" s="11" t="str">
        <f>HYPERLINK("https://youtu.be/gzHHJ3832y8?t=5609","channel 2")</f>
        <v>channel 2</v>
      </c>
    </row>
    <row r="127">
      <c r="A127" s="141"/>
      <c r="B127" s="61" t="s">
        <v>3452</v>
      </c>
      <c r="C127" s="57" t="s">
        <v>439</v>
      </c>
      <c r="D127" s="61" t="s">
        <v>4054</v>
      </c>
      <c r="E127" s="158" t="str">
        <f>HYPERLINK("https://youtu.be/gU_YFEV_KaI?t=6658","channel 1")</f>
        <v>channel 1</v>
      </c>
    </row>
    <row r="128">
      <c r="A128" s="141"/>
      <c r="B128" s="61" t="s">
        <v>3535</v>
      </c>
      <c r="C128" s="57" t="s">
        <v>176</v>
      </c>
      <c r="D128" s="61" t="s">
        <v>3173</v>
      </c>
      <c r="E128" s="11" t="str">
        <f>HYPERLINK("https://youtu.be/gzHHJ3832y8?t=6551","channel 2")</f>
        <v>channel 2</v>
      </c>
    </row>
    <row r="129">
      <c r="A129" s="141"/>
      <c r="B129" s="61" t="s">
        <v>3070</v>
      </c>
      <c r="C129" s="57" t="s">
        <v>882</v>
      </c>
      <c r="D129" s="61" t="s">
        <v>4054</v>
      </c>
      <c r="E129" s="158" t="str">
        <f>HYPERLINK("https://youtu.be/gU_YFEV_KaI?t=7547","channel 1")</f>
        <v>channel 1</v>
      </c>
    </row>
    <row r="130">
      <c r="A130" s="141"/>
      <c r="B130" s="61" t="s">
        <v>3535</v>
      </c>
      <c r="C130" s="57" t="s">
        <v>21</v>
      </c>
      <c r="D130" s="61" t="s">
        <v>3452</v>
      </c>
      <c r="E130" s="11" t="str">
        <f>HYPERLINK("https://youtu.be/gzHHJ3832y8?t=7473","channel 2")</f>
        <v>channel 2</v>
      </c>
    </row>
    <row r="131">
      <c r="A131" s="141"/>
      <c r="B131" s="61" t="s">
        <v>3173</v>
      </c>
      <c r="C131" s="57" t="s">
        <v>1153</v>
      </c>
      <c r="D131" s="61" t="s">
        <v>4054</v>
      </c>
      <c r="E131" s="158" t="str">
        <f>HYPERLINK("https://youtu.be/gU_YFEV_KaI?t=8472","channel 1")</f>
        <v>channel 1</v>
      </c>
    </row>
    <row r="132">
      <c r="A132" s="145"/>
      <c r="B132" s="61" t="s">
        <v>3070</v>
      </c>
      <c r="C132" s="57" t="s">
        <v>547</v>
      </c>
      <c r="D132" s="61" t="s">
        <v>3452</v>
      </c>
      <c r="E132" s="11" t="str">
        <f>HYPERLINK("https://youtu.be/gzHHJ3832y8?t=8317","channel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40"/>
      <c r="B1" s="96" t="s">
        <v>1526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61" t="s">
        <v>4067</v>
      </c>
      <c r="C3" s="57" t="s">
        <v>14</v>
      </c>
      <c r="D3" s="61" t="s">
        <v>2153</v>
      </c>
      <c r="E3" s="158" t="str">
        <f>HYPERLINK("https://youtu.be/BezndDkDUes","channel 1")</f>
        <v>channel 1</v>
      </c>
    </row>
    <row r="4">
      <c r="A4" s="141"/>
      <c r="B4" s="61" t="s">
        <v>3862</v>
      </c>
      <c r="C4" s="84" t="s">
        <v>18</v>
      </c>
      <c r="D4" s="61" t="s">
        <v>2329</v>
      </c>
      <c r="E4" s="11" t="str">
        <f>HYPERLINK("https://youtu.be/TT-Csga3Frg","channel 2")</f>
        <v>channel 2</v>
      </c>
    </row>
    <row r="5">
      <c r="A5" s="141"/>
      <c r="B5" s="61" t="s">
        <v>3491</v>
      </c>
      <c r="C5" s="57" t="s">
        <v>209</v>
      </c>
      <c r="D5" s="61" t="s">
        <v>4067</v>
      </c>
      <c r="E5" s="158" t="str">
        <f>HYPERLINK("https://youtu.be/BezndDkDUes?t=1001","channel 1")</f>
        <v>channel 1</v>
      </c>
    </row>
    <row r="6">
      <c r="A6" s="141"/>
      <c r="B6" s="61" t="s">
        <v>3862</v>
      </c>
      <c r="C6" s="57" t="s">
        <v>38</v>
      </c>
      <c r="D6" s="61" t="s">
        <v>2153</v>
      </c>
      <c r="E6" s="11" t="str">
        <f>HYPERLINK("https://youtu.be/TT-Csga3Frg?t=876","channel 2")</f>
        <v>channel 2</v>
      </c>
    </row>
    <row r="7">
      <c r="A7" s="141"/>
      <c r="B7" s="61" t="s">
        <v>3491</v>
      </c>
      <c r="C7" s="57" t="s">
        <v>18</v>
      </c>
      <c r="D7" s="61" t="s">
        <v>2329</v>
      </c>
      <c r="E7" s="158" t="str">
        <f>HYPERLINK("https://youtu.be/BezndDkDUes?t=1966","channel 1")</f>
        <v>channel 1</v>
      </c>
    </row>
    <row r="8">
      <c r="A8" s="141"/>
      <c r="B8" s="61" t="s">
        <v>3862</v>
      </c>
      <c r="C8" s="57" t="s">
        <v>303</v>
      </c>
      <c r="D8" s="61" t="s">
        <v>4067</v>
      </c>
      <c r="E8" s="11" t="str">
        <f>HYPERLINK("https://youtu.be/TT-Csga3Frg?t=1739","channel 2")</f>
        <v>channel 2</v>
      </c>
    </row>
    <row r="9">
      <c r="A9" s="141"/>
      <c r="B9" s="61" t="s">
        <v>3491</v>
      </c>
      <c r="C9" s="57" t="s">
        <v>162</v>
      </c>
      <c r="D9" s="61" t="s">
        <v>2153</v>
      </c>
      <c r="E9" s="158" t="str">
        <f>HYPERLINK("https://youtu.be/BezndDkDUes?t=2908","channel 1")</f>
        <v>channel 1</v>
      </c>
    </row>
    <row r="10">
      <c r="A10" s="141"/>
      <c r="B10" s="61" t="s">
        <v>2329</v>
      </c>
      <c r="C10" s="57" t="s">
        <v>17</v>
      </c>
      <c r="D10" s="61" t="s">
        <v>4067</v>
      </c>
      <c r="E10" s="11" t="str">
        <f>HYPERLINK("https://youtu.be/TT-Csga3Frg?t=2704","channel 2")</f>
        <v>channel 2</v>
      </c>
    </row>
    <row r="11">
      <c r="A11" s="141"/>
      <c r="B11" s="61" t="s">
        <v>3491</v>
      </c>
      <c r="C11" s="57" t="s">
        <v>34</v>
      </c>
      <c r="D11" s="61" t="s">
        <v>3862</v>
      </c>
      <c r="E11" s="158" t="str">
        <f>HYPERLINK("https://youtu.be/BezndDkDUes?t=3895","channel 1")</f>
        <v>channel 1</v>
      </c>
    </row>
    <row r="12">
      <c r="A12" s="141"/>
      <c r="B12" s="61" t="s">
        <v>2329</v>
      </c>
      <c r="C12" s="57" t="s">
        <v>158</v>
      </c>
      <c r="D12" s="61" t="s">
        <v>2153</v>
      </c>
      <c r="E12" s="11" t="str">
        <f>HYPERLINK("https://youtu.be/TT-Csga3Frg?t=3653","channel 2")</f>
        <v>channel 2</v>
      </c>
    </row>
    <row r="13">
      <c r="A13" s="141"/>
      <c r="B13" s="61" t="s">
        <v>2153</v>
      </c>
      <c r="C13" s="57" t="s">
        <v>155</v>
      </c>
      <c r="D13" s="61" t="s">
        <v>4067</v>
      </c>
      <c r="E13" s="158" t="str">
        <f>HYPERLINK("https://youtu.be/BezndDkDUes?t=4831","channel 1")</f>
        <v>channel 1</v>
      </c>
    </row>
    <row r="14">
      <c r="A14" s="141"/>
      <c r="B14" s="61" t="s">
        <v>2329</v>
      </c>
      <c r="C14" s="57" t="s">
        <v>849</v>
      </c>
      <c r="D14" s="61" t="s">
        <v>3862</v>
      </c>
      <c r="E14" s="11" t="str">
        <f>HYPERLINK("https://youtu.be/TT-Csga3Frg?t=4553","channel 2")</f>
        <v>channel 2</v>
      </c>
    </row>
    <row r="15">
      <c r="A15" s="141"/>
      <c r="B15" s="61" t="s">
        <v>4067</v>
      </c>
      <c r="C15" s="57" t="s">
        <v>219</v>
      </c>
      <c r="D15" s="61" t="s">
        <v>3491</v>
      </c>
      <c r="E15" s="158" t="str">
        <f>HYPERLINK("https://youtu.be/BezndDkDUes?t=5845","channel 1")</f>
        <v>channel 1</v>
      </c>
    </row>
    <row r="16">
      <c r="A16" s="141"/>
      <c r="B16" s="61" t="s">
        <v>2153</v>
      </c>
      <c r="C16" s="57" t="s">
        <v>531</v>
      </c>
      <c r="D16" s="61" t="s">
        <v>3862</v>
      </c>
      <c r="E16" s="11" t="str">
        <f>HYPERLINK("https://youtu.be/TT-Csga3Frg?t=5616","channel 2")</f>
        <v>channel 2</v>
      </c>
    </row>
    <row r="17">
      <c r="A17" s="141"/>
      <c r="B17" s="61" t="s">
        <v>2329</v>
      </c>
      <c r="C17" s="57" t="s">
        <v>16</v>
      </c>
      <c r="D17" s="61" t="s">
        <v>3491</v>
      </c>
      <c r="E17" s="158" t="str">
        <f>HYPERLINK("https://youtu.be/BezndDkDUes?t=6817","channel 1")</f>
        <v>channel 1</v>
      </c>
    </row>
    <row r="18">
      <c r="A18" s="141"/>
      <c r="B18" s="61" t="s">
        <v>4067</v>
      </c>
      <c r="C18" s="57" t="s">
        <v>16</v>
      </c>
      <c r="D18" s="61" t="s">
        <v>3862</v>
      </c>
      <c r="E18" s="11" t="str">
        <f>HYPERLINK("https://youtu.be/TT-Csga3Frg?t=6625","channel 2")</f>
        <v>channel 2</v>
      </c>
    </row>
    <row r="19">
      <c r="A19" s="141"/>
      <c r="B19" s="61" t="s">
        <v>2153</v>
      </c>
      <c r="C19" s="57" t="s">
        <v>218</v>
      </c>
      <c r="D19" s="61" t="s">
        <v>3491</v>
      </c>
      <c r="E19" s="158" t="str">
        <f>HYPERLINK("https://youtu.be/BezndDkDUes?t=7826","channel 1")</f>
        <v>channel 1</v>
      </c>
    </row>
    <row r="20">
      <c r="A20" s="141"/>
      <c r="B20" s="61" t="s">
        <v>4067</v>
      </c>
      <c r="C20" s="57" t="s">
        <v>245</v>
      </c>
      <c r="D20" s="61" t="s">
        <v>2329</v>
      </c>
      <c r="E20" s="11" t="str">
        <f>HYPERLINK("https://youtu.be/TT-Csga3Frg?t=7570","channel 2")</f>
        <v>channel 2</v>
      </c>
    </row>
    <row r="21">
      <c r="A21" s="141"/>
      <c r="B21" s="61" t="s">
        <v>3862</v>
      </c>
      <c r="C21" s="57" t="s">
        <v>289</v>
      </c>
      <c r="D21" s="61" t="s">
        <v>3491</v>
      </c>
      <c r="E21" s="158" t="str">
        <f>HYPERLINK("https://youtu.be/BezndDkDUes?t=8764","channel 1")</f>
        <v>channel 1</v>
      </c>
    </row>
    <row r="22">
      <c r="A22" s="141"/>
      <c r="B22" s="61" t="s">
        <v>2153</v>
      </c>
      <c r="C22" s="57" t="s">
        <v>189</v>
      </c>
      <c r="D22" s="61" t="s">
        <v>2329</v>
      </c>
      <c r="E22" s="11" t="str">
        <f>HYPERLINK("https://youtu.be/TT-Csga3Frg?t=8473","channel 2")</f>
        <v>channel 2</v>
      </c>
    </row>
    <row r="23">
      <c r="A23" s="141"/>
      <c r="B23" s="96" t="s">
        <v>2207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61" t="s">
        <v>4068</v>
      </c>
      <c r="C25" s="57" t="s">
        <v>23</v>
      </c>
      <c r="D25" s="61" t="s">
        <v>1974</v>
      </c>
      <c r="E25" s="158" t="str">
        <f>HYPERLINK("https://youtu.be/3eZPKdbRCYQ","channel 1")</f>
        <v>channel 1</v>
      </c>
    </row>
    <row r="26">
      <c r="A26" s="141"/>
      <c r="B26" s="61" t="s">
        <v>4069</v>
      </c>
      <c r="C26" s="57" t="s">
        <v>219</v>
      </c>
      <c r="D26" s="61" t="s">
        <v>4070</v>
      </c>
      <c r="E26" s="11" t="str">
        <f>HYPERLINK("https://youtu.be/byiqfAmOok0","channel 2")</f>
        <v>channel 2</v>
      </c>
    </row>
    <row r="27">
      <c r="A27" s="141"/>
      <c r="B27" s="61" t="s">
        <v>4071</v>
      </c>
      <c r="C27" s="57" t="s">
        <v>4072</v>
      </c>
      <c r="D27" s="61" t="s">
        <v>4068</v>
      </c>
      <c r="E27" s="164" t="s">
        <v>9</v>
      </c>
    </row>
    <row r="28">
      <c r="A28" s="141"/>
      <c r="B28" s="61" t="s">
        <v>4069</v>
      </c>
      <c r="C28" s="57" t="s">
        <v>342</v>
      </c>
      <c r="D28" s="61" t="s">
        <v>1974</v>
      </c>
      <c r="E28" s="11" t="str">
        <f>HYPERLINK("https://youtu.be/byiqfAmOok0?t=886","channel 2")</f>
        <v>channel 2</v>
      </c>
    </row>
    <row r="29">
      <c r="A29" s="141"/>
      <c r="B29" s="61" t="s">
        <v>4071</v>
      </c>
      <c r="C29" s="57" t="s">
        <v>450</v>
      </c>
      <c r="D29" s="61" t="s">
        <v>4070</v>
      </c>
      <c r="E29" s="164" t="s">
        <v>9</v>
      </c>
    </row>
    <row r="30">
      <c r="A30" s="141"/>
      <c r="B30" s="61" t="s">
        <v>4069</v>
      </c>
      <c r="C30" s="57" t="s">
        <v>196</v>
      </c>
      <c r="D30" s="61" t="s">
        <v>4068</v>
      </c>
      <c r="E30" s="11" t="str">
        <f>HYPERLINK("https://youtu.be/byiqfAmOok0?t=2057","channel 2")</f>
        <v>channel 2</v>
      </c>
    </row>
    <row r="31">
      <c r="A31" s="141"/>
      <c r="B31" s="61" t="s">
        <v>4071</v>
      </c>
      <c r="C31" s="57" t="s">
        <v>181</v>
      </c>
      <c r="D31" s="61" t="s">
        <v>1974</v>
      </c>
      <c r="E31" s="164" t="s">
        <v>9</v>
      </c>
    </row>
    <row r="32">
      <c r="A32" s="141"/>
      <c r="B32" s="61" t="s">
        <v>4070</v>
      </c>
      <c r="C32" s="57" t="s">
        <v>301</v>
      </c>
      <c r="D32" s="61" t="s">
        <v>4068</v>
      </c>
      <c r="E32" s="11" t="str">
        <f>HYPERLINK("https://youtu.be/byiqfAmOok0?t=3360","channel 2")</f>
        <v>channel 2</v>
      </c>
    </row>
    <row r="33">
      <c r="A33" s="141"/>
      <c r="B33" s="61" t="s">
        <v>4071</v>
      </c>
      <c r="C33" s="57" t="s">
        <v>545</v>
      </c>
      <c r="D33" s="61" t="s">
        <v>4069</v>
      </c>
      <c r="E33" s="164" t="s">
        <v>9</v>
      </c>
    </row>
    <row r="34">
      <c r="A34" s="141"/>
      <c r="B34" s="61" t="s">
        <v>4070</v>
      </c>
      <c r="C34" s="57" t="s">
        <v>257</v>
      </c>
      <c r="D34" s="61" t="s">
        <v>1974</v>
      </c>
      <c r="E34" s="11" t="str">
        <f>HYPERLINK("https://youtu.be/byiqfAmOok0?t=4300","channel 2")</f>
        <v>channel 2</v>
      </c>
    </row>
    <row r="35">
      <c r="A35" s="141"/>
      <c r="B35" s="61" t="s">
        <v>1974</v>
      </c>
      <c r="C35" s="57" t="s">
        <v>193</v>
      </c>
      <c r="D35" s="61" t="s">
        <v>4068</v>
      </c>
      <c r="E35" s="164" t="s">
        <v>9</v>
      </c>
    </row>
    <row r="36">
      <c r="A36" s="141"/>
      <c r="B36" s="61" t="s">
        <v>4070</v>
      </c>
      <c r="C36" s="57" t="s">
        <v>545</v>
      </c>
      <c r="D36" s="61" t="s">
        <v>4069</v>
      </c>
      <c r="E36" s="11" t="str">
        <f>HYPERLINK("https://youtu.be/byiqfAmOok0?t=5348","channel 2")</f>
        <v>channel 2</v>
      </c>
    </row>
    <row r="37">
      <c r="A37" s="141"/>
      <c r="B37" s="61" t="s">
        <v>4068</v>
      </c>
      <c r="C37" s="57" t="s">
        <v>198</v>
      </c>
      <c r="D37" s="61" t="s">
        <v>4071</v>
      </c>
      <c r="E37" s="164" t="s">
        <v>9</v>
      </c>
    </row>
    <row r="38">
      <c r="A38" s="141"/>
      <c r="B38" s="61" t="s">
        <v>1974</v>
      </c>
      <c r="C38" s="57" t="s">
        <v>291</v>
      </c>
      <c r="D38" s="61" t="s">
        <v>4069</v>
      </c>
      <c r="E38" s="11" t="str">
        <f>HYPERLINK("https://youtu.be/byiqfAmOok0?t=6212","channel 2")</f>
        <v>channel 2</v>
      </c>
    </row>
    <row r="39">
      <c r="A39" s="141"/>
      <c r="B39" s="61" t="s">
        <v>4070</v>
      </c>
      <c r="C39" s="45" t="s">
        <v>219</v>
      </c>
      <c r="D39" s="61" t="s">
        <v>4071</v>
      </c>
      <c r="E39" s="164" t="s">
        <v>9</v>
      </c>
    </row>
    <row r="40">
      <c r="A40" s="141"/>
      <c r="B40" s="61" t="s">
        <v>4068</v>
      </c>
      <c r="C40" s="57" t="s">
        <v>354</v>
      </c>
      <c r="D40" s="61" t="s">
        <v>4069</v>
      </c>
      <c r="E40" s="11" t="str">
        <f>HYPERLINK("https://youtu.be/byiqfAmOok0?t=7224","channel 2")</f>
        <v>channel 2</v>
      </c>
    </row>
    <row r="41">
      <c r="A41" s="141"/>
      <c r="B41" s="61" t="s">
        <v>1974</v>
      </c>
      <c r="C41" s="57" t="s">
        <v>158</v>
      </c>
      <c r="D41" s="61" t="s">
        <v>4071</v>
      </c>
      <c r="E41" s="164" t="s">
        <v>9</v>
      </c>
    </row>
    <row r="42">
      <c r="A42" s="141"/>
      <c r="B42" s="61" t="s">
        <v>4068</v>
      </c>
      <c r="C42" s="57" t="s">
        <v>24</v>
      </c>
      <c r="D42" s="61" t="s">
        <v>4070</v>
      </c>
      <c r="E42" s="11" t="str">
        <f>HYPERLINK("https://youtu.be/byiqfAmOok0?t=8145","channel 2")</f>
        <v>channel 2</v>
      </c>
    </row>
    <row r="43">
      <c r="A43" s="141"/>
      <c r="B43" s="61" t="s">
        <v>4069</v>
      </c>
      <c r="C43" s="57" t="s">
        <v>20</v>
      </c>
      <c r="D43" s="61" t="s">
        <v>4071</v>
      </c>
      <c r="E43" s="164" t="s">
        <v>9</v>
      </c>
    </row>
    <row r="44">
      <c r="A44" s="141"/>
      <c r="B44" s="61" t="s">
        <v>1974</v>
      </c>
      <c r="C44" s="57" t="s">
        <v>185</v>
      </c>
      <c r="D44" s="61" t="s">
        <v>4070</v>
      </c>
      <c r="E44" s="11" t="str">
        <f>HYPERLINK("https://youtu.be/byiqfAmOok0?t=9020","channel 2")</f>
        <v>channel 2</v>
      </c>
    </row>
    <row r="45">
      <c r="A45" s="141"/>
      <c r="B45" s="96" t="s">
        <v>2653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61" t="s">
        <v>2163</v>
      </c>
      <c r="C47" s="57" t="s">
        <v>7</v>
      </c>
      <c r="D47" s="61" t="s">
        <v>3845</v>
      </c>
      <c r="E47" s="158" t="str">
        <f>HYPERLINK("https://youtu.be/M6eDT0-v0rI","channel 1")</f>
        <v>channel 1</v>
      </c>
    </row>
    <row r="48">
      <c r="A48" s="141"/>
      <c r="B48" s="61" t="s">
        <v>4073</v>
      </c>
      <c r="C48" s="57" t="s">
        <v>185</v>
      </c>
      <c r="D48" s="61" t="s">
        <v>4074</v>
      </c>
      <c r="E48" s="11" t="str">
        <f>HYPERLINK("https://youtu.be/xOP7U0urNrQ","channel 2")</f>
        <v>channel 2</v>
      </c>
    </row>
    <row r="49">
      <c r="A49" s="141"/>
      <c r="B49" s="61" t="s">
        <v>3968</v>
      </c>
      <c r="C49" s="57" t="s">
        <v>193</v>
      </c>
      <c r="D49" s="61" t="s">
        <v>2163</v>
      </c>
      <c r="E49" s="158" t="str">
        <f>HYPERLINK("https://youtu.be/M6eDT0-v0rI?t=985","channel 1")</f>
        <v>channel 1</v>
      </c>
    </row>
    <row r="50">
      <c r="A50" s="141"/>
      <c r="B50" s="61" t="s">
        <v>4073</v>
      </c>
      <c r="C50" s="57" t="s">
        <v>264</v>
      </c>
      <c r="D50" s="61" t="s">
        <v>3845</v>
      </c>
      <c r="E50" s="11" t="str">
        <f>HYPERLINK("https://youtu.be/xOP7U0urNrQ?t=1011","channel 2")</f>
        <v>channel 2</v>
      </c>
    </row>
    <row r="51">
      <c r="A51" s="141"/>
      <c r="B51" s="61" t="s">
        <v>3968</v>
      </c>
      <c r="C51" s="57" t="s">
        <v>251</v>
      </c>
      <c r="D51" s="61" t="s">
        <v>4074</v>
      </c>
      <c r="E51" s="158" t="str">
        <f>HYPERLINK("https://youtu.be/M6eDT0-v0rI?t=1949","channel 1")</f>
        <v>channel 1</v>
      </c>
    </row>
    <row r="52">
      <c r="A52" s="141"/>
      <c r="B52" s="61" t="s">
        <v>4073</v>
      </c>
      <c r="C52" s="57" t="s">
        <v>16</v>
      </c>
      <c r="D52" s="61" t="s">
        <v>2163</v>
      </c>
      <c r="E52" s="11" t="str">
        <f>HYPERLINK("https://youtu.be/xOP7U0urNrQ?t=1945","channel 2")</f>
        <v>channel 2</v>
      </c>
    </row>
    <row r="53">
      <c r="A53" s="141"/>
      <c r="B53" s="61" t="s">
        <v>3968</v>
      </c>
      <c r="C53" s="57" t="s">
        <v>17</v>
      </c>
      <c r="D53" s="61" t="s">
        <v>3845</v>
      </c>
      <c r="E53" s="158" t="str">
        <f>HYPERLINK("https://youtu.be/M6eDT0-v0rI?t=2962","channel 1")</f>
        <v>channel 1</v>
      </c>
    </row>
    <row r="54">
      <c r="A54" s="141"/>
      <c r="B54" s="61" t="s">
        <v>4074</v>
      </c>
      <c r="C54" s="57" t="s">
        <v>1162</v>
      </c>
      <c r="D54" s="61" t="s">
        <v>2163</v>
      </c>
      <c r="E54" s="11" t="str">
        <f>HYPERLINK("https://youtu.be/xOP7U0urNrQ?t=2895","channel 2")</f>
        <v>channel 2</v>
      </c>
    </row>
    <row r="55">
      <c r="A55" s="141"/>
      <c r="B55" s="61" t="s">
        <v>3968</v>
      </c>
      <c r="C55" s="57" t="s">
        <v>251</v>
      </c>
      <c r="D55" s="61" t="s">
        <v>4073</v>
      </c>
      <c r="E55" s="158" t="str">
        <f>HYPERLINK("https://youtu.be/M6eDT0-v0rI?t=3922","channel 1")</f>
        <v>channel 1</v>
      </c>
    </row>
    <row r="56">
      <c r="A56" s="141"/>
      <c r="B56" s="61" t="s">
        <v>4074</v>
      </c>
      <c r="C56" s="57" t="s">
        <v>335</v>
      </c>
      <c r="D56" s="61" t="s">
        <v>3845</v>
      </c>
      <c r="E56" s="11" t="str">
        <f>HYPERLINK("https://youtu.be/xOP7U0urNrQ?t=3933","channel 2")</f>
        <v>channel 2</v>
      </c>
    </row>
    <row r="57">
      <c r="A57" s="141"/>
      <c r="B57" s="61" t="s">
        <v>3845</v>
      </c>
      <c r="C57" s="57" t="s">
        <v>439</v>
      </c>
      <c r="D57" s="61" t="s">
        <v>2163</v>
      </c>
      <c r="E57" s="158" t="str">
        <f>HYPERLINK("https://youtu.be/M6eDT0-v0rI?t=4859","channel 1")</f>
        <v>channel 1</v>
      </c>
    </row>
    <row r="58">
      <c r="A58" s="141"/>
      <c r="B58" s="61" t="s">
        <v>4074</v>
      </c>
      <c r="C58" s="57" t="s">
        <v>426</v>
      </c>
      <c r="D58" s="61" t="s">
        <v>4073</v>
      </c>
      <c r="E58" s="11" t="str">
        <f>HYPERLINK("https://youtu.be/xOP7U0urNrQ?t=4879","channel 2")</f>
        <v>channel 2</v>
      </c>
    </row>
    <row r="59">
      <c r="A59" s="141"/>
      <c r="B59" s="61" t="s">
        <v>2163</v>
      </c>
      <c r="C59" s="57" t="s">
        <v>177</v>
      </c>
      <c r="D59" s="61" t="s">
        <v>3968</v>
      </c>
      <c r="E59" s="158" t="str">
        <f>HYPERLINK("https://youtu.be/M6eDT0-v0rI?t=5796","channel 1")</f>
        <v>channel 1</v>
      </c>
    </row>
    <row r="60">
      <c r="A60" s="141"/>
      <c r="B60" s="61" t="s">
        <v>3845</v>
      </c>
      <c r="C60" s="57" t="s">
        <v>38</v>
      </c>
      <c r="D60" s="61" t="s">
        <v>4073</v>
      </c>
      <c r="E60" s="11" t="str">
        <f>HYPERLINK("https://youtu.be/xOP7U0urNrQ?t=5791","channel 2")</f>
        <v>channel 2</v>
      </c>
    </row>
    <row r="61">
      <c r="A61" s="141"/>
      <c r="B61" s="61" t="s">
        <v>4074</v>
      </c>
      <c r="C61" s="57" t="s">
        <v>791</v>
      </c>
      <c r="D61" s="61" t="s">
        <v>3968</v>
      </c>
      <c r="E61" s="158" t="str">
        <f>HYPERLINK("https://youtu.be/M6eDT0-v0rI?t=6711","channel 1")</f>
        <v>channel 1</v>
      </c>
    </row>
    <row r="62">
      <c r="A62" s="141"/>
      <c r="B62" s="61" t="s">
        <v>2163</v>
      </c>
      <c r="C62" s="57" t="s">
        <v>162</v>
      </c>
      <c r="D62" s="61" t="s">
        <v>4073</v>
      </c>
      <c r="E62" s="11" t="str">
        <f>HYPERLINK("https://youtu.be/xOP7U0urNrQ?t=6707","channel 2")</f>
        <v>channel 2</v>
      </c>
    </row>
    <row r="63">
      <c r="A63" s="141"/>
      <c r="B63" s="61" t="s">
        <v>3845</v>
      </c>
      <c r="C63" s="57" t="s">
        <v>229</v>
      </c>
      <c r="D63" s="61" t="s">
        <v>3968</v>
      </c>
      <c r="E63" s="158" t="str">
        <f>HYPERLINK("https://youtu.be/M6eDT0-v0rI?t=7890","channel 1")</f>
        <v>channel 1</v>
      </c>
    </row>
    <row r="64">
      <c r="A64" s="141"/>
      <c r="B64" s="61" t="s">
        <v>2163</v>
      </c>
      <c r="C64" s="57" t="s">
        <v>219</v>
      </c>
      <c r="D64" s="61" t="s">
        <v>4074</v>
      </c>
      <c r="E64" s="11" t="str">
        <f>HYPERLINK("https://youtu.be/xOP7U0urNrQ?t=7769","channel 2")</f>
        <v>channel 2</v>
      </c>
    </row>
    <row r="65">
      <c r="A65" s="141"/>
      <c r="B65" s="61" t="s">
        <v>4073</v>
      </c>
      <c r="C65" s="57" t="s">
        <v>7</v>
      </c>
      <c r="D65" s="61" t="s">
        <v>3968</v>
      </c>
      <c r="E65" s="158" t="str">
        <f>HYPERLINK("https://youtu.be/M6eDT0-v0rI?t=9809","channel 1")</f>
        <v>channel 1</v>
      </c>
    </row>
    <row r="66">
      <c r="A66" s="141"/>
      <c r="B66" s="61" t="s">
        <v>3845</v>
      </c>
      <c r="C66" s="81" t="s">
        <v>668</v>
      </c>
      <c r="D66" s="61" t="s">
        <v>4074</v>
      </c>
      <c r="E66" s="125" t="s">
        <v>13</v>
      </c>
    </row>
    <row r="67">
      <c r="A67" s="141"/>
      <c r="B67" s="160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61" t="s">
        <v>1968</v>
      </c>
      <c r="C69" s="57" t="s">
        <v>20</v>
      </c>
      <c r="D69" s="61" t="s">
        <v>3622</v>
      </c>
      <c r="E69" s="158" t="str">
        <f>HYPERLINK("https://youtu.be/r5rxQD995ik","channel 1")</f>
        <v>channel 1</v>
      </c>
    </row>
    <row r="70">
      <c r="A70" s="141"/>
      <c r="B70" s="61" t="s">
        <v>4075</v>
      </c>
      <c r="C70" s="57" t="s">
        <v>1188</v>
      </c>
      <c r="D70" s="61" t="s">
        <v>4076</v>
      </c>
      <c r="E70" s="11" t="str">
        <f>HYPERLINK("https://youtu.be/3-s8Q5LsSJA","channel 2")</f>
        <v>channel 2</v>
      </c>
    </row>
    <row r="71">
      <c r="A71" s="141"/>
      <c r="B71" s="61" t="s">
        <v>3982</v>
      </c>
      <c r="C71" s="57" t="s">
        <v>7</v>
      </c>
      <c r="D71" s="61" t="s">
        <v>1968</v>
      </c>
      <c r="E71" s="158" t="str">
        <f>HYPERLINK("https://youtu.be/r5rxQD995ik?t=1011","channel 1")</f>
        <v>channel 1</v>
      </c>
    </row>
    <row r="72">
      <c r="A72" s="141"/>
      <c r="B72" s="61" t="s">
        <v>4075</v>
      </c>
      <c r="C72" s="57" t="s">
        <v>293</v>
      </c>
      <c r="D72" s="61" t="s">
        <v>3622</v>
      </c>
      <c r="E72" s="11" t="str">
        <f>HYPERLINK("https://youtu.be/3-s8Q5LsSJA?t=882","channel 2")</f>
        <v>channel 2</v>
      </c>
    </row>
    <row r="73">
      <c r="A73" s="141"/>
      <c r="B73" s="61" t="s">
        <v>3982</v>
      </c>
      <c r="C73" s="57" t="s">
        <v>208</v>
      </c>
      <c r="D73" s="61" t="s">
        <v>4076</v>
      </c>
      <c r="E73" s="158" t="str">
        <f>HYPERLINK("https://youtu.be/r5rxQD995ik?t=1927","channel 1")</f>
        <v>channel 1</v>
      </c>
    </row>
    <row r="74">
      <c r="A74" s="141"/>
      <c r="B74" s="61" t="s">
        <v>4075</v>
      </c>
      <c r="C74" s="57" t="s">
        <v>233</v>
      </c>
      <c r="D74" s="61" t="s">
        <v>1968</v>
      </c>
      <c r="E74" s="11" t="str">
        <f>HYPERLINK("https://youtu.be/3-s8Q5LsSJA?t=2180","channel 2")</f>
        <v>channel 2</v>
      </c>
    </row>
    <row r="75">
      <c r="A75" s="141"/>
      <c r="B75" s="61" t="s">
        <v>3982</v>
      </c>
      <c r="C75" s="57" t="s">
        <v>39</v>
      </c>
      <c r="D75" s="61" t="s">
        <v>3622</v>
      </c>
      <c r="E75" s="158" t="str">
        <f>HYPERLINK("https://youtu.be/r5rxQD995ik?t=2938","channel 1")</f>
        <v>channel 1</v>
      </c>
    </row>
    <row r="76">
      <c r="A76" s="141"/>
      <c r="B76" s="61" t="s">
        <v>4076</v>
      </c>
      <c r="C76" s="57" t="s">
        <v>2876</v>
      </c>
      <c r="D76" s="61" t="s">
        <v>1968</v>
      </c>
      <c r="E76" s="11" t="str">
        <f>HYPERLINK("https://youtu.be/3-s8Q5LsSJA?t=3102","channel 2")</f>
        <v>channel 2</v>
      </c>
    </row>
    <row r="77">
      <c r="A77" s="141"/>
      <c r="B77" s="61" t="s">
        <v>3982</v>
      </c>
      <c r="C77" s="57" t="s">
        <v>357</v>
      </c>
      <c r="D77" s="61" t="s">
        <v>4075</v>
      </c>
      <c r="E77" s="158" t="str">
        <f>HYPERLINK("https://youtu.be/r5rxQD995ik?t=3912","channel 1")</f>
        <v>channel 1</v>
      </c>
    </row>
    <row r="78">
      <c r="A78" s="141"/>
      <c r="B78" s="61" t="s">
        <v>4076</v>
      </c>
      <c r="C78" s="57" t="s">
        <v>289</v>
      </c>
      <c r="D78" s="61" t="s">
        <v>3622</v>
      </c>
      <c r="E78" s="11" t="str">
        <f>HYPERLINK("https://youtu.be/3-s8Q5LsSJA?t=3954","channel 2")</f>
        <v>channel 2</v>
      </c>
    </row>
    <row r="79">
      <c r="A79" s="141"/>
      <c r="B79" s="61" t="s">
        <v>3622</v>
      </c>
      <c r="C79" s="57" t="s">
        <v>256</v>
      </c>
      <c r="D79" s="61" t="s">
        <v>1968</v>
      </c>
      <c r="E79" s="158" t="str">
        <f>HYPERLINK("https://youtu.be/r5rxQD995ik?t=4876","channel 1")</f>
        <v>channel 1</v>
      </c>
    </row>
    <row r="80">
      <c r="A80" s="141"/>
      <c r="B80" s="61" t="s">
        <v>4076</v>
      </c>
      <c r="C80" s="57" t="s">
        <v>863</v>
      </c>
      <c r="D80" s="61" t="s">
        <v>4075</v>
      </c>
      <c r="E80" s="11" t="str">
        <f>HYPERLINK("https://youtu.be/3-s8Q5LsSJA?t=4806","channel 2")</f>
        <v>channel 2</v>
      </c>
    </row>
    <row r="81">
      <c r="A81" s="141"/>
      <c r="B81" s="61" t="s">
        <v>1968</v>
      </c>
      <c r="C81" s="57" t="s">
        <v>177</v>
      </c>
      <c r="D81" s="61" t="s">
        <v>3982</v>
      </c>
      <c r="E81" s="158" t="str">
        <f>HYPERLINK("https://youtu.be/r5rxQD995ik?t=5820","channel 1")</f>
        <v>channel 1</v>
      </c>
    </row>
    <row r="82">
      <c r="A82" s="141"/>
      <c r="B82" s="61" t="s">
        <v>3622</v>
      </c>
      <c r="C82" s="57" t="s">
        <v>18</v>
      </c>
      <c r="D82" s="61" t="s">
        <v>4075</v>
      </c>
      <c r="E82" s="11" t="str">
        <f>HYPERLINK("https://youtu.be/3-s8Q5LsSJA?t=5699","channel 2")</f>
        <v>channel 2</v>
      </c>
    </row>
    <row r="83">
      <c r="A83" s="141"/>
      <c r="B83" s="61" t="s">
        <v>4076</v>
      </c>
      <c r="C83" s="57" t="s">
        <v>303</v>
      </c>
      <c r="D83" s="61" t="s">
        <v>3982</v>
      </c>
      <c r="E83" s="158" t="str">
        <f>HYPERLINK("https://youtu.be/r5rxQD995ik?t=6747","channel 1")</f>
        <v>channel 1</v>
      </c>
    </row>
    <row r="84">
      <c r="A84" s="141"/>
      <c r="B84" s="61" t="s">
        <v>1968</v>
      </c>
      <c r="C84" s="57" t="s">
        <v>41</v>
      </c>
      <c r="D84" s="61" t="s">
        <v>4075</v>
      </c>
      <c r="E84" s="11" t="str">
        <f>HYPERLINK("https://youtu.be/3-s8Q5LsSJA?t=6628","channel 2")</f>
        <v>channel 2</v>
      </c>
    </row>
    <row r="85">
      <c r="A85" s="141"/>
      <c r="B85" s="61" t="s">
        <v>3622</v>
      </c>
      <c r="C85" s="57" t="s">
        <v>380</v>
      </c>
      <c r="D85" s="61" t="s">
        <v>3982</v>
      </c>
      <c r="E85" s="158" t="str">
        <f>HYPERLINK("https://youtu.be/r5rxQD995ik?t=7691","channel 1")</f>
        <v>channel 1</v>
      </c>
    </row>
    <row r="86">
      <c r="A86" s="141"/>
      <c r="B86" s="61" t="s">
        <v>1968</v>
      </c>
      <c r="C86" s="57" t="s">
        <v>194</v>
      </c>
      <c r="D86" s="61" t="s">
        <v>4076</v>
      </c>
      <c r="E86" s="11" t="str">
        <f>HYPERLINK("https://youtu.be/3-s8Q5LsSJA?t=7525","channel 2")</f>
        <v>channel 2</v>
      </c>
    </row>
    <row r="87">
      <c r="A87" s="141"/>
      <c r="B87" s="61" t="s">
        <v>4075</v>
      </c>
      <c r="C87" s="57" t="s">
        <v>208</v>
      </c>
      <c r="D87" s="61" t="s">
        <v>3982</v>
      </c>
      <c r="E87" s="158" t="str">
        <f>HYPERLINK("https://youtu.be/r5rxQD995ik?t=8624","channel 1")</f>
        <v>channel 1</v>
      </c>
    </row>
    <row r="88">
      <c r="A88" s="141"/>
      <c r="B88" s="61" t="s">
        <v>3622</v>
      </c>
      <c r="C88" s="57" t="s">
        <v>2125</v>
      </c>
      <c r="D88" s="61" t="s">
        <v>4076</v>
      </c>
      <c r="E88" s="11" t="str">
        <f>HYPERLINK("https://youtu.be/3-s8Q5LsSJA?t=8500","channel 2")</f>
        <v>channel 2</v>
      </c>
    </row>
    <row r="89">
      <c r="A89" s="141"/>
      <c r="B89" s="96" t="s">
        <v>2674</v>
      </c>
      <c r="C89" s="2"/>
      <c r="D89" s="3"/>
      <c r="E89" s="161"/>
    </row>
    <row r="90">
      <c r="A90" s="141"/>
      <c r="B90" s="45" t="s">
        <v>2</v>
      </c>
      <c r="C90" s="45" t="s">
        <v>3</v>
      </c>
      <c r="D90" s="45" t="s">
        <v>4</v>
      </c>
      <c r="E90" s="21" t="s">
        <v>5</v>
      </c>
    </row>
    <row r="91">
      <c r="A91" s="141"/>
      <c r="B91" s="61" t="s">
        <v>3853</v>
      </c>
      <c r="C91" s="57" t="s">
        <v>250</v>
      </c>
      <c r="D91" s="61" t="s">
        <v>4077</v>
      </c>
      <c r="E91" s="158" t="str">
        <f>HYPERLINK("https://youtu.be/CgbZAvumsL4","channel 1")</f>
        <v>channel 1</v>
      </c>
    </row>
    <row r="92">
      <c r="A92" s="141"/>
      <c r="B92" s="61" t="s">
        <v>3302</v>
      </c>
      <c r="C92" s="57" t="s">
        <v>1197</v>
      </c>
      <c r="D92" s="56" t="s">
        <v>1050</v>
      </c>
      <c r="E92" s="11" t="str">
        <f>HYPERLINK("https://youtu.be/tOi1WD3eu94","channel 2")</f>
        <v>channel 2</v>
      </c>
    </row>
    <row r="93">
      <c r="A93" s="141"/>
      <c r="B93" s="61" t="s">
        <v>1698</v>
      </c>
      <c r="C93" s="57" t="s">
        <v>194</v>
      </c>
      <c r="D93" s="61" t="s">
        <v>3853</v>
      </c>
      <c r="E93" s="158" t="str">
        <f>HYPERLINK("https://youtu.be/CgbZAvumsL4?t=919","channel 1")</f>
        <v>channel 1</v>
      </c>
    </row>
    <row r="94">
      <c r="A94" s="141"/>
      <c r="B94" s="61" t="s">
        <v>3302</v>
      </c>
      <c r="C94" s="57" t="s">
        <v>233</v>
      </c>
      <c r="D94" s="61" t="s">
        <v>4077</v>
      </c>
      <c r="E94" s="11" t="str">
        <f>HYPERLINK("https://youtu.be/tOi1WD3eu94?t=952","channel 2")</f>
        <v>channel 2</v>
      </c>
    </row>
    <row r="95">
      <c r="A95" s="141"/>
      <c r="B95" s="61" t="s">
        <v>1698</v>
      </c>
      <c r="C95" s="57" t="s">
        <v>279</v>
      </c>
      <c r="D95" s="56" t="s">
        <v>1050</v>
      </c>
      <c r="E95" s="158" t="str">
        <f>HYPERLINK("https://youtu.be/CgbZAvumsL4?t=1859","channel 1")</f>
        <v>channel 1</v>
      </c>
    </row>
    <row r="96">
      <c r="A96" s="141"/>
      <c r="B96" s="61" t="s">
        <v>3302</v>
      </c>
      <c r="C96" s="57" t="s">
        <v>176</v>
      </c>
      <c r="D96" s="61" t="s">
        <v>3853</v>
      </c>
      <c r="E96" s="11" t="str">
        <f>HYPERLINK("https://youtu.be/tOi1WD3eu94?t=1950","channel 2")</f>
        <v>channel 2</v>
      </c>
    </row>
    <row r="97">
      <c r="A97" s="141"/>
      <c r="B97" s="61" t="s">
        <v>1698</v>
      </c>
      <c r="C97" s="57" t="s">
        <v>176</v>
      </c>
      <c r="D97" s="61" t="s">
        <v>4077</v>
      </c>
      <c r="E97" s="158" t="str">
        <f>HYPERLINK("https://youtu.be/CgbZAvumsL4?t=2690","channel 1")</f>
        <v>channel 1</v>
      </c>
    </row>
    <row r="98">
      <c r="A98" s="141"/>
      <c r="B98" s="56" t="s">
        <v>1050</v>
      </c>
      <c r="C98" s="57" t="s">
        <v>250</v>
      </c>
      <c r="D98" s="61" t="s">
        <v>3853</v>
      </c>
      <c r="E98" s="11" t="str">
        <f>HYPERLINK("https://youtu.be/tOi1WD3eu94?t=2865","channel 2")</f>
        <v>channel 2</v>
      </c>
    </row>
    <row r="99">
      <c r="A99" s="141"/>
      <c r="B99" s="61" t="s">
        <v>1698</v>
      </c>
      <c r="C99" s="57" t="s">
        <v>20</v>
      </c>
      <c r="D99" s="61" t="s">
        <v>3302</v>
      </c>
      <c r="E99" s="158" t="str">
        <f>HYPERLINK("https://youtu.be/CgbZAvumsL4?t=3576","channel 1")</f>
        <v>channel 1</v>
      </c>
    </row>
    <row r="100">
      <c r="A100" s="141"/>
      <c r="B100" s="56" t="s">
        <v>1050</v>
      </c>
      <c r="C100" s="57" t="s">
        <v>7</v>
      </c>
      <c r="D100" s="61" t="s">
        <v>4077</v>
      </c>
      <c r="E100" s="11" t="str">
        <f>HYPERLINK("https://youtu.be/tOi1WD3eu94?t=3726","channel 2")</f>
        <v>channel 2</v>
      </c>
    </row>
    <row r="101">
      <c r="A101" s="141"/>
      <c r="B101" s="61" t="s">
        <v>4077</v>
      </c>
      <c r="C101" s="57" t="s">
        <v>4078</v>
      </c>
      <c r="D101" s="61" t="s">
        <v>3853</v>
      </c>
      <c r="E101" s="158" t="str">
        <f>HYPERLINK("https://youtu.be/CgbZAvumsL4?t=4466","channel 1")</f>
        <v>channel 1</v>
      </c>
    </row>
    <row r="102">
      <c r="A102" s="141"/>
      <c r="B102" s="56" t="s">
        <v>1050</v>
      </c>
      <c r="C102" s="57" t="s">
        <v>352</v>
      </c>
      <c r="D102" s="61" t="s">
        <v>3302</v>
      </c>
      <c r="E102" s="11" t="str">
        <f>HYPERLINK("https://youtu.be/tOi1WD3eu94?t=4589","channel 2")</f>
        <v>channel 2</v>
      </c>
    </row>
    <row r="103">
      <c r="A103" s="141"/>
      <c r="B103" s="61" t="s">
        <v>3853</v>
      </c>
      <c r="C103" s="57" t="s">
        <v>19</v>
      </c>
      <c r="D103" s="61" t="s">
        <v>1698</v>
      </c>
      <c r="E103" s="158" t="str">
        <f>HYPERLINK("https://youtu.be/CgbZAvumsL4?t=5362","channel 1")</f>
        <v>channel 1</v>
      </c>
    </row>
    <row r="104">
      <c r="A104" s="141"/>
      <c r="B104" s="61" t="s">
        <v>4077</v>
      </c>
      <c r="C104" s="57" t="s">
        <v>194</v>
      </c>
      <c r="D104" s="61" t="s">
        <v>3302</v>
      </c>
      <c r="E104" s="11" t="str">
        <f>HYPERLINK("https://youtu.be/tOi1WD3eu94?t=5490","channel 2")</f>
        <v>channel 2</v>
      </c>
    </row>
    <row r="105">
      <c r="A105" s="141"/>
      <c r="B105" s="56" t="s">
        <v>1050</v>
      </c>
      <c r="C105" s="57" t="s">
        <v>31</v>
      </c>
      <c r="D105" s="61" t="s">
        <v>1698</v>
      </c>
      <c r="E105" s="158" t="str">
        <f>HYPERLINK("https://youtu.be/CgbZAvumsL4?t=6281","channel 1")</f>
        <v>channel 1</v>
      </c>
    </row>
    <row r="106">
      <c r="A106" s="141"/>
      <c r="B106" s="61" t="s">
        <v>3853</v>
      </c>
      <c r="C106" s="57" t="s">
        <v>538</v>
      </c>
      <c r="D106" s="61" t="s">
        <v>3302</v>
      </c>
      <c r="E106" s="11" t="str">
        <f>HYPERLINK("https://youtu.be/tOi1WD3eu94?t=6409","channel 2")</f>
        <v>channel 2</v>
      </c>
    </row>
    <row r="107">
      <c r="A107" s="141"/>
      <c r="B107" s="61" t="s">
        <v>4077</v>
      </c>
      <c r="C107" s="57" t="s">
        <v>1330</v>
      </c>
      <c r="D107" s="61" t="s">
        <v>1698</v>
      </c>
      <c r="E107" s="158" t="str">
        <f>HYPERLINK("https://youtu.be/CgbZAvumsL4?t=7142","channel 1")</f>
        <v>channel 1</v>
      </c>
    </row>
    <row r="108">
      <c r="A108" s="141"/>
      <c r="B108" s="61" t="s">
        <v>3853</v>
      </c>
      <c r="C108" s="57" t="s">
        <v>209</v>
      </c>
      <c r="D108" s="56" t="s">
        <v>1050</v>
      </c>
      <c r="E108" s="11" t="str">
        <f>HYPERLINK("https://youtu.be/tOi1WD3eu94?t=7279","channel 2")</f>
        <v>channel 2</v>
      </c>
    </row>
    <row r="109">
      <c r="A109" s="141"/>
      <c r="B109" s="61" t="s">
        <v>3302</v>
      </c>
      <c r="C109" s="57" t="s">
        <v>17</v>
      </c>
      <c r="D109" s="61" t="s">
        <v>1698</v>
      </c>
      <c r="E109" s="158" t="str">
        <f>HYPERLINK("https://youtu.be/CgbZAvumsL4?t=8038","channel 1")</f>
        <v>channel 1</v>
      </c>
    </row>
    <row r="110">
      <c r="A110" s="141"/>
      <c r="B110" s="61" t="s">
        <v>4077</v>
      </c>
      <c r="C110" s="57" t="s">
        <v>233</v>
      </c>
      <c r="D110" s="56" t="s">
        <v>1050</v>
      </c>
      <c r="E110" s="11" t="str">
        <f>HYPERLINK("https://youtu.be/tOi1WD3eu94?t=8113","channel 2")</f>
        <v>channel 2</v>
      </c>
    </row>
    <row r="111">
      <c r="A111" s="141"/>
      <c r="B111" s="96" t="s">
        <v>3026</v>
      </c>
      <c r="C111" s="2"/>
      <c r="D111" s="3"/>
      <c r="E111" s="161"/>
    </row>
    <row r="112">
      <c r="A112" s="141"/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A113" s="141"/>
      <c r="B113" s="61" t="s">
        <v>4079</v>
      </c>
      <c r="C113" s="57" t="s">
        <v>594</v>
      </c>
      <c r="D113" s="61" t="s">
        <v>4080</v>
      </c>
      <c r="E113" s="158" t="str">
        <f>HYPERLINK("https://youtu.be/qx-fsYvoA-Y","channel 1")</f>
        <v>channel 1</v>
      </c>
    </row>
    <row r="114">
      <c r="A114" s="141"/>
      <c r="B114" s="61" t="s">
        <v>4081</v>
      </c>
      <c r="C114" s="57" t="s">
        <v>194</v>
      </c>
      <c r="D114" s="56" t="s">
        <v>3251</v>
      </c>
      <c r="E114" s="11" t="str">
        <f>HYPERLINK("https://youtu.be/B-owgcf1eNM","channel 2")</f>
        <v>channel 2</v>
      </c>
    </row>
    <row r="115">
      <c r="A115" s="141"/>
      <c r="B115" s="61" t="s">
        <v>1935</v>
      </c>
      <c r="C115" s="57" t="s">
        <v>21</v>
      </c>
      <c r="D115" s="61" t="s">
        <v>4079</v>
      </c>
      <c r="E115" s="158" t="str">
        <f>HYPERLINK("https://youtu.be/qx-fsYvoA-Y?t=998","channel 1")</f>
        <v>channel 1</v>
      </c>
    </row>
    <row r="116">
      <c r="A116" s="141"/>
      <c r="B116" s="61" t="s">
        <v>4081</v>
      </c>
      <c r="C116" s="57" t="s">
        <v>464</v>
      </c>
      <c r="D116" s="61" t="s">
        <v>4080</v>
      </c>
      <c r="E116" s="11" t="str">
        <f>HYPERLINK("https://youtu.be/B-owgcf1eNM?t=994","channel 2")</f>
        <v>channel 2</v>
      </c>
    </row>
    <row r="117">
      <c r="A117" s="141"/>
      <c r="B117" s="61" t="s">
        <v>1935</v>
      </c>
      <c r="C117" s="57" t="s">
        <v>198</v>
      </c>
      <c r="D117" s="56" t="s">
        <v>3251</v>
      </c>
      <c r="E117" s="158" t="str">
        <f>HYPERLINK("https://youtu.be/qx-fsYvoA-Y?t=1893","channel 1")</f>
        <v>channel 1</v>
      </c>
    </row>
    <row r="118">
      <c r="A118" s="141"/>
      <c r="B118" s="61" t="s">
        <v>4081</v>
      </c>
      <c r="C118" s="57" t="s">
        <v>24</v>
      </c>
      <c r="D118" s="61" t="s">
        <v>4079</v>
      </c>
      <c r="E118" s="11" t="str">
        <f>HYPERLINK("https://youtu.be/B-owgcf1eNM?t=1938","channel 2")</f>
        <v>channel 2</v>
      </c>
    </row>
    <row r="119">
      <c r="A119" s="141"/>
      <c r="B119" s="61" t="s">
        <v>1935</v>
      </c>
      <c r="C119" s="57" t="s">
        <v>177</v>
      </c>
      <c r="D119" s="61" t="s">
        <v>4080</v>
      </c>
      <c r="E119" s="158" t="str">
        <f>HYPERLINK("https://youtu.be/qx-fsYvoA-Y?t=2751","channel 1")</f>
        <v>channel 1</v>
      </c>
    </row>
    <row r="120">
      <c r="A120" s="141"/>
      <c r="B120" s="56" t="s">
        <v>3251</v>
      </c>
      <c r="C120" s="57" t="s">
        <v>41</v>
      </c>
      <c r="D120" s="61" t="s">
        <v>4079</v>
      </c>
      <c r="E120" s="11" t="str">
        <f>HYPERLINK("https://youtu.be/B-owgcf1eNM?t=2797","channel 2")</f>
        <v>channel 2</v>
      </c>
    </row>
    <row r="121">
      <c r="A121" s="141"/>
      <c r="B121" s="61" t="s">
        <v>1935</v>
      </c>
      <c r="C121" s="57" t="s">
        <v>162</v>
      </c>
      <c r="D121" s="61" t="s">
        <v>4081</v>
      </c>
      <c r="E121" s="158" t="str">
        <f>HYPERLINK("https://youtu.be/qx-fsYvoA-Y?t=3588","channel 1")</f>
        <v>channel 1</v>
      </c>
    </row>
    <row r="122">
      <c r="A122" s="141"/>
      <c r="B122" s="56" t="s">
        <v>3251</v>
      </c>
      <c r="C122" s="57" t="s">
        <v>279</v>
      </c>
      <c r="D122" s="61" t="s">
        <v>4080</v>
      </c>
      <c r="E122" s="11" t="str">
        <f>HYPERLINK("https://youtu.be/B-owgcf1eNM?t=3693","channel 2")</f>
        <v>channel 2</v>
      </c>
    </row>
    <row r="123">
      <c r="A123" s="141"/>
      <c r="B123" s="61" t="s">
        <v>4080</v>
      </c>
      <c r="C123" s="57" t="s">
        <v>640</v>
      </c>
      <c r="D123" s="61" t="s">
        <v>4079</v>
      </c>
      <c r="E123" s="158" t="str">
        <f>HYPERLINK("https://youtu.be/qx-fsYvoA-Y?t=4499","channel 1")</f>
        <v>channel 1</v>
      </c>
    </row>
    <row r="124">
      <c r="A124" s="141"/>
      <c r="B124" s="56" t="s">
        <v>3251</v>
      </c>
      <c r="C124" s="57" t="s">
        <v>291</v>
      </c>
      <c r="D124" s="61" t="s">
        <v>4081</v>
      </c>
      <c r="E124" s="11" t="str">
        <f>HYPERLINK("https://youtu.be/B-owgcf1eNM?t=4549","channel 2")</f>
        <v>channel 2</v>
      </c>
    </row>
    <row r="125">
      <c r="A125" s="141"/>
      <c r="B125" s="61" t="s">
        <v>4079</v>
      </c>
      <c r="C125" s="57" t="s">
        <v>366</v>
      </c>
      <c r="D125" s="61" t="s">
        <v>1935</v>
      </c>
      <c r="E125" s="158" t="str">
        <f>HYPERLINK("https://youtu.be/qx-fsYvoA-Y?t=5436","channel 1")</f>
        <v>channel 1</v>
      </c>
    </row>
    <row r="126">
      <c r="A126" s="141"/>
      <c r="B126" s="61" t="s">
        <v>4080</v>
      </c>
      <c r="C126" s="57" t="s">
        <v>979</v>
      </c>
      <c r="D126" s="61" t="s">
        <v>4081</v>
      </c>
      <c r="E126" s="11" t="str">
        <f>HYPERLINK("https://youtu.be/B-owgcf1eNM?t=5457","channel 2")</f>
        <v>channel 2</v>
      </c>
    </row>
    <row r="127">
      <c r="A127" s="141"/>
      <c r="B127" s="56" t="s">
        <v>3251</v>
      </c>
      <c r="C127" s="57" t="s">
        <v>257</v>
      </c>
      <c r="D127" s="61" t="s">
        <v>1935</v>
      </c>
      <c r="E127" s="158" t="str">
        <f>HYPERLINK("https://youtu.be/qx-fsYvoA-Y?t=6289","channel 1")</f>
        <v>channel 1</v>
      </c>
    </row>
    <row r="128">
      <c r="A128" s="141"/>
      <c r="B128" s="61" t="s">
        <v>4079</v>
      </c>
      <c r="C128" s="57" t="s">
        <v>248</v>
      </c>
      <c r="D128" s="61" t="s">
        <v>4081</v>
      </c>
      <c r="E128" s="11" t="str">
        <f>HYPERLINK("https://youtu.be/B-owgcf1eNM?t=6330","channel 2")</f>
        <v>channel 2</v>
      </c>
    </row>
    <row r="129">
      <c r="A129" s="141"/>
      <c r="B129" s="61" t="s">
        <v>4080</v>
      </c>
      <c r="C129" s="57" t="s">
        <v>225</v>
      </c>
      <c r="D129" s="61" t="s">
        <v>1935</v>
      </c>
      <c r="E129" s="158" t="str">
        <f>HYPERLINK("https://youtu.be/qx-fsYvoA-Y?t=7120","channel 1")</f>
        <v>channel 1</v>
      </c>
    </row>
    <row r="130">
      <c r="A130" s="141"/>
      <c r="B130" s="61" t="s">
        <v>4079</v>
      </c>
      <c r="C130" s="57" t="s">
        <v>19</v>
      </c>
      <c r="D130" s="56" t="s">
        <v>3251</v>
      </c>
      <c r="E130" s="11" t="str">
        <f>HYPERLINK("https://youtu.be/B-owgcf1eNM?t=7161","channel 2")</f>
        <v>channel 2</v>
      </c>
    </row>
    <row r="131">
      <c r="A131" s="141"/>
      <c r="B131" s="61" t="s">
        <v>4081</v>
      </c>
      <c r="C131" s="57" t="s">
        <v>538</v>
      </c>
      <c r="D131" s="61" t="s">
        <v>1935</v>
      </c>
      <c r="E131" s="158" t="str">
        <f>HYPERLINK("https://youtu.be/qx-fsYvoA-Y?t=7935","channel 1")</f>
        <v>channel 1</v>
      </c>
    </row>
    <row r="132">
      <c r="A132" s="145"/>
      <c r="B132" s="61" t="s">
        <v>4080</v>
      </c>
      <c r="C132" s="57" t="s">
        <v>222</v>
      </c>
      <c r="D132" s="56" t="s">
        <v>3251</v>
      </c>
      <c r="E132" s="11" t="str">
        <f>HYPERLINK("https://youtu.be/B-owgcf1eNM?t=8074","channel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2260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3666</v>
      </c>
      <c r="C3" s="57" t="s">
        <v>1079</v>
      </c>
      <c r="D3" s="56" t="s">
        <v>4082</v>
      </c>
      <c r="E3" s="158" t="str">
        <f>HYPERLINK("https://youtu.be/pPUIydUZonE","channel 1")</f>
        <v>channel 1</v>
      </c>
    </row>
    <row r="4">
      <c r="A4" s="141"/>
      <c r="B4" s="56" t="s">
        <v>3612</v>
      </c>
      <c r="C4" s="84" t="s">
        <v>166</v>
      </c>
      <c r="D4" s="56" t="s">
        <v>4083</v>
      </c>
      <c r="E4" s="11" t="str">
        <f>HYPERLINK("https://youtu.be/j1zttjRVMEQ","channel 2")</f>
        <v>channel 2</v>
      </c>
    </row>
    <row r="5">
      <c r="A5" s="141"/>
      <c r="B5" s="56" t="s">
        <v>3999</v>
      </c>
      <c r="C5" s="57" t="s">
        <v>545</v>
      </c>
      <c r="D5" s="56" t="s">
        <v>3666</v>
      </c>
      <c r="E5" s="158" t="str">
        <f>HYPERLINK("https://youtu.be/pPUIydUZonE?t=1081","channel 1")</f>
        <v>channel 1</v>
      </c>
    </row>
    <row r="6">
      <c r="A6" s="141"/>
      <c r="B6" s="56" t="s">
        <v>3612</v>
      </c>
      <c r="C6" s="57" t="s">
        <v>351</v>
      </c>
      <c r="D6" s="56" t="s">
        <v>4082</v>
      </c>
      <c r="E6" s="11" t="str">
        <f>HYPERLINK("https://youtu.be/j1zttjRVMEQ?t=896","channel 2")</f>
        <v>channel 2</v>
      </c>
    </row>
    <row r="7">
      <c r="A7" s="141"/>
      <c r="B7" s="56" t="s">
        <v>3999</v>
      </c>
      <c r="C7" s="57" t="s">
        <v>336</v>
      </c>
      <c r="D7" s="56" t="s">
        <v>4083</v>
      </c>
      <c r="E7" s="158" t="str">
        <f>HYPERLINK("https://youtu.be/pPUIydUZonE?t=2017","channel 1")</f>
        <v>channel 1</v>
      </c>
    </row>
    <row r="8">
      <c r="A8" s="141"/>
      <c r="B8" s="56" t="s">
        <v>3612</v>
      </c>
      <c r="C8" s="57" t="s">
        <v>2125</v>
      </c>
      <c r="D8" s="56" t="s">
        <v>3666</v>
      </c>
      <c r="E8" s="11" t="str">
        <f>HYPERLINK("https://youtu.be/j1zttjRVMEQ?t=1859","channel 2")</f>
        <v>channel 2</v>
      </c>
    </row>
    <row r="9">
      <c r="A9" s="141"/>
      <c r="B9" s="56" t="s">
        <v>3999</v>
      </c>
      <c r="C9" s="57" t="s">
        <v>582</v>
      </c>
      <c r="D9" s="56" t="s">
        <v>4082</v>
      </c>
      <c r="E9" s="158" t="str">
        <f>HYPERLINK("https://youtu.be/pPUIydUZonE?t=2889","channel 1")</f>
        <v>channel 1</v>
      </c>
    </row>
    <row r="10">
      <c r="A10" s="141"/>
      <c r="B10" s="56" t="s">
        <v>4083</v>
      </c>
      <c r="C10" s="57" t="s">
        <v>357</v>
      </c>
      <c r="D10" s="56" t="s">
        <v>3666</v>
      </c>
      <c r="E10" s="11" t="str">
        <f>HYPERLINK("https://youtu.be/j1zttjRVMEQ?t=2847","channel 2")</f>
        <v>channel 2</v>
      </c>
    </row>
    <row r="11">
      <c r="A11" s="141"/>
      <c r="B11" s="56" t="s">
        <v>3999</v>
      </c>
      <c r="C11" s="57" t="s">
        <v>517</v>
      </c>
      <c r="D11" s="56" t="s">
        <v>3612</v>
      </c>
      <c r="E11" s="158" t="str">
        <f>HYPERLINK("https://youtu.be/pPUIydUZonE?t=3816","channel 1")</f>
        <v>channel 1</v>
      </c>
    </row>
    <row r="12">
      <c r="A12" s="141"/>
      <c r="B12" s="56" t="s">
        <v>4083</v>
      </c>
      <c r="C12" s="57" t="s">
        <v>751</v>
      </c>
      <c r="D12" s="56" t="s">
        <v>4082</v>
      </c>
      <c r="E12" s="11" t="str">
        <f>HYPERLINK("https://youtu.be/j1zttjRVMEQ?t=3771","channel 2")</f>
        <v>channel 2</v>
      </c>
    </row>
    <row r="13">
      <c r="A13" s="141"/>
      <c r="B13" s="56" t="s">
        <v>4082</v>
      </c>
      <c r="C13" s="57" t="s">
        <v>487</v>
      </c>
      <c r="D13" s="56" t="s">
        <v>3666</v>
      </c>
      <c r="E13" s="158" t="str">
        <f>HYPERLINK("https://youtu.be/pPUIydUZonE?t=4775","channel 1")</f>
        <v>channel 1</v>
      </c>
    </row>
    <row r="14">
      <c r="A14" s="141"/>
      <c r="B14" s="56" t="s">
        <v>4083</v>
      </c>
      <c r="C14" s="57" t="s">
        <v>4084</v>
      </c>
      <c r="D14" s="56" t="s">
        <v>3612</v>
      </c>
      <c r="E14" s="11" t="str">
        <f>HYPERLINK("https://youtu.be/j1zttjRVMEQ?t=4733","channel 2")</f>
        <v>channel 2</v>
      </c>
    </row>
    <row r="15">
      <c r="A15" s="141"/>
      <c r="B15" s="56" t="s">
        <v>3666</v>
      </c>
      <c r="C15" s="57" t="s">
        <v>185</v>
      </c>
      <c r="D15" s="56" t="s">
        <v>3999</v>
      </c>
      <c r="E15" s="158" t="str">
        <f>HYPERLINK("https://youtu.be/pPUIydUZonE?t=5783","channel 1")</f>
        <v>channel 1</v>
      </c>
    </row>
    <row r="16">
      <c r="A16" s="141"/>
      <c r="B16" s="56" t="s">
        <v>4082</v>
      </c>
      <c r="C16" s="57" t="s">
        <v>393</v>
      </c>
      <c r="D16" s="56" t="s">
        <v>3612</v>
      </c>
      <c r="E16" s="11" t="str">
        <f>HYPERLINK("https://youtu.be/j1zttjRVMEQ?t=5830","channel 2")</f>
        <v>channel 2</v>
      </c>
    </row>
    <row r="17">
      <c r="A17" s="141"/>
      <c r="B17" s="56" t="s">
        <v>4083</v>
      </c>
      <c r="C17" s="57" t="s">
        <v>184</v>
      </c>
      <c r="D17" s="56" t="s">
        <v>3999</v>
      </c>
      <c r="E17" s="158" t="str">
        <f>HYPERLINK("https://youtu.be/pPUIydUZonE?t=6921","channel 1")</f>
        <v>channel 1</v>
      </c>
    </row>
    <row r="18">
      <c r="A18" s="141"/>
      <c r="B18" s="56" t="s">
        <v>3666</v>
      </c>
      <c r="C18" s="57" t="s">
        <v>313</v>
      </c>
      <c r="D18" s="56" t="s">
        <v>3612</v>
      </c>
      <c r="E18" s="11" t="str">
        <f>HYPERLINK("https://youtu.be/j1zttjRVMEQ?t=6695","channel 2")</f>
        <v>channel 2</v>
      </c>
    </row>
    <row r="19">
      <c r="A19" s="141"/>
      <c r="B19" s="56" t="s">
        <v>4082</v>
      </c>
      <c r="C19" s="57" t="s">
        <v>22</v>
      </c>
      <c r="D19" s="56" t="s">
        <v>3999</v>
      </c>
      <c r="E19" s="158" t="str">
        <f>HYPERLINK("https://youtu.be/pPUIydUZonE?t=7853","channel 1")</f>
        <v>channel 1</v>
      </c>
    </row>
    <row r="20">
      <c r="A20" s="141"/>
      <c r="B20" s="56" t="s">
        <v>3666</v>
      </c>
      <c r="C20" s="57" t="s">
        <v>292</v>
      </c>
      <c r="D20" s="56" t="s">
        <v>4083</v>
      </c>
      <c r="E20" s="11" t="str">
        <f>HYPERLINK("https://youtu.be/j1zttjRVMEQ?t=7681","channel 2")</f>
        <v>channel 2</v>
      </c>
    </row>
    <row r="21">
      <c r="A21" s="141"/>
      <c r="B21" s="56" t="s">
        <v>3612</v>
      </c>
      <c r="C21" s="57" t="s">
        <v>344</v>
      </c>
      <c r="D21" s="56" t="s">
        <v>3999</v>
      </c>
      <c r="E21" s="158" t="str">
        <f>HYPERLINK("https://youtu.be/pPUIydUZonE?t=8795","channel 1")</f>
        <v>channel 1</v>
      </c>
    </row>
    <row r="22">
      <c r="A22" s="141"/>
      <c r="B22" s="56" t="s">
        <v>4082</v>
      </c>
      <c r="C22" s="57" t="s">
        <v>464</v>
      </c>
      <c r="D22" s="56" t="s">
        <v>4083</v>
      </c>
      <c r="E22" s="11" t="str">
        <f>HYPERLINK("https://youtu.be/j1zttjRVMEQ?t=8638","channel 2")</f>
        <v>channel 2</v>
      </c>
    </row>
    <row r="23">
      <c r="A23" s="141"/>
      <c r="B23" s="96" t="s">
        <v>2207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4085</v>
      </c>
      <c r="C25" s="57" t="s">
        <v>525</v>
      </c>
      <c r="D25" s="56" t="s">
        <v>4086</v>
      </c>
      <c r="E25" s="158" t="str">
        <f>HYPERLINK("https://youtu.be/hoIzhNzMHtg","channel 1")</f>
        <v>channel 1</v>
      </c>
    </row>
    <row r="26">
      <c r="A26" s="141"/>
      <c r="B26" s="56" t="s">
        <v>4087</v>
      </c>
      <c r="C26" s="57" t="s">
        <v>271</v>
      </c>
      <c r="D26" s="56" t="s">
        <v>4088</v>
      </c>
      <c r="E26" s="11" t="str">
        <f>HYPERLINK("https://youtu.be/zxcPy2dK7vI","channel 2")</f>
        <v>channel 2</v>
      </c>
    </row>
    <row r="27">
      <c r="A27" s="141"/>
      <c r="B27" s="56" t="s">
        <v>4089</v>
      </c>
      <c r="C27" s="57" t="s">
        <v>555</v>
      </c>
      <c r="D27" s="56" t="s">
        <v>4085</v>
      </c>
      <c r="E27" s="158" t="str">
        <f>HYPERLINK("https://youtu.be/hoIzhNzMHtg?t=987","channel 1")</f>
        <v>channel 1</v>
      </c>
    </row>
    <row r="28">
      <c r="A28" s="141"/>
      <c r="B28" s="56" t="s">
        <v>4087</v>
      </c>
      <c r="C28" s="57" t="s">
        <v>323</v>
      </c>
      <c r="D28" s="56" t="s">
        <v>4086</v>
      </c>
      <c r="E28" s="11" t="str">
        <f>HYPERLINK("https://youtu.be/zxcPy2dK7vI?t=945","channel 2")</f>
        <v>channel 2</v>
      </c>
    </row>
    <row r="29">
      <c r="A29" s="141"/>
      <c r="B29" s="56" t="s">
        <v>4089</v>
      </c>
      <c r="C29" s="57" t="s">
        <v>264</v>
      </c>
      <c r="D29" s="56" t="s">
        <v>4088</v>
      </c>
      <c r="E29" s="158" t="str">
        <f>HYPERLINK("https://youtu.be/hoIzhNzMHtg?t=2022","channel 1")</f>
        <v>channel 1</v>
      </c>
    </row>
    <row r="30">
      <c r="A30" s="141"/>
      <c r="B30" s="56" t="s">
        <v>4087</v>
      </c>
      <c r="C30" s="57" t="s">
        <v>173</v>
      </c>
      <c r="D30" s="56" t="s">
        <v>4085</v>
      </c>
      <c r="E30" s="11" t="str">
        <f>HYPERLINK("https://youtu.be/zxcPy2dK7vI?t=1998","channel 2")</f>
        <v>channel 2</v>
      </c>
    </row>
    <row r="31">
      <c r="A31" s="141"/>
      <c r="B31" s="56" t="s">
        <v>4089</v>
      </c>
      <c r="C31" s="57" t="s">
        <v>344</v>
      </c>
      <c r="D31" s="56" t="s">
        <v>4086</v>
      </c>
      <c r="E31" s="158" t="str">
        <f>HYPERLINK("https://youtu.be/hoIzhNzMHtg?t=3013","channel 1")</f>
        <v>channel 1</v>
      </c>
    </row>
    <row r="32">
      <c r="A32" s="141"/>
      <c r="B32" s="56" t="s">
        <v>4088</v>
      </c>
      <c r="C32" s="57" t="s">
        <v>219</v>
      </c>
      <c r="D32" s="56" t="s">
        <v>4085</v>
      </c>
      <c r="E32" s="11" t="str">
        <f>HYPERLINK("https://youtu.be/zxcPy2dK7vI?t=2991","channel 2")</f>
        <v>channel 2</v>
      </c>
    </row>
    <row r="33">
      <c r="A33" s="141"/>
      <c r="B33" s="56" t="s">
        <v>4089</v>
      </c>
      <c r="C33" s="57" t="s">
        <v>162</v>
      </c>
      <c r="D33" s="56" t="s">
        <v>4087</v>
      </c>
      <c r="E33" s="158" t="str">
        <f>HYPERLINK("https://youtu.be/hoIzhNzMHtg?t=3933","channel 1")</f>
        <v>channel 1</v>
      </c>
    </row>
    <row r="34">
      <c r="A34" s="141"/>
      <c r="B34" s="56" t="s">
        <v>4088</v>
      </c>
      <c r="C34" s="57" t="s">
        <v>248</v>
      </c>
      <c r="D34" s="56" t="s">
        <v>4086</v>
      </c>
      <c r="E34" s="11" t="str">
        <f>HYPERLINK("https://youtu.be/zxcPy2dK7vI?t=3932","channel 2")</f>
        <v>channel 2</v>
      </c>
    </row>
    <row r="35">
      <c r="A35" s="141"/>
      <c r="B35" s="56" t="s">
        <v>4086</v>
      </c>
      <c r="C35" s="57" t="s">
        <v>24</v>
      </c>
      <c r="D35" s="56" t="s">
        <v>4085</v>
      </c>
      <c r="E35" s="158" t="str">
        <f>HYPERLINK("https://youtu.be/hoIzhNzMHtg?t=4889","channel 1")</f>
        <v>channel 1</v>
      </c>
    </row>
    <row r="36">
      <c r="A36" s="141"/>
      <c r="B36" s="56" t="s">
        <v>4088</v>
      </c>
      <c r="C36" s="57" t="s">
        <v>36</v>
      </c>
      <c r="D36" s="56" t="s">
        <v>4087</v>
      </c>
      <c r="E36" s="11" t="str">
        <f>HYPERLINK("https://youtu.be/zxcPy2dK7vI?t=4842","channel 2")</f>
        <v>channel 2</v>
      </c>
    </row>
    <row r="37">
      <c r="A37" s="141"/>
      <c r="B37" s="56" t="s">
        <v>4085</v>
      </c>
      <c r="C37" s="57" t="s">
        <v>303</v>
      </c>
      <c r="D37" s="56" t="s">
        <v>4089</v>
      </c>
      <c r="E37" s="158" t="str">
        <f>HYPERLINK("https://youtu.be/hoIzhNzMHtg?t=5841","channel 1")</f>
        <v>channel 1</v>
      </c>
    </row>
    <row r="38">
      <c r="A38" s="141"/>
      <c r="B38" s="56" t="s">
        <v>4086</v>
      </c>
      <c r="C38" s="57" t="s">
        <v>208</v>
      </c>
      <c r="D38" s="56" t="s">
        <v>4087</v>
      </c>
      <c r="E38" s="11" t="str">
        <f>HYPERLINK("https://youtu.be/zxcPy2dK7vI?t=5869","channel 2")</f>
        <v>channel 2</v>
      </c>
    </row>
    <row r="39">
      <c r="A39" s="141"/>
      <c r="B39" s="56" t="s">
        <v>4088</v>
      </c>
      <c r="C39" s="45" t="s">
        <v>4090</v>
      </c>
      <c r="D39" s="56" t="s">
        <v>4089</v>
      </c>
      <c r="E39" s="158" t="str">
        <f>HYPERLINK("https://youtu.be/hoIzhNzMHtg?t=6790","channel 1")</f>
        <v>channel 1</v>
      </c>
    </row>
    <row r="40">
      <c r="A40" s="141"/>
      <c r="B40" s="56" t="s">
        <v>4085</v>
      </c>
      <c r="C40" s="57" t="s">
        <v>208</v>
      </c>
      <c r="D40" s="56" t="s">
        <v>4087</v>
      </c>
      <c r="E40" s="11" t="str">
        <f>HYPERLINK("https://youtu.be/zxcPy2dK7vI?t=6828","channel 2")</f>
        <v>channel 2</v>
      </c>
    </row>
    <row r="41">
      <c r="A41" s="141"/>
      <c r="B41" s="56" t="s">
        <v>4086</v>
      </c>
      <c r="C41" s="57" t="s">
        <v>18</v>
      </c>
      <c r="D41" s="56" t="s">
        <v>4089</v>
      </c>
      <c r="E41" s="158" t="str">
        <f>HYPERLINK("https://youtu.be/hoIzhNzMHtg?t=7685","channel 1")</f>
        <v>channel 1</v>
      </c>
    </row>
    <row r="42">
      <c r="A42" s="141"/>
      <c r="B42" s="56" t="s">
        <v>4085</v>
      </c>
      <c r="C42" s="57" t="s">
        <v>314</v>
      </c>
      <c r="D42" s="56" t="s">
        <v>4088</v>
      </c>
      <c r="E42" s="11" t="str">
        <f>HYPERLINK("https://youtu.be/zxcPy2dK7vI?t=7725","channel 2")</f>
        <v>channel 2</v>
      </c>
    </row>
    <row r="43">
      <c r="A43" s="141"/>
      <c r="B43" s="56" t="s">
        <v>4087</v>
      </c>
      <c r="C43" s="57" t="s">
        <v>7</v>
      </c>
      <c r="D43" s="56" t="s">
        <v>4089</v>
      </c>
      <c r="E43" s="158" t="str">
        <f>HYPERLINK("https://youtu.be/hoIzhNzMHtg?t=8586","channel 1")</f>
        <v>channel 1</v>
      </c>
    </row>
    <row r="44">
      <c r="A44" s="141"/>
      <c r="B44" s="56" t="s">
        <v>4086</v>
      </c>
      <c r="C44" s="57" t="s">
        <v>394</v>
      </c>
      <c r="D44" s="56" t="s">
        <v>4088</v>
      </c>
      <c r="E44" s="11" t="str">
        <f>HYPERLINK("https://youtu.be/zxcPy2dK7vI?t=8654","channel 2")</f>
        <v>channel 2</v>
      </c>
    </row>
    <row r="45">
      <c r="A45" s="141"/>
      <c r="B45" s="96" t="s">
        <v>2780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4091</v>
      </c>
      <c r="C47" s="57" t="s">
        <v>229</v>
      </c>
      <c r="D47" s="56" t="s">
        <v>359</v>
      </c>
      <c r="E47" s="158" t="str">
        <f>HYPERLINK("https://youtu.be/KLBZAaRq-R0","channel 1")</f>
        <v>channel 1</v>
      </c>
    </row>
    <row r="48">
      <c r="A48" s="141"/>
      <c r="B48" s="56" t="s">
        <v>1780</v>
      </c>
      <c r="C48" s="57" t="s">
        <v>229</v>
      </c>
      <c r="D48" s="56" t="s">
        <v>4092</v>
      </c>
      <c r="E48" s="11" t="str">
        <f>HYPERLINK("https://youtu.be/VfUP4dbQuSQ","channel 2")</f>
        <v>channel 2</v>
      </c>
    </row>
    <row r="49">
      <c r="A49" s="141"/>
      <c r="B49" s="56" t="s">
        <v>3860</v>
      </c>
      <c r="C49" s="54" t="s">
        <v>357</v>
      </c>
      <c r="D49" s="56" t="s">
        <v>4091</v>
      </c>
      <c r="E49" s="158" t="str">
        <f>HYPERLINK("https://youtu.be/KLBZAaRq-R0?t=988","channel 1")</f>
        <v>channel 1</v>
      </c>
    </row>
    <row r="50">
      <c r="A50" s="141"/>
      <c r="B50" s="56" t="s">
        <v>1780</v>
      </c>
      <c r="C50" s="57" t="s">
        <v>158</v>
      </c>
      <c r="D50" s="56" t="s">
        <v>359</v>
      </c>
      <c r="E50" s="11" t="str">
        <f>HYPERLINK("https://youtu.be/VfUP4dbQuSQ?t=912","channel 2")</f>
        <v>channel 2</v>
      </c>
    </row>
    <row r="51">
      <c r="A51" s="141"/>
      <c r="B51" s="56" t="s">
        <v>3860</v>
      </c>
      <c r="C51" s="57" t="s">
        <v>1149</v>
      </c>
      <c r="D51" s="56" t="s">
        <v>4092</v>
      </c>
      <c r="E51" s="158" t="str">
        <f>HYPERLINK("https://youtu.be/KLBZAaRq-R0?t=1926","channel 1")</f>
        <v>channel 1</v>
      </c>
    </row>
    <row r="52">
      <c r="A52" s="141"/>
      <c r="B52" s="56" t="s">
        <v>1780</v>
      </c>
      <c r="C52" s="57" t="s">
        <v>575</v>
      </c>
      <c r="D52" s="56" t="s">
        <v>4091</v>
      </c>
      <c r="E52" s="11" t="str">
        <f>HYPERLINK("https://youtu.be/VfUP4dbQuSQ?t=1901","channel 2")</f>
        <v>channel 2</v>
      </c>
    </row>
    <row r="53">
      <c r="A53" s="141"/>
      <c r="B53" s="56" t="s">
        <v>3860</v>
      </c>
      <c r="C53" s="57" t="s">
        <v>556</v>
      </c>
      <c r="D53" s="56" t="s">
        <v>359</v>
      </c>
      <c r="E53" s="158" t="str">
        <f>HYPERLINK("https://youtu.be/KLBZAaRq-R0?t=2832","channel 1")</f>
        <v>channel 1</v>
      </c>
    </row>
    <row r="54">
      <c r="A54" s="141"/>
      <c r="B54" s="56" t="s">
        <v>4092</v>
      </c>
      <c r="C54" s="57" t="s">
        <v>1434</v>
      </c>
      <c r="D54" s="56" t="s">
        <v>4091</v>
      </c>
      <c r="E54" s="11" t="str">
        <f>HYPERLINK("https://youtu.be/VfUP4dbQuSQ?t=2875","channel 2")</f>
        <v>channel 2</v>
      </c>
    </row>
    <row r="55">
      <c r="A55" s="141"/>
      <c r="B55" s="56" t="s">
        <v>3860</v>
      </c>
      <c r="C55" s="57" t="s">
        <v>279</v>
      </c>
      <c r="D55" s="56" t="s">
        <v>1780</v>
      </c>
      <c r="E55" s="158" t="str">
        <f>HYPERLINK("https://youtu.be/KLBZAaRq-R0?t=3806","channel 1")</f>
        <v>channel 1</v>
      </c>
    </row>
    <row r="56">
      <c r="A56" s="141"/>
      <c r="B56" s="56" t="s">
        <v>4092</v>
      </c>
      <c r="C56" s="57" t="s">
        <v>302</v>
      </c>
      <c r="D56" s="56" t="s">
        <v>359</v>
      </c>
      <c r="E56" s="11" t="str">
        <f>HYPERLINK("https://youtu.be/VfUP4dbQuSQ?t=3795","channel 2")</f>
        <v>channel 2</v>
      </c>
    </row>
    <row r="57">
      <c r="A57" s="141"/>
      <c r="B57" s="56" t="s">
        <v>359</v>
      </c>
      <c r="C57" s="57" t="s">
        <v>34</v>
      </c>
      <c r="D57" s="56" t="s">
        <v>4091</v>
      </c>
      <c r="E57" s="158" t="str">
        <f>HYPERLINK("https://youtu.be/KLBZAaRq-R0?t=4703","channel 1")</f>
        <v>channel 1</v>
      </c>
    </row>
    <row r="58">
      <c r="A58" s="141"/>
      <c r="B58" s="56" t="s">
        <v>4092</v>
      </c>
      <c r="C58" s="57" t="s">
        <v>448</v>
      </c>
      <c r="D58" s="56" t="s">
        <v>1780</v>
      </c>
      <c r="E58" s="11" t="str">
        <f>HYPERLINK("https://youtu.be/VfUP4dbQuSQ?t=4645","channel 2")</f>
        <v>channel 2</v>
      </c>
    </row>
    <row r="59">
      <c r="A59" s="141"/>
      <c r="B59" s="56" t="s">
        <v>4091</v>
      </c>
      <c r="C59" s="57" t="s">
        <v>998</v>
      </c>
      <c r="D59" s="56" t="s">
        <v>3860</v>
      </c>
      <c r="E59" s="158" t="str">
        <f>HYPERLINK("https://youtu.be/KLBZAaRq-R0?t=5607","channel 1")</f>
        <v>channel 1</v>
      </c>
    </row>
    <row r="60">
      <c r="A60" s="141"/>
      <c r="B60" s="56" t="s">
        <v>359</v>
      </c>
      <c r="C60" s="57" t="s">
        <v>302</v>
      </c>
      <c r="D60" s="56" t="s">
        <v>1780</v>
      </c>
      <c r="E60" s="11" t="str">
        <f>HYPERLINK("https://youtu.be/VfUP4dbQuSQ?t=5720","channel 2")</f>
        <v>channel 2</v>
      </c>
    </row>
    <row r="61">
      <c r="A61" s="141"/>
      <c r="B61" s="56" t="s">
        <v>4092</v>
      </c>
      <c r="C61" s="57" t="s">
        <v>324</v>
      </c>
      <c r="D61" s="56" t="s">
        <v>3860</v>
      </c>
      <c r="E61" s="158" t="str">
        <f>HYPERLINK("https://youtu.be/KLBZAaRq-R0?t=6510","channel 1")</f>
        <v>channel 1</v>
      </c>
    </row>
    <row r="62">
      <c r="A62" s="141"/>
      <c r="B62" s="56" t="s">
        <v>4091</v>
      </c>
      <c r="C62" s="45" t="s">
        <v>536</v>
      </c>
      <c r="D62" s="56" t="s">
        <v>1780</v>
      </c>
      <c r="E62" s="11" t="str">
        <f>HYPERLINK("https://youtu.be/VfUP4dbQuSQ?t=6609","channel 2")</f>
        <v>channel 2</v>
      </c>
    </row>
    <row r="63">
      <c r="A63" s="141"/>
      <c r="B63" s="56" t="s">
        <v>359</v>
      </c>
      <c r="C63" s="57" t="s">
        <v>17</v>
      </c>
      <c r="D63" s="56" t="s">
        <v>3860</v>
      </c>
      <c r="E63" s="158" t="str">
        <f>HYPERLINK("https://youtu.be/KLBZAaRq-R0?t=7410","channel 1")</f>
        <v>channel 1</v>
      </c>
    </row>
    <row r="64">
      <c r="A64" s="141"/>
      <c r="B64" s="56" t="s">
        <v>4091</v>
      </c>
      <c r="C64" s="57" t="s">
        <v>507</v>
      </c>
      <c r="D64" s="56" t="s">
        <v>4092</v>
      </c>
      <c r="E64" s="11" t="str">
        <f>HYPERLINK("https://youtu.be/VfUP4dbQuSQ?t=7544","channel 2")</f>
        <v>channel 2</v>
      </c>
    </row>
    <row r="65">
      <c r="A65" s="141"/>
      <c r="B65" s="56" t="s">
        <v>1780</v>
      </c>
      <c r="C65" s="57" t="s">
        <v>344</v>
      </c>
      <c r="D65" s="56" t="s">
        <v>3860</v>
      </c>
      <c r="E65" s="158" t="str">
        <f>HYPERLINK("https://youtu.be/KLBZAaRq-R0?t=8274","channel 1")</f>
        <v>channel 1</v>
      </c>
    </row>
    <row r="66">
      <c r="A66" s="141"/>
      <c r="B66" s="56" t="s">
        <v>359</v>
      </c>
      <c r="C66" s="57" t="s">
        <v>184</v>
      </c>
      <c r="D66" s="56" t="s">
        <v>4092</v>
      </c>
      <c r="E66" s="11" t="str">
        <f>HYPERLINK("https://youtu.be/VfUP4dbQuSQ?t=8456","channel 2")</f>
        <v>channel 2</v>
      </c>
    </row>
    <row r="67">
      <c r="A67" s="141"/>
      <c r="B67" s="160" t="s">
        <v>1803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4093</v>
      </c>
      <c r="C69" s="57" t="s">
        <v>155</v>
      </c>
      <c r="D69" s="56" t="s">
        <v>4094</v>
      </c>
      <c r="E69" s="158" t="str">
        <f>HYPERLINK("https://youtu.be/DbAN68aHcwY","channel 1")</f>
        <v>channel 1</v>
      </c>
    </row>
    <row r="70">
      <c r="A70" s="141"/>
      <c r="B70" s="56" t="s">
        <v>4095</v>
      </c>
      <c r="C70" s="57" t="s">
        <v>250</v>
      </c>
      <c r="D70" s="56" t="s">
        <v>4096</v>
      </c>
      <c r="E70" s="11" t="str">
        <f>HYPERLINK("https://youtu.be/eThnN-Le3s0","channel 2")</f>
        <v>channel 2</v>
      </c>
    </row>
    <row r="71">
      <c r="A71" s="141"/>
      <c r="B71" s="56" t="s">
        <v>4097</v>
      </c>
      <c r="C71" s="57" t="s">
        <v>1049</v>
      </c>
      <c r="D71" s="56" t="s">
        <v>4093</v>
      </c>
      <c r="E71" s="158" t="str">
        <f>HYPERLINK("https://youtu.be/DbAN68aHcwY?t=983","channel 1")</f>
        <v>channel 1</v>
      </c>
    </row>
    <row r="72">
      <c r="A72" s="141"/>
      <c r="B72" s="56" t="s">
        <v>4095</v>
      </c>
      <c r="C72" s="57" t="s">
        <v>161</v>
      </c>
      <c r="D72" s="56" t="s">
        <v>4094</v>
      </c>
      <c r="E72" s="11" t="str">
        <f>HYPERLINK("https://youtu.be/eThnN-Le3s0?t=917","channel 2")</f>
        <v>channel 2</v>
      </c>
    </row>
    <row r="73">
      <c r="A73" s="141"/>
      <c r="B73" s="56" t="s">
        <v>4097</v>
      </c>
      <c r="C73" s="57" t="s">
        <v>181</v>
      </c>
      <c r="D73" s="56" t="s">
        <v>4096</v>
      </c>
      <c r="E73" s="158" t="str">
        <f>HYPERLINK("https://youtu.be/DbAN68aHcwY?t=2002","channel 1")</f>
        <v>channel 1</v>
      </c>
    </row>
    <row r="74">
      <c r="A74" s="141"/>
      <c r="B74" s="56" t="s">
        <v>4095</v>
      </c>
      <c r="C74" s="57" t="s">
        <v>163</v>
      </c>
      <c r="D74" s="56" t="s">
        <v>4093</v>
      </c>
      <c r="E74" s="11" t="str">
        <f>HYPERLINK("https://youtu.be/eThnN-Le3s0?t=1989","channel 2")</f>
        <v>channel 2</v>
      </c>
    </row>
    <row r="75">
      <c r="A75" s="141"/>
      <c r="B75" s="56" t="s">
        <v>4097</v>
      </c>
      <c r="C75" s="57" t="s">
        <v>194</v>
      </c>
      <c r="D75" s="56" t="s">
        <v>4094</v>
      </c>
      <c r="E75" s="158" t="str">
        <f>HYPERLINK("https://youtu.be/DbAN68aHcwY?t=2958","channel 1")</f>
        <v>channel 1</v>
      </c>
    </row>
    <row r="76">
      <c r="A76" s="141"/>
      <c r="B76" s="56" t="s">
        <v>4096</v>
      </c>
      <c r="C76" s="57" t="s">
        <v>227</v>
      </c>
      <c r="D76" s="56" t="s">
        <v>4093</v>
      </c>
      <c r="E76" s="11" t="str">
        <f>HYPERLINK("https://youtu.be/eThnN-Le3s0?t=2971","channel 2")</f>
        <v>channel 2</v>
      </c>
    </row>
    <row r="77">
      <c r="A77" s="141"/>
      <c r="B77" s="56" t="s">
        <v>4097</v>
      </c>
      <c r="C77" s="57" t="s">
        <v>198</v>
      </c>
      <c r="D77" s="56" t="s">
        <v>4095</v>
      </c>
      <c r="E77" s="158" t="str">
        <f>HYPERLINK("https://youtu.be/DbAN68aHcwY?t=3861","channel 1")</f>
        <v>channel 1</v>
      </c>
    </row>
    <row r="78">
      <c r="A78" s="141"/>
      <c r="B78" s="56" t="s">
        <v>4096</v>
      </c>
      <c r="C78" s="57" t="s">
        <v>549</v>
      </c>
      <c r="D78" s="56" t="s">
        <v>4094</v>
      </c>
      <c r="E78" s="11" t="str">
        <f>HYPERLINK("https://youtu.be/eThnN-Le3s0?t=3807","channel 2")</f>
        <v>channel 2</v>
      </c>
    </row>
    <row r="79">
      <c r="A79" s="141"/>
      <c r="B79" s="56" t="s">
        <v>4094</v>
      </c>
      <c r="C79" s="57" t="s">
        <v>751</v>
      </c>
      <c r="D79" s="56" t="s">
        <v>4093</v>
      </c>
      <c r="E79" s="158" t="str">
        <f>HYPERLINK("https://youtu.be/DbAN68aHcwY?t=4748","channel 1")</f>
        <v>channel 1</v>
      </c>
    </row>
    <row r="80">
      <c r="A80" s="141"/>
      <c r="B80" s="56" t="s">
        <v>4096</v>
      </c>
      <c r="C80" s="57" t="s">
        <v>4098</v>
      </c>
      <c r="D80" s="56" t="s">
        <v>4095</v>
      </c>
      <c r="E80" s="11" t="str">
        <f>HYPERLINK("https://youtu.be/eThnN-Le3s0?t=4761","channel 2")</f>
        <v>channel 2</v>
      </c>
    </row>
    <row r="81">
      <c r="A81" s="141"/>
      <c r="B81" s="56" t="s">
        <v>4093</v>
      </c>
      <c r="C81" s="57" t="s">
        <v>549</v>
      </c>
      <c r="D81" s="56" t="s">
        <v>4097</v>
      </c>
      <c r="E81" s="158" t="str">
        <f>HYPERLINK("https://youtu.be/DbAN68aHcwY?t=5701","channel 1")</f>
        <v>channel 1</v>
      </c>
    </row>
    <row r="82">
      <c r="A82" s="141"/>
      <c r="B82" s="56" t="s">
        <v>4094</v>
      </c>
      <c r="C82" s="57" t="s">
        <v>185</v>
      </c>
      <c r="D82" s="56" t="s">
        <v>4095</v>
      </c>
      <c r="E82" s="11" t="str">
        <f>HYPERLINK("https://youtu.be/eThnN-Le3s0?t=5706","channel 2")</f>
        <v>channel 2</v>
      </c>
    </row>
    <row r="83">
      <c r="A83" s="141"/>
      <c r="B83" s="56" t="s">
        <v>4096</v>
      </c>
      <c r="C83" s="57" t="s">
        <v>640</v>
      </c>
      <c r="D83" s="56" t="s">
        <v>4097</v>
      </c>
      <c r="E83" s="158" t="str">
        <f>HYPERLINK("https://youtu.be/DbAN68aHcwY?t=6655","channel 1")</f>
        <v>channel 1</v>
      </c>
    </row>
    <row r="84">
      <c r="A84" s="141"/>
      <c r="B84" s="56" t="s">
        <v>4093</v>
      </c>
      <c r="C84" s="57" t="s">
        <v>4099</v>
      </c>
      <c r="D84" s="56" t="s">
        <v>4095</v>
      </c>
      <c r="E84" s="11" t="str">
        <f>HYPERLINK("https://youtu.be/eThnN-Le3s0?t=6696","channel 2")</f>
        <v>channel 2</v>
      </c>
    </row>
    <row r="85">
      <c r="A85" s="141"/>
      <c r="B85" s="56" t="s">
        <v>4094</v>
      </c>
      <c r="C85" s="57" t="s">
        <v>231</v>
      </c>
      <c r="D85" s="56" t="s">
        <v>4097</v>
      </c>
      <c r="E85" s="158" t="str">
        <f>HYPERLINK("https://youtu.be/DbAN68aHcwY?t=7585","channel 1")</f>
        <v>channel 1</v>
      </c>
    </row>
    <row r="86">
      <c r="A86" s="141"/>
      <c r="B86" s="56" t="s">
        <v>4093</v>
      </c>
      <c r="C86" s="57" t="s">
        <v>336</v>
      </c>
      <c r="D86" s="56" t="s">
        <v>4096</v>
      </c>
      <c r="E86" s="11" t="str">
        <f>HYPERLINK("https://youtu.be/eThnN-Le3s0?t=7668","channel 2")</f>
        <v>channel 2</v>
      </c>
    </row>
    <row r="87">
      <c r="A87" s="141"/>
      <c r="B87" s="56" t="s">
        <v>4095</v>
      </c>
      <c r="C87" s="57" t="s">
        <v>450</v>
      </c>
      <c r="D87" s="56" t="s">
        <v>4097</v>
      </c>
      <c r="E87" s="158" t="str">
        <f>HYPERLINK("https://youtu.be/DbAN68aHcwY?t=8523","channel 1")</f>
        <v>channel 1</v>
      </c>
    </row>
    <row r="88">
      <c r="A88" s="145"/>
      <c r="B88" s="56" t="s">
        <v>4094</v>
      </c>
      <c r="C88" s="57" t="s">
        <v>1420</v>
      </c>
      <c r="D88" s="56" t="s">
        <v>4096</v>
      </c>
      <c r="E88" s="11" t="str">
        <f>HYPERLINK("https://youtu.be/eThnN-Le3s0?t=8604","channel 2")</f>
        <v>channel 2</v>
      </c>
    </row>
    <row r="89">
      <c r="B89" s="96" t="s">
        <v>2756</v>
      </c>
      <c r="C89" s="2"/>
      <c r="D89" s="3"/>
      <c r="E89" s="161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56" t="s">
        <v>3188</v>
      </c>
      <c r="C91" s="57" t="s">
        <v>218</v>
      </c>
      <c r="D91" s="56" t="s">
        <v>138</v>
      </c>
      <c r="E91" s="158" t="str">
        <f>HYPERLINK("https://youtu.be/0AOkDJjKab4","channel 1")</f>
        <v>channel 1</v>
      </c>
    </row>
    <row r="92">
      <c r="B92" s="56" t="s">
        <v>1953</v>
      </c>
      <c r="C92" s="57" t="s">
        <v>342</v>
      </c>
      <c r="D92" s="56" t="s">
        <v>1923</v>
      </c>
      <c r="E92" s="11" t="str">
        <f>HYPERLINK("https://youtu.be/Phg1F8Z_YAg","channel 2")</f>
        <v>channel 2</v>
      </c>
    </row>
    <row r="93">
      <c r="B93" s="56" t="s">
        <v>1694</v>
      </c>
      <c r="C93" s="57" t="s">
        <v>257</v>
      </c>
      <c r="D93" s="56" t="s">
        <v>3188</v>
      </c>
      <c r="E93" s="158" t="str">
        <f>HYPERLINK("https://youtu.be/0AOkDJjKab4?t=900","channel 1")</f>
        <v>channel 1</v>
      </c>
    </row>
    <row r="94">
      <c r="B94" s="56" t="s">
        <v>1953</v>
      </c>
      <c r="C94" s="57" t="s">
        <v>248</v>
      </c>
      <c r="D94" s="56" t="s">
        <v>138</v>
      </c>
      <c r="E94" s="11" t="str">
        <f>HYPERLINK("https://youtu.be/Phg1F8Z_YAg?t=911","channel 2")</f>
        <v>channel 2</v>
      </c>
    </row>
    <row r="95">
      <c r="B95" s="56" t="s">
        <v>1694</v>
      </c>
      <c r="C95" s="57" t="s">
        <v>4100</v>
      </c>
      <c r="D95" s="56" t="s">
        <v>1923</v>
      </c>
      <c r="E95" s="158" t="str">
        <f>HYPERLINK("https://youtu.be/0AOkDJjKab4?t=1790","channel 1")</f>
        <v>channel 1</v>
      </c>
    </row>
    <row r="96">
      <c r="B96" s="56" t="s">
        <v>1953</v>
      </c>
      <c r="C96" s="57" t="s">
        <v>601</v>
      </c>
      <c r="D96" s="56" t="s">
        <v>3188</v>
      </c>
      <c r="E96" s="11" t="str">
        <f>HYPERLINK("https://youtu.be/Phg1F8Z_YAg?t=1752","channel 2")</f>
        <v>channel 2</v>
      </c>
    </row>
    <row r="97">
      <c r="B97" s="56" t="s">
        <v>1694</v>
      </c>
      <c r="C97" s="57" t="s">
        <v>7</v>
      </c>
      <c r="D97" s="56" t="s">
        <v>138</v>
      </c>
      <c r="E97" s="158" t="str">
        <f>HYPERLINK("https://youtu.be/0AOkDJjKab4?t=2723","channel 1")</f>
        <v>channel 1</v>
      </c>
    </row>
    <row r="98">
      <c r="B98" s="56" t="s">
        <v>1923</v>
      </c>
      <c r="C98" s="57" t="s">
        <v>395</v>
      </c>
      <c r="D98" s="56" t="s">
        <v>3188</v>
      </c>
      <c r="E98" s="11" t="str">
        <f>HYPERLINK("https://youtu.be/Phg1F8Z_YAg?t=3574","channel 2")</f>
        <v>channel 2</v>
      </c>
    </row>
    <row r="99">
      <c r="B99" s="56" t="s">
        <v>1694</v>
      </c>
      <c r="C99" s="57" t="s">
        <v>195</v>
      </c>
      <c r="D99" s="56" t="s">
        <v>1953</v>
      </c>
      <c r="E99" s="158" t="str">
        <f>HYPERLINK("https://youtu.be/0AOkDJjKab4?t=3720","channel 1")</f>
        <v>channel 1</v>
      </c>
    </row>
    <row r="100">
      <c r="B100" s="56" t="s">
        <v>1923</v>
      </c>
      <c r="C100" s="57" t="s">
        <v>218</v>
      </c>
      <c r="D100" s="56" t="s">
        <v>138</v>
      </c>
      <c r="E100" s="11" t="str">
        <f>HYPERLINK("https://youtu.be/Phg1F8Z_YAg?t=2654","channel 2")</f>
        <v>channel 2</v>
      </c>
    </row>
    <row r="101">
      <c r="B101" s="56" t="s">
        <v>138</v>
      </c>
      <c r="C101" s="57" t="s">
        <v>162</v>
      </c>
      <c r="D101" s="56" t="s">
        <v>3188</v>
      </c>
      <c r="E101" s="158" t="str">
        <f>HYPERLINK("https://youtu.be/0AOkDJjKab4?t=4610","channel 1")</f>
        <v>channel 1</v>
      </c>
    </row>
    <row r="102">
      <c r="B102" s="56" t="s">
        <v>1923</v>
      </c>
      <c r="C102" s="57" t="s">
        <v>16</v>
      </c>
      <c r="D102" s="56" t="s">
        <v>1953</v>
      </c>
      <c r="E102" s="11" t="str">
        <f>HYPERLINK("https://youtu.be/Phg1F8Z_YAg?t=4582","channel 2")</f>
        <v>channel 2</v>
      </c>
    </row>
    <row r="103">
      <c r="B103" s="56" t="s">
        <v>3188</v>
      </c>
      <c r="C103" s="57" t="s">
        <v>357</v>
      </c>
      <c r="D103" s="56" t="s">
        <v>1694</v>
      </c>
      <c r="E103" s="158" t="str">
        <f>HYPERLINK("https://youtu.be/0AOkDJjKab4?t=4610","channel 1")</f>
        <v>channel 1</v>
      </c>
    </row>
    <row r="104">
      <c r="B104" s="56" t="s">
        <v>138</v>
      </c>
      <c r="C104" s="57" t="s">
        <v>162</v>
      </c>
      <c r="D104" s="56" t="s">
        <v>1953</v>
      </c>
      <c r="E104" s="11" t="str">
        <f>HYPERLINK("https://youtu.be/Phg1F8Z_YAg?t=5528","channel 2")</f>
        <v>channel 2</v>
      </c>
    </row>
    <row r="105">
      <c r="B105" s="56" t="s">
        <v>1923</v>
      </c>
      <c r="C105" s="57" t="s">
        <v>23</v>
      </c>
      <c r="D105" s="56" t="s">
        <v>1694</v>
      </c>
      <c r="E105" s="158" t="str">
        <f>HYPERLINK("https://youtu.be/0AOkDJjKab4?t=6445","channel 1")</f>
        <v>channel 1</v>
      </c>
    </row>
    <row r="106">
      <c r="B106" s="56" t="s">
        <v>3188</v>
      </c>
      <c r="C106" s="57" t="s">
        <v>567</v>
      </c>
      <c r="D106" s="56" t="s">
        <v>1953</v>
      </c>
      <c r="E106" s="11" t="str">
        <f>HYPERLINK("https://youtu.be/Phg1F8Z_YAg?t=6396","channel 2")</f>
        <v>channel 2</v>
      </c>
    </row>
    <row r="107">
      <c r="B107" s="56" t="s">
        <v>138</v>
      </c>
      <c r="C107" s="57" t="s">
        <v>17</v>
      </c>
      <c r="D107" s="56" t="s">
        <v>1694</v>
      </c>
      <c r="E107" s="158" t="str">
        <f>HYPERLINK("https://youtu.be/0AOkDJjKab4?t=7306","channel 1")</f>
        <v>channel 1</v>
      </c>
    </row>
    <row r="108">
      <c r="B108" s="56" t="s">
        <v>3188</v>
      </c>
      <c r="C108" s="57" t="s">
        <v>18</v>
      </c>
      <c r="D108" s="56" t="s">
        <v>1923</v>
      </c>
      <c r="E108" s="11" t="str">
        <f>HYPERLINK("https://youtu.be/Phg1F8Z_YAg?t=7246","channel 2")</f>
        <v>channel 2</v>
      </c>
    </row>
    <row r="109">
      <c r="B109" s="56" t="s">
        <v>1953</v>
      </c>
      <c r="C109" s="57" t="s">
        <v>576</v>
      </c>
      <c r="D109" s="56" t="s">
        <v>1694</v>
      </c>
      <c r="E109" s="158" t="str">
        <f>HYPERLINK("https://youtu.be/0AOkDJjKab4?t=8234","channel 1")</f>
        <v>channel 1</v>
      </c>
    </row>
    <row r="110">
      <c r="B110" s="56" t="s">
        <v>138</v>
      </c>
      <c r="C110" s="57" t="s">
        <v>193</v>
      </c>
      <c r="D110" s="56" t="s">
        <v>1923</v>
      </c>
      <c r="E110" s="11" t="str">
        <f>HYPERLINK("https://youtu.be/Phg1F8Z_YAg?t=8087","channel 2")</f>
        <v>channel 2</v>
      </c>
    </row>
    <row r="111">
      <c r="B111" s="96" t="s">
        <v>2375</v>
      </c>
      <c r="C111" s="2"/>
      <c r="D111" s="3"/>
      <c r="E111" s="161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56" t="s">
        <v>4101</v>
      </c>
      <c r="C113" s="57" t="s">
        <v>194</v>
      </c>
      <c r="D113" s="56" t="s">
        <v>4102</v>
      </c>
      <c r="E113" s="158" t="str">
        <f>HYPERLINK("https://youtu.be/AyeDyy_N3jk","channel 1")</f>
        <v>channel 1</v>
      </c>
    </row>
    <row r="114">
      <c r="B114" s="56" t="s">
        <v>2512</v>
      </c>
      <c r="C114" s="57" t="s">
        <v>208</v>
      </c>
      <c r="D114" s="56" t="s">
        <v>1630</v>
      </c>
      <c r="E114" s="11" t="str">
        <f>HYPERLINK("https://youtu.be/Elp51rkQ8SA","channel 2")</f>
        <v>channel 2</v>
      </c>
    </row>
    <row r="115">
      <c r="B115" s="56" t="s">
        <v>4103</v>
      </c>
      <c r="C115" s="57" t="s">
        <v>155</v>
      </c>
      <c r="D115" s="56" t="s">
        <v>4101</v>
      </c>
      <c r="E115" s="158" t="str">
        <f>HYPERLINK("https://youtu.be/AyeDyy_N3jk?t=915","channel 1")</f>
        <v>channel 1</v>
      </c>
    </row>
    <row r="116">
      <c r="B116" s="56" t="s">
        <v>2512</v>
      </c>
      <c r="C116" s="57" t="s">
        <v>218</v>
      </c>
      <c r="D116" s="56" t="s">
        <v>4102</v>
      </c>
      <c r="E116" s="11" t="str">
        <f>HYPERLINK("https://youtu.be/Elp51rkQ8SA?t=824","channel 2")</f>
        <v>channel 2</v>
      </c>
    </row>
    <row r="117">
      <c r="B117" s="56" t="s">
        <v>4103</v>
      </c>
      <c r="C117" s="57" t="s">
        <v>195</v>
      </c>
      <c r="D117" s="56" t="s">
        <v>1630</v>
      </c>
      <c r="E117" s="158" t="str">
        <f>HYPERLINK("https://youtu.be/AyeDyy_N3jk?t=1860","channel 1")</f>
        <v>channel 1</v>
      </c>
    </row>
    <row r="118">
      <c r="B118" s="56" t="s">
        <v>2512</v>
      </c>
      <c r="C118" s="57" t="s">
        <v>362</v>
      </c>
      <c r="D118" s="56" t="s">
        <v>4101</v>
      </c>
      <c r="E118" s="11" t="str">
        <f>HYPERLINK("https://youtu.be/Elp51rkQ8SA?t=1783","channel 2")</f>
        <v>channel 2</v>
      </c>
    </row>
    <row r="119">
      <c r="B119" s="56" t="s">
        <v>4103</v>
      </c>
      <c r="C119" s="57" t="s">
        <v>545</v>
      </c>
      <c r="D119" s="56" t="s">
        <v>4102</v>
      </c>
      <c r="E119" s="158" t="str">
        <f>HYPERLINK("https://youtu.be/AyeDyy_N3jk?t=2724","channel 1")</f>
        <v>channel 1</v>
      </c>
    </row>
    <row r="120">
      <c r="B120" s="56" t="s">
        <v>1630</v>
      </c>
      <c r="C120" s="57" t="s">
        <v>227</v>
      </c>
      <c r="D120" s="56" t="s">
        <v>4101</v>
      </c>
      <c r="E120" s="11" t="str">
        <f>HYPERLINK("https://youtu.be/Elp51rkQ8SA?t=2742","channel 2")</f>
        <v>channel 2</v>
      </c>
    </row>
    <row r="121">
      <c r="B121" s="56" t="s">
        <v>4103</v>
      </c>
      <c r="C121" s="57" t="s">
        <v>426</v>
      </c>
      <c r="D121" s="56" t="s">
        <v>2512</v>
      </c>
      <c r="E121" s="158" t="str">
        <f>HYPERLINK("https://youtu.be/AyeDyy_N3jk?t=3689","channel 1")</f>
        <v>channel 1</v>
      </c>
    </row>
    <row r="122">
      <c r="B122" s="56" t="s">
        <v>1630</v>
      </c>
      <c r="C122" s="57" t="s">
        <v>17</v>
      </c>
      <c r="D122" s="56" t="s">
        <v>4102</v>
      </c>
      <c r="E122" s="11" t="str">
        <f>HYPERLINK("https://youtu.be/Elp51rkQ8SA?t=3673","channel 2")</f>
        <v>channel 2</v>
      </c>
    </row>
    <row r="123">
      <c r="B123" s="56" t="s">
        <v>4102</v>
      </c>
      <c r="C123" s="57" t="s">
        <v>194</v>
      </c>
      <c r="D123" s="56" t="s">
        <v>4101</v>
      </c>
      <c r="E123" s="158" t="str">
        <f>HYPERLINK("https://youtu.be/AyeDyy_N3jk?t=4637","channel 1")</f>
        <v>channel 1</v>
      </c>
    </row>
    <row r="124">
      <c r="B124" s="56" t="s">
        <v>1630</v>
      </c>
      <c r="C124" s="57" t="s">
        <v>466</v>
      </c>
      <c r="D124" s="56" t="s">
        <v>2512</v>
      </c>
      <c r="E124" s="11" t="str">
        <f>HYPERLINK("https://youtu.be/Elp51rkQ8SA?t=4686","channel 2")</f>
        <v>channel 2</v>
      </c>
    </row>
    <row r="125">
      <c r="B125" s="56" t="s">
        <v>4101</v>
      </c>
      <c r="C125" s="57" t="s">
        <v>20</v>
      </c>
      <c r="D125" s="56" t="s">
        <v>4103</v>
      </c>
      <c r="E125" s="158" t="str">
        <f>HYPERLINK("https://youtu.be/AyeDyy_N3jk?t=5652","channel 1")</f>
        <v>channel 1</v>
      </c>
    </row>
    <row r="126">
      <c r="B126" s="56" t="s">
        <v>4102</v>
      </c>
      <c r="C126" s="57" t="s">
        <v>18</v>
      </c>
      <c r="D126" s="56" t="s">
        <v>2512</v>
      </c>
      <c r="E126" s="11" t="str">
        <f>HYPERLINK("https://youtu.be/Elp51rkQ8SA?t=5493","channel 2")</f>
        <v>channel 2</v>
      </c>
    </row>
    <row r="127">
      <c r="B127" s="56" t="s">
        <v>1630</v>
      </c>
      <c r="C127" s="57" t="s">
        <v>251</v>
      </c>
      <c r="D127" s="56" t="s">
        <v>4103</v>
      </c>
      <c r="E127" s="158" t="str">
        <f>HYPERLINK("https://youtu.be/AyeDyy_N3jk?t=6535","channel 1")</f>
        <v>channel 1</v>
      </c>
    </row>
    <row r="128">
      <c r="B128" s="56" t="s">
        <v>4101</v>
      </c>
      <c r="C128" s="57" t="s">
        <v>41</v>
      </c>
      <c r="D128" s="56" t="s">
        <v>2512</v>
      </c>
      <c r="E128" s="11" t="str">
        <f>HYPERLINK("https://youtu.be/Elp51rkQ8SA?t=6407","channel 2")</f>
        <v>channel 2</v>
      </c>
    </row>
    <row r="129">
      <c r="B129" s="56" t="s">
        <v>4102</v>
      </c>
      <c r="C129" s="57" t="s">
        <v>14</v>
      </c>
      <c r="D129" s="56" t="s">
        <v>4103</v>
      </c>
      <c r="E129" s="158" t="str">
        <f>HYPERLINK("https://youtu.be/AyeDyy_N3jk?t=7405","channel 1")</f>
        <v>channel 1</v>
      </c>
    </row>
    <row r="130">
      <c r="B130" s="56" t="s">
        <v>4101</v>
      </c>
      <c r="C130" s="57" t="s">
        <v>185</v>
      </c>
      <c r="D130" s="56" t="s">
        <v>1630</v>
      </c>
      <c r="E130" s="11" t="str">
        <f>HYPERLINK("https://youtu.be/Elp51rkQ8SA?t=7303","channel 2")</f>
        <v>channel 2</v>
      </c>
    </row>
    <row r="131">
      <c r="B131" s="56" t="s">
        <v>2512</v>
      </c>
      <c r="C131" s="57" t="s">
        <v>23</v>
      </c>
      <c r="D131" s="56" t="s">
        <v>4103</v>
      </c>
      <c r="E131" s="158" t="str">
        <f>HYPERLINK("https://youtu.be/AyeDyy_N3jk?t=8304","channel 1")</f>
        <v>channel 1</v>
      </c>
    </row>
    <row r="132">
      <c r="B132" s="56" t="s">
        <v>4102</v>
      </c>
      <c r="C132" s="57" t="s">
        <v>219</v>
      </c>
      <c r="D132" s="56" t="s">
        <v>1630</v>
      </c>
      <c r="E132" s="11" t="str">
        <f>HYPERLINK("https://youtu.be/Elp51rkQ8SA?t=8297","channel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2471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4104</v>
      </c>
      <c r="C3" s="57" t="s">
        <v>205</v>
      </c>
      <c r="D3" s="56" t="s">
        <v>3205</v>
      </c>
      <c r="E3" s="158" t="str">
        <f>HYPERLINK("https://youtu.be/rknVKs452Xk","channel 1")</f>
        <v>channel 1</v>
      </c>
    </row>
    <row r="4">
      <c r="A4" s="141"/>
      <c r="B4" s="56" t="s">
        <v>1785</v>
      </c>
      <c r="C4" s="84" t="s">
        <v>31</v>
      </c>
      <c r="D4" s="56" t="s">
        <v>4105</v>
      </c>
      <c r="E4" s="11" t="str">
        <f>HYPERLINK("https://youtu.be/B0uWjTHWym8","channel 2")</f>
        <v>channel 2</v>
      </c>
    </row>
    <row r="5">
      <c r="A5" s="141"/>
      <c r="B5" s="104" t="s">
        <v>4106</v>
      </c>
      <c r="C5" s="57" t="s">
        <v>264</v>
      </c>
      <c r="D5" s="56" t="s">
        <v>4104</v>
      </c>
      <c r="E5" s="158" t="str">
        <f>HYPERLINK("https://youtu.be/rknVKs452Xk?t=966","channel 1")</f>
        <v>channel 1</v>
      </c>
    </row>
    <row r="6">
      <c r="A6" s="141"/>
      <c r="B6" s="56" t="s">
        <v>1785</v>
      </c>
      <c r="C6" s="57" t="s">
        <v>251</v>
      </c>
      <c r="D6" s="56" t="s">
        <v>3205</v>
      </c>
      <c r="E6" s="11" t="str">
        <f>HYPERLINK("https://youtu.be/B0uWjTHWym8?t=903","channel 2")</f>
        <v>channel 2</v>
      </c>
    </row>
    <row r="7">
      <c r="A7" s="141"/>
      <c r="B7" s="104" t="s">
        <v>4106</v>
      </c>
      <c r="C7" s="57" t="s">
        <v>225</v>
      </c>
      <c r="D7" s="56" t="s">
        <v>4105</v>
      </c>
      <c r="E7" s="158" t="str">
        <f>HYPERLINK("https://youtu.be/rknVKs452Xk?t=1975","channel 1")</f>
        <v>channel 1</v>
      </c>
    </row>
    <row r="8">
      <c r="A8" s="141"/>
      <c r="B8" s="56" t="s">
        <v>1785</v>
      </c>
      <c r="C8" s="57" t="s">
        <v>352</v>
      </c>
      <c r="D8" s="56" t="s">
        <v>4104</v>
      </c>
      <c r="E8" s="11" t="str">
        <f>HYPERLINK("https://youtu.be/B0uWjTHWym8?t=1739","channel 2")</f>
        <v>channel 2</v>
      </c>
    </row>
    <row r="9">
      <c r="A9" s="141"/>
      <c r="B9" s="104" t="s">
        <v>4106</v>
      </c>
      <c r="C9" s="57" t="s">
        <v>14</v>
      </c>
      <c r="D9" s="56" t="s">
        <v>3205</v>
      </c>
      <c r="E9" s="158" t="str">
        <f>HYPERLINK("https://youtu.be/rknVKs452Xk?t=2910","channel 1")</f>
        <v>channel 1</v>
      </c>
    </row>
    <row r="10">
      <c r="A10" s="141"/>
      <c r="B10" s="56" t="s">
        <v>4105</v>
      </c>
      <c r="C10" s="57" t="s">
        <v>22</v>
      </c>
      <c r="D10" s="56" t="s">
        <v>4104</v>
      </c>
      <c r="E10" s="11" t="str">
        <f>HYPERLINK("https://youtu.be/B0uWjTHWym8?t=2919","channel 2")</f>
        <v>channel 2</v>
      </c>
    </row>
    <row r="11">
      <c r="A11" s="141"/>
      <c r="B11" s="104" t="s">
        <v>4106</v>
      </c>
      <c r="C11" s="57" t="s">
        <v>357</v>
      </c>
      <c r="D11" s="56" t="s">
        <v>1785</v>
      </c>
      <c r="E11" s="158" t="str">
        <f>HYPERLINK("https://youtu.be/rknVKs452Xk?t=3810","channel 1")</f>
        <v>channel 1</v>
      </c>
    </row>
    <row r="12">
      <c r="A12" s="141"/>
      <c r="B12" s="56" t="s">
        <v>4105</v>
      </c>
      <c r="C12" s="57" t="s">
        <v>176</v>
      </c>
      <c r="D12" s="56" t="s">
        <v>3205</v>
      </c>
      <c r="E12" s="11" t="str">
        <f>HYPERLINK("https://youtu.be/B0uWjTHWym8?t=3896","channel 2")</f>
        <v>channel 2</v>
      </c>
    </row>
    <row r="13">
      <c r="A13" s="141"/>
      <c r="B13" s="56" t="s">
        <v>3205</v>
      </c>
      <c r="C13" s="57" t="s">
        <v>185</v>
      </c>
      <c r="D13" s="56" t="s">
        <v>4104</v>
      </c>
      <c r="E13" s="158" t="str">
        <f>HYPERLINK("https://youtu.be/rknVKs452Xk?t=4742","channel 1")</f>
        <v>channel 1</v>
      </c>
    </row>
    <row r="14">
      <c r="A14" s="141"/>
      <c r="B14" s="56" t="s">
        <v>4105</v>
      </c>
      <c r="C14" s="57" t="s">
        <v>203</v>
      </c>
      <c r="D14" s="56" t="s">
        <v>1785</v>
      </c>
      <c r="E14" s="11" t="str">
        <f>HYPERLINK("https://youtu.be/B0uWjTHWym8?t=4754","channel 2")</f>
        <v>channel 2</v>
      </c>
    </row>
    <row r="15">
      <c r="A15" s="141"/>
      <c r="B15" s="56" t="s">
        <v>4104</v>
      </c>
      <c r="C15" s="57" t="s">
        <v>4107</v>
      </c>
      <c r="D15" s="56" t="s">
        <v>4106</v>
      </c>
      <c r="E15" s="158" t="str">
        <f>HYPERLINK("https://youtu.be/rknVKs452Xk?t=5716","channel 1")</f>
        <v>channel 1</v>
      </c>
    </row>
    <row r="16">
      <c r="A16" s="141"/>
      <c r="B16" s="56" t="s">
        <v>3205</v>
      </c>
      <c r="C16" s="57" t="s">
        <v>20</v>
      </c>
      <c r="D16" s="56" t="s">
        <v>1785</v>
      </c>
      <c r="E16" s="11" t="str">
        <f>HYPERLINK("https://youtu.be/B0uWjTHWym8?t=5672","channel 2")</f>
        <v>channel 2</v>
      </c>
    </row>
    <row r="17">
      <c r="A17" s="141"/>
      <c r="B17" s="56" t="s">
        <v>4105</v>
      </c>
      <c r="C17" s="57" t="s">
        <v>203</v>
      </c>
      <c r="D17" s="104" t="s">
        <v>4106</v>
      </c>
      <c r="E17" s="158" t="str">
        <f>HYPERLINK("https://youtu.be/rknVKs452Xk?t=6666","channel 1")</f>
        <v>channel 1</v>
      </c>
    </row>
    <row r="18">
      <c r="A18" s="141"/>
      <c r="B18" s="56" t="s">
        <v>4104</v>
      </c>
      <c r="C18" s="57" t="s">
        <v>36</v>
      </c>
      <c r="D18" s="56" t="s">
        <v>1785</v>
      </c>
      <c r="E18" s="11" t="str">
        <f>HYPERLINK("https://youtu.be/B0uWjTHWym8?t=6680","channel 2")</f>
        <v>channel 2</v>
      </c>
    </row>
    <row r="19">
      <c r="A19" s="141"/>
      <c r="B19" s="56" t="s">
        <v>3205</v>
      </c>
      <c r="C19" s="57" t="s">
        <v>517</v>
      </c>
      <c r="D19" s="104" t="s">
        <v>4106</v>
      </c>
      <c r="E19" s="158" t="str">
        <f>HYPERLINK("https://youtu.be/rknVKs452Xk?t=7661","channel 1")</f>
        <v>channel 1</v>
      </c>
    </row>
    <row r="20">
      <c r="A20" s="141"/>
      <c r="B20" s="56" t="s">
        <v>4104</v>
      </c>
      <c r="C20" s="57" t="s">
        <v>1434</v>
      </c>
      <c r="D20" s="56" t="s">
        <v>4105</v>
      </c>
      <c r="E20" s="11" t="str">
        <f>HYPERLINK("https://youtu.be/B0uWjTHWym8?t=7680","channel 2")</f>
        <v>channel 2</v>
      </c>
    </row>
    <row r="21">
      <c r="A21" s="141"/>
      <c r="B21" s="56" t="s">
        <v>1785</v>
      </c>
      <c r="C21" s="57" t="s">
        <v>344</v>
      </c>
      <c r="D21" s="104" t="s">
        <v>4106</v>
      </c>
      <c r="E21" s="158" t="str">
        <f>HYPERLINK("https://youtu.be/rknVKs452Xk?t=8566","channel 1")</f>
        <v>channel 1</v>
      </c>
    </row>
    <row r="22">
      <c r="A22" s="141"/>
      <c r="B22" s="56" t="s">
        <v>3205</v>
      </c>
      <c r="C22" s="57" t="s">
        <v>42</v>
      </c>
      <c r="D22" s="56" t="s">
        <v>4105</v>
      </c>
      <c r="E22" s="11" t="str">
        <f>HYPERLINK("https://youtu.be/B0uWjTHWym8?t=8554","channel 2")</f>
        <v>channel 2</v>
      </c>
    </row>
    <row r="23">
      <c r="A23" s="141"/>
      <c r="B23" s="96" t="s">
        <v>2410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4108</v>
      </c>
      <c r="C25" s="57" t="s">
        <v>181</v>
      </c>
      <c r="D25" s="56" t="s">
        <v>3873</v>
      </c>
      <c r="E25" s="158" t="str">
        <f>HYPERLINK("https://youtu.be/9BekbkPEVR8","channel 1")</f>
        <v>channel 1</v>
      </c>
    </row>
    <row r="26">
      <c r="A26" s="141"/>
      <c r="B26" s="56" t="s">
        <v>387</v>
      </c>
      <c r="C26" s="57" t="s">
        <v>248</v>
      </c>
      <c r="D26" s="56" t="s">
        <v>4109</v>
      </c>
      <c r="E26" s="11" t="str">
        <f>HYPERLINK("https://youtu.be/8fqcd_ipF_0","channel 2")</f>
        <v>channel 2</v>
      </c>
    </row>
    <row r="27">
      <c r="A27" s="141"/>
      <c r="B27" s="56" t="s">
        <v>3876</v>
      </c>
      <c r="C27" s="57" t="s">
        <v>11</v>
      </c>
      <c r="D27" s="56" t="s">
        <v>4108</v>
      </c>
      <c r="E27" s="158" t="str">
        <f>HYPERLINK("https://youtu.be/9BekbkPEVR8?t=1030","channel 1")</f>
        <v>channel 1</v>
      </c>
    </row>
    <row r="28">
      <c r="A28" s="141"/>
      <c r="B28" s="56" t="s">
        <v>387</v>
      </c>
      <c r="C28" s="57" t="s">
        <v>443</v>
      </c>
      <c r="D28" s="56" t="s">
        <v>3873</v>
      </c>
      <c r="E28" s="11" t="str">
        <f>HYPERLINK("https://youtu.be/8fqcd_ipF_0?t=833","channel 2")</f>
        <v>channel 2</v>
      </c>
    </row>
    <row r="29">
      <c r="A29" s="141"/>
      <c r="B29" s="56" t="s">
        <v>3876</v>
      </c>
      <c r="C29" s="57" t="s">
        <v>209</v>
      </c>
      <c r="D29" s="56" t="s">
        <v>4109</v>
      </c>
      <c r="E29" s="158" t="str">
        <f>HYPERLINK("https://youtu.be/9BekbkPEVR8?t=1982","channel 1")</f>
        <v>channel 1</v>
      </c>
    </row>
    <row r="30">
      <c r="A30" s="141"/>
      <c r="B30" s="56" t="s">
        <v>387</v>
      </c>
      <c r="C30" s="57" t="s">
        <v>225</v>
      </c>
      <c r="D30" s="56" t="s">
        <v>4108</v>
      </c>
      <c r="E30" s="11" t="str">
        <f>HYPERLINK("https://youtu.be/8fqcd_ipF_0?t=1702","channel 2")</f>
        <v>channel 2</v>
      </c>
    </row>
    <row r="31">
      <c r="A31" s="141"/>
      <c r="B31" s="56" t="s">
        <v>3876</v>
      </c>
      <c r="C31" s="57" t="s">
        <v>344</v>
      </c>
      <c r="D31" s="56" t="s">
        <v>3873</v>
      </c>
      <c r="E31" s="158" t="str">
        <f>HYPERLINK("https://youtu.be/9BekbkPEVR8?t=2905","channel 1")</f>
        <v>channel 1</v>
      </c>
    </row>
    <row r="32">
      <c r="A32" s="141"/>
      <c r="B32" s="56" t="s">
        <v>4109</v>
      </c>
      <c r="C32" s="57" t="s">
        <v>157</v>
      </c>
      <c r="D32" s="56" t="s">
        <v>4108</v>
      </c>
      <c r="E32" s="11" t="str">
        <f>HYPERLINK("https://youtu.be/8fqcd_ipF_0?t=2847","channel 2")</f>
        <v>channel 2</v>
      </c>
    </row>
    <row r="33">
      <c r="A33" s="141"/>
      <c r="B33" s="56" t="s">
        <v>3876</v>
      </c>
      <c r="C33" s="57" t="s">
        <v>1162</v>
      </c>
      <c r="D33" s="56" t="s">
        <v>387</v>
      </c>
      <c r="E33" s="158" t="str">
        <f>HYPERLINK("https://youtu.be/9BekbkPEVR8?t=3853","channel 1")</f>
        <v>channel 1</v>
      </c>
    </row>
    <row r="34">
      <c r="A34" s="141"/>
      <c r="B34" s="56" t="s">
        <v>4109</v>
      </c>
      <c r="C34" s="57" t="s">
        <v>394</v>
      </c>
      <c r="D34" s="56" t="s">
        <v>3873</v>
      </c>
      <c r="E34" s="11" t="str">
        <f>HYPERLINK("https://youtu.be/8fqcd_ipF_0?t=3775","channel 2")</f>
        <v>channel 2</v>
      </c>
    </row>
    <row r="35">
      <c r="A35" s="141"/>
      <c r="B35" s="56" t="s">
        <v>3873</v>
      </c>
      <c r="C35" s="57" t="s">
        <v>790</v>
      </c>
      <c r="D35" s="56" t="s">
        <v>4108</v>
      </c>
      <c r="E35" s="158" t="str">
        <f>HYPERLINK("https://youtu.be/9BekbkPEVR8?t=4761","channel 1")</f>
        <v>channel 1</v>
      </c>
    </row>
    <row r="36">
      <c r="A36" s="141"/>
      <c r="B36" s="56" t="s">
        <v>4109</v>
      </c>
      <c r="C36" s="54" t="s">
        <v>393</v>
      </c>
      <c r="D36" s="56" t="s">
        <v>387</v>
      </c>
      <c r="E36" s="11" t="str">
        <f>HYPERLINK("https://youtu.be/8fqcd_ipF_0?t=4623","channel 2")</f>
        <v>channel 2</v>
      </c>
    </row>
    <row r="37">
      <c r="A37" s="141"/>
      <c r="B37" s="56" t="s">
        <v>4108</v>
      </c>
      <c r="C37" s="57" t="s">
        <v>41</v>
      </c>
      <c r="D37" s="56" t="s">
        <v>3876</v>
      </c>
      <c r="E37" s="158" t="str">
        <f>HYPERLINK("https://youtu.be/9BekbkPEVR8?t=5689","channel 1")</f>
        <v>channel 1</v>
      </c>
    </row>
    <row r="38">
      <c r="A38" s="141"/>
      <c r="B38" s="56" t="s">
        <v>3873</v>
      </c>
      <c r="C38" s="57" t="s">
        <v>547</v>
      </c>
      <c r="D38" s="56" t="s">
        <v>387</v>
      </c>
      <c r="E38" s="11" t="str">
        <f>HYPERLINK("https://youtu.be/8fqcd_ipF_0?t=5492","channel 2")</f>
        <v>channel 2</v>
      </c>
    </row>
    <row r="39">
      <c r="A39" s="141"/>
      <c r="B39" s="56" t="s">
        <v>4109</v>
      </c>
      <c r="C39" s="45" t="s">
        <v>18</v>
      </c>
      <c r="D39" s="56" t="s">
        <v>3876</v>
      </c>
      <c r="E39" s="158" t="str">
        <f>HYPERLINK("https://youtu.be/9BekbkPEVR8?t=6672","channel 1")</f>
        <v>channel 1</v>
      </c>
    </row>
    <row r="40">
      <c r="A40" s="141"/>
      <c r="B40" s="56" t="s">
        <v>4108</v>
      </c>
      <c r="C40" s="57" t="s">
        <v>917</v>
      </c>
      <c r="D40" s="56" t="s">
        <v>387</v>
      </c>
      <c r="E40" s="11" t="str">
        <f>HYPERLINK("https://youtu.be/8fqcd_ipF_0?t=6478","channel 2")</f>
        <v>channel 2</v>
      </c>
    </row>
    <row r="41">
      <c r="A41" s="141"/>
      <c r="B41" s="56" t="s">
        <v>3873</v>
      </c>
      <c r="C41" s="57" t="s">
        <v>442</v>
      </c>
      <c r="D41" s="56" t="s">
        <v>3876</v>
      </c>
      <c r="E41" s="158" t="str">
        <f>HYPERLINK("https://youtu.be/9BekbkPEVR8?t=7625","channel 1")</f>
        <v>channel 1</v>
      </c>
    </row>
    <row r="42">
      <c r="A42" s="141"/>
      <c r="B42" s="56" t="s">
        <v>4108</v>
      </c>
      <c r="C42" s="57" t="s">
        <v>354</v>
      </c>
      <c r="D42" s="56" t="s">
        <v>4109</v>
      </c>
      <c r="E42" s="11" t="str">
        <f>HYPERLINK("https://youtu.be/8fqcd_ipF_0?t=7311","channel 2")</f>
        <v>channel 2</v>
      </c>
    </row>
    <row r="43">
      <c r="A43" s="141"/>
      <c r="B43" s="56" t="s">
        <v>387</v>
      </c>
      <c r="C43" s="57" t="s">
        <v>184</v>
      </c>
      <c r="D43" s="56" t="s">
        <v>3876</v>
      </c>
      <c r="E43" s="158" t="str">
        <f>HYPERLINK("https://youtu.be/9BekbkPEVR8?t=8528","channel 1")</f>
        <v>channel 1</v>
      </c>
    </row>
    <row r="44">
      <c r="A44" s="141"/>
      <c r="B44" s="56" t="s">
        <v>3873</v>
      </c>
      <c r="C44" s="57" t="s">
        <v>209</v>
      </c>
      <c r="D44" s="56" t="s">
        <v>4109</v>
      </c>
      <c r="E44" s="11" t="str">
        <f>HYPERLINK("https://youtu.be/8fqcd_ipF_0?t=8347","channel 2")</f>
        <v>channel 2</v>
      </c>
    </row>
    <row r="45">
      <c r="A45" s="141"/>
      <c r="B45" s="96" t="s">
        <v>2417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4110</v>
      </c>
      <c r="C47" s="57" t="s">
        <v>573</v>
      </c>
      <c r="D47" s="56" t="s">
        <v>4111</v>
      </c>
      <c r="E47" s="158" t="str">
        <f>HYPERLINK("https://youtu.be/4uxKdZh7K2g","channel 1")</f>
        <v>channel 1</v>
      </c>
    </row>
    <row r="48">
      <c r="A48" s="141"/>
      <c r="B48" s="56" t="s">
        <v>772</v>
      </c>
      <c r="C48" s="57" t="s">
        <v>219</v>
      </c>
      <c r="D48" s="56" t="s">
        <v>951</v>
      </c>
      <c r="E48" s="11" t="str">
        <f>HYPERLINK("https://youtu.be/1DXcpr1CQCk","channel 2")</f>
        <v>channel 2</v>
      </c>
    </row>
    <row r="49">
      <c r="A49" s="141"/>
      <c r="B49" s="56" t="s">
        <v>4112</v>
      </c>
      <c r="C49" s="57" t="s">
        <v>589</v>
      </c>
      <c r="D49" s="56" t="s">
        <v>4110</v>
      </c>
      <c r="E49" s="158" t="str">
        <f>HYPERLINK("https://youtu.be/4uxKdZh7K2g?t=856","channel 1")</f>
        <v>channel 1</v>
      </c>
    </row>
    <row r="50">
      <c r="A50" s="141"/>
      <c r="B50" s="56" t="s">
        <v>772</v>
      </c>
      <c r="C50" s="57" t="s">
        <v>536</v>
      </c>
      <c r="D50" s="56" t="s">
        <v>4111</v>
      </c>
      <c r="E50" s="11" t="str">
        <f>HYPERLINK("https://youtu.be/sPrSnC7YbC8?t=987","channel 2")</f>
        <v>channel 2</v>
      </c>
    </row>
    <row r="51">
      <c r="A51" s="141"/>
      <c r="B51" s="56" t="s">
        <v>4112</v>
      </c>
      <c r="C51" s="57" t="s">
        <v>497</v>
      </c>
      <c r="D51" s="56" t="s">
        <v>951</v>
      </c>
      <c r="E51" s="158" t="str">
        <f>HYPERLINK("https://youtu.be/4uxKdZh7K2g?t=1846","channel 1")</f>
        <v>channel 1</v>
      </c>
    </row>
    <row r="52">
      <c r="A52" s="141"/>
      <c r="B52" s="56" t="s">
        <v>772</v>
      </c>
      <c r="C52" s="57" t="s">
        <v>545</v>
      </c>
      <c r="D52" s="56" t="s">
        <v>4110</v>
      </c>
      <c r="E52" s="11" t="str">
        <f>HYPERLINK("https://youtu.be/sPrSnC7YbC8?t=2038","channel 2")</f>
        <v>channel 2</v>
      </c>
    </row>
    <row r="53">
      <c r="A53" s="141"/>
      <c r="B53" s="56" t="s">
        <v>4112</v>
      </c>
      <c r="C53" s="57" t="s">
        <v>289</v>
      </c>
      <c r="D53" s="56" t="s">
        <v>4111</v>
      </c>
      <c r="E53" s="158" t="str">
        <f>HYPERLINK("https://youtu.be/4uxKdZh7K2g?t=2874","channel 1")</f>
        <v>channel 1</v>
      </c>
    </row>
    <row r="54">
      <c r="A54" s="141"/>
      <c r="B54" s="56" t="s">
        <v>951</v>
      </c>
      <c r="C54" s="57" t="s">
        <v>547</v>
      </c>
      <c r="D54" s="56" t="s">
        <v>4110</v>
      </c>
      <c r="E54" s="11" t="str">
        <f>HYPERLINK("https://youtu.be/sPrSnC7YbC8?t=3059","channel 2")</f>
        <v>channel 2</v>
      </c>
    </row>
    <row r="55">
      <c r="A55" s="141"/>
      <c r="B55" s="56" t="s">
        <v>4112</v>
      </c>
      <c r="C55" s="57" t="s">
        <v>203</v>
      </c>
      <c r="D55" s="56" t="s">
        <v>772</v>
      </c>
      <c r="E55" s="158" t="str">
        <f>HYPERLINK("https://youtu.be/4uxKdZh7K2g?t=3838","channel 1")</f>
        <v>channel 1</v>
      </c>
    </row>
    <row r="56">
      <c r="A56" s="141"/>
      <c r="B56" s="56" t="s">
        <v>951</v>
      </c>
      <c r="C56" s="57" t="s">
        <v>162</v>
      </c>
      <c r="D56" s="56" t="s">
        <v>4111</v>
      </c>
      <c r="E56" s="11" t="str">
        <f>HYPERLINK("https://youtu.be/sPrSnC7YbC8?t=4003","channel 2")</f>
        <v>channel 2</v>
      </c>
    </row>
    <row r="57">
      <c r="A57" s="141"/>
      <c r="B57" s="56" t="s">
        <v>4111</v>
      </c>
      <c r="C57" s="57" t="s">
        <v>425</v>
      </c>
      <c r="D57" s="56" t="s">
        <v>4110</v>
      </c>
      <c r="E57" s="158" t="str">
        <f>HYPERLINK("https://youtu.be/4uxKdZh7K2g?t=4715","channel 1")</f>
        <v>channel 1</v>
      </c>
    </row>
    <row r="58">
      <c r="A58" s="141"/>
      <c r="B58" s="56" t="s">
        <v>951</v>
      </c>
      <c r="C58" s="57" t="s">
        <v>162</v>
      </c>
      <c r="D58" s="56" t="s">
        <v>772</v>
      </c>
      <c r="E58" s="11" t="str">
        <f>HYPERLINK("https://youtu.be/sPrSnC7YbC8?t=4868","channel 2")</f>
        <v>channel 2</v>
      </c>
    </row>
    <row r="59">
      <c r="A59" s="141"/>
      <c r="B59" s="56" t="s">
        <v>4110</v>
      </c>
      <c r="C59" s="57" t="s">
        <v>324</v>
      </c>
      <c r="D59" s="56" t="s">
        <v>4112</v>
      </c>
      <c r="E59" s="158" t="str">
        <f>HYPERLINK("https://youtu.be/4uxKdZh7K2g?t=5647","channel 1")</f>
        <v>channel 1</v>
      </c>
    </row>
    <row r="60">
      <c r="A60" s="141"/>
      <c r="B60" s="56" t="s">
        <v>4111</v>
      </c>
      <c r="C60" s="57" t="s">
        <v>291</v>
      </c>
      <c r="D60" s="56" t="s">
        <v>772</v>
      </c>
      <c r="E60" s="11" t="str">
        <f>HYPERLINK("https://youtu.be/sPrSnC7YbC8?t=5849","channel 2")</f>
        <v>channel 2</v>
      </c>
    </row>
    <row r="61">
      <c r="A61" s="141"/>
      <c r="B61" s="56" t="s">
        <v>951</v>
      </c>
      <c r="C61" s="57" t="s">
        <v>157</v>
      </c>
      <c r="D61" s="56" t="s">
        <v>4112</v>
      </c>
      <c r="E61" s="158" t="str">
        <f>HYPERLINK("https://youtu.be/4uxKdZh7K2g?t=6606","channel 1")</f>
        <v>channel 1</v>
      </c>
    </row>
    <row r="62">
      <c r="A62" s="141"/>
      <c r="B62" s="56" t="s">
        <v>4110</v>
      </c>
      <c r="C62" s="45" t="s">
        <v>23</v>
      </c>
      <c r="D62" s="56" t="s">
        <v>772</v>
      </c>
      <c r="E62" s="11" t="str">
        <f>HYPERLINK("https://youtu.be/sPrSnC7YbC8?t=6791","channel 2")</f>
        <v>channel 2</v>
      </c>
    </row>
    <row r="63">
      <c r="A63" s="141"/>
      <c r="B63" s="56" t="s">
        <v>4111</v>
      </c>
      <c r="C63" s="57" t="s">
        <v>185</v>
      </c>
      <c r="D63" s="56" t="s">
        <v>4112</v>
      </c>
      <c r="E63" s="158" t="str">
        <f>HYPERLINK("https://youtu.be/4uxKdZh7K2g?t=7511","channel 1")</f>
        <v>channel 1</v>
      </c>
    </row>
    <row r="64">
      <c r="A64" s="141"/>
      <c r="B64" s="56" t="s">
        <v>4110</v>
      </c>
      <c r="C64" s="57" t="s">
        <v>219</v>
      </c>
      <c r="D64" s="56" t="s">
        <v>951</v>
      </c>
      <c r="E64" s="11" t="str">
        <f>HYPERLINK("https://youtu.be/sPrSnC7YbC8?t=7732","channel 2")</f>
        <v>channel 2</v>
      </c>
    </row>
    <row r="65">
      <c r="A65" s="141"/>
      <c r="B65" s="56" t="s">
        <v>772</v>
      </c>
      <c r="C65" s="57" t="s">
        <v>173</v>
      </c>
      <c r="D65" s="56" t="s">
        <v>4112</v>
      </c>
      <c r="E65" s="158" t="str">
        <f>HYPERLINK("https://youtu.be/4uxKdZh7K2g?t=8396","channel 1")</f>
        <v>channel 1</v>
      </c>
    </row>
    <row r="66">
      <c r="A66" s="141"/>
      <c r="B66" s="56" t="s">
        <v>4111</v>
      </c>
      <c r="C66" s="57" t="s">
        <v>466</v>
      </c>
      <c r="D66" s="56" t="s">
        <v>951</v>
      </c>
      <c r="E66" s="11" t="str">
        <f>HYPERLINK("https://youtu.be/sPrSnC7YbC8?t=8617","channel 2")</f>
        <v>channel 2</v>
      </c>
    </row>
    <row r="67">
      <c r="A67" s="141"/>
      <c r="B67" s="160" t="s">
        <v>3011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4113</v>
      </c>
      <c r="C69" s="57" t="s">
        <v>573</v>
      </c>
      <c r="D69" s="56" t="s">
        <v>3848</v>
      </c>
      <c r="E69" s="158" t="str">
        <f>HYPERLINK("https://youtu.be/DH_yUJgDvJQ","channel 1")</f>
        <v>channel 1</v>
      </c>
    </row>
    <row r="70">
      <c r="A70" s="141"/>
      <c r="B70" s="56" t="s">
        <v>4114</v>
      </c>
      <c r="C70" s="57" t="s">
        <v>23</v>
      </c>
      <c r="D70" s="56" t="s">
        <v>3422</v>
      </c>
      <c r="E70" s="11" t="str">
        <f>HYPERLINK("https://youtu.be/6uAe1V861TQ","channel 2")</f>
        <v>channel 2</v>
      </c>
    </row>
    <row r="71">
      <c r="A71" s="141"/>
      <c r="B71" s="56" t="s">
        <v>3850</v>
      </c>
      <c r="C71" s="57" t="s">
        <v>24</v>
      </c>
      <c r="D71" s="56" t="s">
        <v>4113</v>
      </c>
      <c r="E71" s="158" t="str">
        <f>HYPERLINK("https://youtu.be/DH_yUJgDvJQ?t=915","channel 1")</f>
        <v>channel 1</v>
      </c>
    </row>
    <row r="72">
      <c r="A72" s="141"/>
      <c r="B72" s="56" t="s">
        <v>4114</v>
      </c>
      <c r="C72" s="57" t="s">
        <v>210</v>
      </c>
      <c r="D72" s="56" t="s">
        <v>3848</v>
      </c>
      <c r="E72" s="11" t="str">
        <f>HYPERLINK("https://youtu.be/6uAe1V861TQ?t=924","channel 2")</f>
        <v>channel 2</v>
      </c>
    </row>
    <row r="73">
      <c r="A73" s="141"/>
      <c r="B73" s="56" t="s">
        <v>3850</v>
      </c>
      <c r="C73" s="57" t="s">
        <v>582</v>
      </c>
      <c r="D73" s="56" t="s">
        <v>3422</v>
      </c>
      <c r="E73" s="158" t="str">
        <f>HYPERLINK("https://youtu.be/DH_yUJgDvJQ?t=1800","channel 1")</f>
        <v>channel 1</v>
      </c>
    </row>
    <row r="74">
      <c r="A74" s="141"/>
      <c r="B74" s="56" t="s">
        <v>4114</v>
      </c>
      <c r="C74" s="57" t="s">
        <v>181</v>
      </c>
      <c r="D74" s="56" t="s">
        <v>4113</v>
      </c>
      <c r="E74" s="11" t="str">
        <f>HYPERLINK("https://youtu.be/6uAe1V861TQ?t=1890","channel 2")</f>
        <v>channel 2</v>
      </c>
    </row>
    <row r="75">
      <c r="A75" s="141"/>
      <c r="B75" s="56" t="s">
        <v>3850</v>
      </c>
      <c r="C75" s="57" t="s">
        <v>620</v>
      </c>
      <c r="D75" s="56" t="s">
        <v>3848</v>
      </c>
      <c r="E75" s="158" t="str">
        <f>HYPERLINK("https://youtu.be/DH_yUJgDvJQ?t=2682","channel 1")</f>
        <v>channel 1</v>
      </c>
    </row>
    <row r="76">
      <c r="A76" s="141"/>
      <c r="B76" s="56" t="s">
        <v>3422</v>
      </c>
      <c r="C76" s="57" t="s">
        <v>44</v>
      </c>
      <c r="D76" s="56" t="s">
        <v>4113</v>
      </c>
      <c r="E76" s="11" t="str">
        <f>HYPERLINK("https://youtu.be/6uAe1V861TQ?t=2808","channel 2")</f>
        <v>channel 2</v>
      </c>
    </row>
    <row r="77">
      <c r="A77" s="141"/>
      <c r="B77" s="56" t="s">
        <v>3850</v>
      </c>
      <c r="C77" s="57" t="s">
        <v>210</v>
      </c>
      <c r="D77" s="56" t="s">
        <v>4114</v>
      </c>
      <c r="E77" s="158" t="str">
        <f>HYPERLINK("https://youtu.be/DH_yUJgDvJQ?t=3601","channel 1")</f>
        <v>channel 1</v>
      </c>
    </row>
    <row r="78">
      <c r="A78" s="141"/>
      <c r="B78" s="56" t="s">
        <v>3422</v>
      </c>
      <c r="C78" s="57" t="s">
        <v>194</v>
      </c>
      <c r="D78" s="56" t="s">
        <v>3848</v>
      </c>
      <c r="E78" s="11" t="str">
        <f>HYPERLINK("https://youtu.be/6uAe1V861TQ?t=3708","channel 2")</f>
        <v>channel 2</v>
      </c>
    </row>
    <row r="79">
      <c r="A79" s="141"/>
      <c r="B79" s="56" t="s">
        <v>3848</v>
      </c>
      <c r="C79" s="57" t="s">
        <v>1619</v>
      </c>
      <c r="D79" s="56" t="s">
        <v>4113</v>
      </c>
      <c r="E79" s="158" t="str">
        <f>HYPERLINK("https://youtu.be/DH_yUJgDvJQ?t=4515","channel 1")</f>
        <v>channel 1</v>
      </c>
    </row>
    <row r="80">
      <c r="A80" s="141"/>
      <c r="B80" s="56" t="s">
        <v>3422</v>
      </c>
      <c r="C80" s="57" t="s">
        <v>43</v>
      </c>
      <c r="D80" s="56" t="s">
        <v>4114</v>
      </c>
      <c r="E80" s="11" t="str">
        <f>HYPERLINK("https://youtu.be/6uAe1V861TQ?t=4584","channel 2")</f>
        <v>channel 2</v>
      </c>
    </row>
    <row r="81">
      <c r="A81" s="141"/>
      <c r="B81" s="56" t="s">
        <v>4113</v>
      </c>
      <c r="C81" s="57" t="s">
        <v>335</v>
      </c>
      <c r="D81" s="56" t="s">
        <v>3850</v>
      </c>
      <c r="E81" s="158" t="str">
        <f>HYPERLINK("https://youtu.be/DH_yUJgDvJQ?t=5407","channel 1")</f>
        <v>channel 1</v>
      </c>
    </row>
    <row r="82">
      <c r="A82" s="141"/>
      <c r="B82" s="56" t="s">
        <v>3848</v>
      </c>
      <c r="C82" s="57" t="s">
        <v>366</v>
      </c>
      <c r="D82" s="56" t="s">
        <v>4114</v>
      </c>
      <c r="E82" s="11" t="str">
        <f>HYPERLINK("https://youtu.be/6uAe1V861TQ?t=5468","channel 2")</f>
        <v>channel 2</v>
      </c>
    </row>
    <row r="83">
      <c r="A83" s="141"/>
      <c r="B83" s="56" t="s">
        <v>3422</v>
      </c>
      <c r="C83" s="57" t="s">
        <v>177</v>
      </c>
      <c r="D83" s="56" t="s">
        <v>3850</v>
      </c>
      <c r="E83" s="158" t="str">
        <f>HYPERLINK("https://youtu.be/DH_yUJgDvJQ?t=6304","channel 1")</f>
        <v>channel 1</v>
      </c>
    </row>
    <row r="84">
      <c r="A84" s="141"/>
      <c r="B84" s="56" t="s">
        <v>4113</v>
      </c>
      <c r="C84" s="57" t="s">
        <v>173</v>
      </c>
      <c r="D84" s="56" t="s">
        <v>4114</v>
      </c>
      <c r="E84" s="11" t="str">
        <f>HYPERLINK("https://youtu.be/6uAe1V861TQ?t=6393","channel 2")</f>
        <v>channel 2</v>
      </c>
    </row>
    <row r="85">
      <c r="A85" s="141"/>
      <c r="B85" s="56" t="s">
        <v>3848</v>
      </c>
      <c r="C85" s="57" t="s">
        <v>439</v>
      </c>
      <c r="D85" s="56" t="s">
        <v>3850</v>
      </c>
      <c r="E85" s="158" t="str">
        <f>HYPERLINK("https://youtu.be/DH_yUJgDvJQ?t=7212","channel 1")</f>
        <v>channel 1</v>
      </c>
    </row>
    <row r="86">
      <c r="A86" s="141"/>
      <c r="B86" s="56" t="s">
        <v>4113</v>
      </c>
      <c r="C86" s="57" t="s">
        <v>158</v>
      </c>
      <c r="D86" s="56" t="s">
        <v>3422</v>
      </c>
      <c r="E86" s="11" t="str">
        <f>HYPERLINK("https://youtu.be/6uAe1V861TQ?t=7299","channel 2")</f>
        <v>channel 2</v>
      </c>
    </row>
    <row r="87">
      <c r="A87" s="141"/>
      <c r="B87" s="56" t="s">
        <v>4114</v>
      </c>
      <c r="C87" s="57" t="s">
        <v>38</v>
      </c>
      <c r="D87" s="56" t="s">
        <v>3850</v>
      </c>
      <c r="E87" s="158" t="str">
        <f>HYPERLINK("https://youtu.be/DH_yUJgDvJQ?t=8067","channel 1")</f>
        <v>channel 1</v>
      </c>
    </row>
    <row r="88">
      <c r="A88" s="145"/>
      <c r="B88" s="56" t="s">
        <v>3848</v>
      </c>
      <c r="C88" s="57" t="s">
        <v>395</v>
      </c>
      <c r="D88" s="56" t="s">
        <v>3422</v>
      </c>
      <c r="E88" s="11" t="str">
        <f>HYPERLINK("https://youtu.be/6uAe1V861TQ?t=8159","channel 2")</f>
        <v>channel 2</v>
      </c>
    </row>
    <row r="89">
      <c r="B89" s="96" t="s">
        <v>2995</v>
      </c>
      <c r="C89" s="2"/>
      <c r="D89" s="3"/>
      <c r="E89" s="161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56" t="s">
        <v>2754</v>
      </c>
      <c r="C91" s="57" t="s">
        <v>23</v>
      </c>
      <c r="D91" s="56" t="s">
        <v>3516</v>
      </c>
      <c r="E91" s="158" t="str">
        <f>HYPERLINK("https://youtu.be/95KxGL-YXsw","channel 1")</f>
        <v>channel 1</v>
      </c>
    </row>
    <row r="92">
      <c r="B92" s="56" t="s">
        <v>3182</v>
      </c>
      <c r="C92" s="57" t="s">
        <v>264</v>
      </c>
      <c r="D92" s="56" t="s">
        <v>4074</v>
      </c>
      <c r="E92" s="11" t="str">
        <f>HYPERLINK("https://youtu.be/eKMckF7I7ok","channel 2")</f>
        <v>channel 2</v>
      </c>
    </row>
    <row r="93">
      <c r="B93" s="56" t="s">
        <v>3516</v>
      </c>
      <c r="C93" s="57" t="s">
        <v>281</v>
      </c>
      <c r="D93" s="56" t="s">
        <v>2754</v>
      </c>
      <c r="E93" s="158" t="str">
        <f>HYPERLINK("https://youtu.be/95KxGL-YXsw?t=1946","channel 1")</f>
        <v>channel 1</v>
      </c>
    </row>
    <row r="94">
      <c r="B94" s="56" t="s">
        <v>4074</v>
      </c>
      <c r="C94" s="57" t="s">
        <v>582</v>
      </c>
      <c r="D94" s="56" t="s">
        <v>3182</v>
      </c>
      <c r="E94" s="11" t="str">
        <f>HYPERLINK("https://youtu.be/eKMckF7I7ok?t=2119","channel 2")</f>
        <v>channel 2</v>
      </c>
    </row>
    <row r="95">
      <c r="B95" s="56" t="s">
        <v>4074</v>
      </c>
      <c r="C95" s="57" t="s">
        <v>225</v>
      </c>
      <c r="D95" s="56" t="s">
        <v>2833</v>
      </c>
      <c r="E95" s="158" t="str">
        <f>HYPERLINK("https://youtu.be/95KxGL-YXsw?t=3106","channel 1")</f>
        <v>channel 1</v>
      </c>
    </row>
    <row r="96">
      <c r="B96" s="56" t="s">
        <v>3182</v>
      </c>
      <c r="C96" s="57" t="s">
        <v>209</v>
      </c>
      <c r="D96" s="56" t="s">
        <v>3516</v>
      </c>
      <c r="E96" s="11" t="str">
        <f>HYPERLINK("https://youtu.be/eKMckF7I7ok?t=3110","channel 2")</f>
        <v>channel 2</v>
      </c>
    </row>
    <row r="97">
      <c r="B97" s="56" t="s">
        <v>2754</v>
      </c>
      <c r="C97" s="57" t="s">
        <v>244</v>
      </c>
      <c r="D97" s="56" t="s">
        <v>2833</v>
      </c>
      <c r="E97" s="158" t="str">
        <f>HYPERLINK("https://youtu.be/95KxGL-YXsw?t=3973","channel 1")</f>
        <v>channel 1</v>
      </c>
    </row>
    <row r="98">
      <c r="B98" s="56" t="s">
        <v>3516</v>
      </c>
      <c r="C98" s="57" t="s">
        <v>825</v>
      </c>
      <c r="D98" s="56" t="s">
        <v>4074</v>
      </c>
      <c r="E98" s="11" t="str">
        <f>HYPERLINK("https://youtu.be/eKMckF7I7ok?t=3933","channel 2")</f>
        <v>channel 2</v>
      </c>
    </row>
    <row r="99">
      <c r="B99" s="56" t="s">
        <v>2754</v>
      </c>
      <c r="C99" s="57" t="s">
        <v>219</v>
      </c>
      <c r="D99" s="56" t="s">
        <v>3182</v>
      </c>
      <c r="E99" s="158" t="str">
        <f>HYPERLINK("https://youtu.be/95KxGL-YXsw?t=4978","channel 1")</f>
        <v>channel 1</v>
      </c>
    </row>
    <row r="100">
      <c r="B100" s="56" t="s">
        <v>3516</v>
      </c>
      <c r="C100" s="57" t="s">
        <v>979</v>
      </c>
      <c r="D100" s="56" t="s">
        <v>2833</v>
      </c>
      <c r="E100" s="11" t="str">
        <f>HYPERLINK("https://youtu.be/eKMckF7I7ok?t=5261","channel 2")</f>
        <v>channel 2</v>
      </c>
    </row>
    <row r="101">
      <c r="B101" s="56" t="s">
        <v>2833</v>
      </c>
      <c r="C101" s="57" t="s">
        <v>185</v>
      </c>
      <c r="D101" s="56" t="s">
        <v>4074</v>
      </c>
      <c r="E101" s="158" t="str">
        <f>HYPERLINK("https://youtu.be/95KxGL-YXsw?t=6126","channel 1")</f>
        <v>channel 1</v>
      </c>
    </row>
    <row r="102">
      <c r="B102" s="56" t="s">
        <v>3516</v>
      </c>
      <c r="C102" s="57" t="s">
        <v>7</v>
      </c>
      <c r="D102" s="56" t="s">
        <v>3182</v>
      </c>
      <c r="E102" s="11" t="str">
        <f>HYPERLINK("https://youtu.be/eKMckF7I7ok?t=6098","channel 2")</f>
        <v>channel 2</v>
      </c>
    </row>
    <row r="103">
      <c r="B103" s="56" t="s">
        <v>4074</v>
      </c>
      <c r="C103" s="57" t="s">
        <v>203</v>
      </c>
      <c r="D103" s="56" t="s">
        <v>2754</v>
      </c>
      <c r="E103" s="158" t="str">
        <f>HYPERLINK("https://youtu.be/95KxGL-YXsw?t=7102","channel 1")</f>
        <v>channel 1</v>
      </c>
    </row>
    <row r="104">
      <c r="B104" s="56" t="s">
        <v>2833</v>
      </c>
      <c r="C104" s="57" t="s">
        <v>162</v>
      </c>
      <c r="D104" s="56" t="s">
        <v>3182</v>
      </c>
      <c r="E104" s="11" t="str">
        <f>HYPERLINK("https://youtu.be/eKMckF7I7ok?t=7011","channel 2")</f>
        <v>channel 2</v>
      </c>
    </row>
    <row r="105">
      <c r="B105" s="56" t="s">
        <v>2754</v>
      </c>
      <c r="C105" s="57" t="s">
        <v>225</v>
      </c>
      <c r="D105" s="56" t="s">
        <v>4074</v>
      </c>
      <c r="E105" s="158" t="str">
        <f>HYPERLINK("https://youtu.be/95KxGL-YXsw?t=7981","channel 1")</f>
        <v>channel 1</v>
      </c>
    </row>
    <row r="106">
      <c r="B106" s="56" t="s">
        <v>3182</v>
      </c>
      <c r="C106" s="57" t="s">
        <v>218</v>
      </c>
      <c r="D106" s="56" t="s">
        <v>2833</v>
      </c>
      <c r="E106" s="11" t="str">
        <f>HYPERLINK("https://youtu.be/eKMckF7I7ok?t=7843","channel 2")</f>
        <v>channel 2</v>
      </c>
    </row>
    <row r="107">
      <c r="B107" s="56" t="s">
        <v>2833</v>
      </c>
      <c r="C107" s="57" t="s">
        <v>2475</v>
      </c>
      <c r="D107" s="56" t="s">
        <v>2754</v>
      </c>
      <c r="E107" s="158" t="str">
        <f>HYPERLINK("https://youtu.be/95KxGL-YXsw?t=8931","channel 1")</f>
        <v>channel 1</v>
      </c>
    </row>
    <row r="108">
      <c r="B108" s="56" t="s">
        <v>4074</v>
      </c>
      <c r="C108" s="57" t="s">
        <v>290</v>
      </c>
      <c r="D108" s="56" t="s">
        <v>3516</v>
      </c>
      <c r="E108" s="11" t="str">
        <f>HYPERLINK("https://youtu.be/eKMckF7I7ok?t=8829","channel 2")</f>
        <v>channel 2</v>
      </c>
    </row>
    <row r="109">
      <c r="B109" s="56" t="s">
        <v>3182</v>
      </c>
      <c r="C109" s="57" t="s">
        <v>7</v>
      </c>
      <c r="D109" s="56" t="s">
        <v>2754</v>
      </c>
      <c r="E109" s="158" t="str">
        <f>HYPERLINK("https://youtu.be/95KxGL-YXsw?t=9883","channel 1")</f>
        <v>channel 1</v>
      </c>
    </row>
    <row r="110">
      <c r="B110" s="56" t="s">
        <v>2833</v>
      </c>
      <c r="C110" s="57" t="s">
        <v>421</v>
      </c>
      <c r="D110" s="56" t="s">
        <v>3516</v>
      </c>
      <c r="E110" s="11" t="str">
        <f>HYPERLINK("https://youtu.be/eKMckF7I7ok?t=9850","channel 2")</f>
        <v>channel 2</v>
      </c>
    </row>
    <row r="111">
      <c r="B111" s="96" t="s">
        <v>3026</v>
      </c>
      <c r="C111" s="2"/>
      <c r="D111" s="3"/>
      <c r="E111" s="161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56" t="s">
        <v>4091</v>
      </c>
      <c r="C113" s="57" t="s">
        <v>290</v>
      </c>
      <c r="D113" s="56" t="s">
        <v>3025</v>
      </c>
      <c r="E113" s="158" t="str">
        <f>HYPERLINK("https://youtu.be/YaIN5apbJR4","channel 1")</f>
        <v>channel 1</v>
      </c>
    </row>
    <row r="114">
      <c r="B114" s="56" t="s">
        <v>580</v>
      </c>
      <c r="C114" s="57" t="s">
        <v>7</v>
      </c>
      <c r="D114" s="56" t="s">
        <v>1118</v>
      </c>
      <c r="E114" s="11" t="str">
        <f>HYPERLINK("https://youtu.be/lqeu2uwfA2Y","channel 2")</f>
        <v>channel 2</v>
      </c>
    </row>
    <row r="115">
      <c r="B115" s="56" t="s">
        <v>1645</v>
      </c>
      <c r="C115" s="57" t="s">
        <v>549</v>
      </c>
      <c r="D115" s="56" t="s">
        <v>4091</v>
      </c>
      <c r="E115" s="158" t="str">
        <f>HYPERLINK("https://youtu.be/YaIN5apbJR4?t=923","channel 1")</f>
        <v>channel 1</v>
      </c>
    </row>
    <row r="116">
      <c r="B116" s="56" t="s">
        <v>580</v>
      </c>
      <c r="C116" s="57" t="s">
        <v>17</v>
      </c>
      <c r="D116" s="56" t="s">
        <v>3025</v>
      </c>
      <c r="E116" s="11" t="str">
        <f>HYPERLINK("https://youtu.be/lqeu2uwfA2Y?t=938","channel 2")</f>
        <v>channel 2</v>
      </c>
    </row>
    <row r="117">
      <c r="B117" s="56" t="s">
        <v>1645</v>
      </c>
      <c r="C117" s="57" t="s">
        <v>380</v>
      </c>
      <c r="D117" s="56" t="s">
        <v>1118</v>
      </c>
      <c r="E117" s="158" t="str">
        <f>HYPERLINK("https://youtu.be/YaIN5apbJR4?t=1832","channel 1")</f>
        <v>channel 1</v>
      </c>
    </row>
    <row r="118">
      <c r="B118" s="56" t="s">
        <v>580</v>
      </c>
      <c r="C118" s="57" t="s">
        <v>610</v>
      </c>
      <c r="D118" s="56" t="s">
        <v>4091</v>
      </c>
      <c r="E118" s="11" t="str">
        <f>HYPERLINK("https://youtu.be/lqeu2uwfA2Y?t=1876","channel 2")</f>
        <v>channel 2</v>
      </c>
    </row>
    <row r="119">
      <c r="B119" s="56" t="s">
        <v>1645</v>
      </c>
      <c r="C119" s="57" t="s">
        <v>225</v>
      </c>
      <c r="D119" s="56" t="s">
        <v>3025</v>
      </c>
      <c r="E119" s="158" t="str">
        <f>HYPERLINK("https://youtu.be/YaIN5apbJR4?t=2700","channel 1")</f>
        <v>channel 1</v>
      </c>
    </row>
    <row r="120">
      <c r="B120" s="56" t="s">
        <v>1118</v>
      </c>
      <c r="C120" s="57" t="s">
        <v>194</v>
      </c>
      <c r="D120" s="56" t="s">
        <v>4091</v>
      </c>
      <c r="E120" s="11" t="str">
        <f>HYPERLINK("https://youtu.be/lqeu2uwfA2Y?t=2758","channel 2")</f>
        <v>channel 2</v>
      </c>
    </row>
    <row r="121">
      <c r="B121" s="56" t="s">
        <v>1645</v>
      </c>
      <c r="C121" s="57" t="s">
        <v>536</v>
      </c>
      <c r="D121" s="56" t="s">
        <v>580</v>
      </c>
      <c r="E121" s="158" t="str">
        <f>HYPERLINK("https://youtu.be/YaIN5apbJR4?t=3579","channel 1")</f>
        <v>channel 1</v>
      </c>
    </row>
    <row r="122">
      <c r="B122" s="56" t="s">
        <v>1118</v>
      </c>
      <c r="C122" s="57" t="s">
        <v>582</v>
      </c>
      <c r="D122" s="56" t="s">
        <v>3025</v>
      </c>
      <c r="E122" s="11" t="str">
        <f>HYPERLINK("https://youtu.be/lqeu2uwfA2Y?t=3661","channel 2")</f>
        <v>channel 2</v>
      </c>
    </row>
    <row r="123">
      <c r="B123" s="56" t="s">
        <v>3025</v>
      </c>
      <c r="C123" s="57" t="s">
        <v>194</v>
      </c>
      <c r="D123" s="56" t="s">
        <v>4091</v>
      </c>
      <c r="E123" s="158" t="str">
        <f>HYPERLINK("https://youtu.be/YaIN5apbJR4?t=4462","channel 1")</f>
        <v>channel 1</v>
      </c>
    </row>
    <row r="124">
      <c r="B124" s="56" t="s">
        <v>1118</v>
      </c>
      <c r="C124" s="57" t="s">
        <v>1335</v>
      </c>
      <c r="D124" s="56" t="s">
        <v>580</v>
      </c>
      <c r="E124" s="11" t="str">
        <f>HYPERLINK("https://youtu.be/lqeu2uwfA2Y?t=3661","channel 2")</f>
        <v>channel 2</v>
      </c>
    </row>
    <row r="125">
      <c r="B125" s="56" t="s">
        <v>4091</v>
      </c>
      <c r="C125" s="57" t="s">
        <v>195</v>
      </c>
      <c r="D125" s="56" t="s">
        <v>1645</v>
      </c>
      <c r="E125" s="158" t="str">
        <f>HYPERLINK("https://youtu.be/YaIN5apbJR4?t=5482","channel 1")</f>
        <v>channel 1</v>
      </c>
    </row>
    <row r="126">
      <c r="B126" s="56" t="s">
        <v>3025</v>
      </c>
      <c r="C126" s="57" t="s">
        <v>220</v>
      </c>
      <c r="D126" s="56" t="s">
        <v>580</v>
      </c>
      <c r="E126" s="11" t="str">
        <f>HYPERLINK("https://youtu.be/lqeu2uwfA2Y?t=5391","channel 2")</f>
        <v>channel 2</v>
      </c>
    </row>
    <row r="127">
      <c r="B127" s="56" t="s">
        <v>1118</v>
      </c>
      <c r="C127" s="57" t="s">
        <v>549</v>
      </c>
      <c r="D127" s="56" t="s">
        <v>1645</v>
      </c>
      <c r="E127" s="158" t="str">
        <f>HYPERLINK("https://youtu.be/YaIN5apbJR4?t=6502","channel 1")</f>
        <v>channel 1</v>
      </c>
    </row>
    <row r="128">
      <c r="B128" s="56" t="s">
        <v>4091</v>
      </c>
      <c r="C128" s="57" t="s">
        <v>464</v>
      </c>
      <c r="D128" s="56" t="s">
        <v>580</v>
      </c>
      <c r="E128" s="11" t="str">
        <f>HYPERLINK("https://youtu.be/lqeu2uwfA2Y?t=6498","channel 2")</f>
        <v>channel 2</v>
      </c>
    </row>
    <row r="129">
      <c r="B129" s="56" t="s">
        <v>3025</v>
      </c>
      <c r="C129" s="57" t="s">
        <v>594</v>
      </c>
      <c r="D129" s="56" t="s">
        <v>1645</v>
      </c>
      <c r="E129" s="158" t="str">
        <f>HYPERLINK("https://youtu.be/YaIN5apbJR4?t=7426","channel 1")</f>
        <v>channel 1</v>
      </c>
    </row>
    <row r="130">
      <c r="B130" s="56" t="s">
        <v>4091</v>
      </c>
      <c r="C130" s="57" t="s">
        <v>7</v>
      </c>
      <c r="D130" s="56" t="s">
        <v>1118</v>
      </c>
      <c r="E130" s="11" t="str">
        <f>HYPERLINK("https://youtu.be/lqeu2uwfA2Y?t=7419","channel 2")</f>
        <v>channel 2</v>
      </c>
    </row>
    <row r="131">
      <c r="B131" s="56" t="s">
        <v>580</v>
      </c>
      <c r="C131" s="57" t="s">
        <v>301</v>
      </c>
      <c r="D131" s="56" t="s">
        <v>1645</v>
      </c>
      <c r="E131" s="158" t="str">
        <f>HYPERLINK("https://youtu.be/YaIN5apbJR4?t=8363","channel 1")</f>
        <v>channel 1</v>
      </c>
    </row>
    <row r="132">
      <c r="B132" s="56" t="s">
        <v>3025</v>
      </c>
      <c r="C132" s="57" t="s">
        <v>23</v>
      </c>
      <c r="D132" s="56" t="s">
        <v>1118</v>
      </c>
      <c r="E132" s="11" t="str">
        <f>HYPERLINK("https://youtu.be/lqeu2uwfA2Y?t=8431","channel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1777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4115</v>
      </c>
      <c r="C3" s="57" t="s">
        <v>4116</v>
      </c>
      <c r="D3" s="56" t="s">
        <v>3435</v>
      </c>
      <c r="E3" s="158" t="str">
        <f>HYPERLINK("https://youtu.be/oZoAMQI_dFA","channel 1")</f>
        <v>channel 1</v>
      </c>
    </row>
    <row r="4">
      <c r="A4" s="141"/>
      <c r="B4" s="56" t="s">
        <v>3970</v>
      </c>
      <c r="C4" s="84" t="s">
        <v>225</v>
      </c>
      <c r="D4" s="56" t="s">
        <v>2200</v>
      </c>
      <c r="E4" s="11" t="str">
        <f>HYPERLINK("https://youtu.be/rXGjJrBiOXg","channel 2")</f>
        <v>channel 2</v>
      </c>
    </row>
    <row r="5">
      <c r="A5" s="141"/>
      <c r="B5" s="56" t="s">
        <v>4117</v>
      </c>
      <c r="C5" s="57" t="s">
        <v>394</v>
      </c>
      <c r="D5" s="56" t="s">
        <v>4115</v>
      </c>
      <c r="E5" s="158" t="str">
        <f>HYPERLINK("https://youtu.be/oZoAMQI_dFA?t=1021","channel 1")</f>
        <v>channel 1</v>
      </c>
    </row>
    <row r="6">
      <c r="A6" s="141"/>
      <c r="B6" s="56" t="s">
        <v>3970</v>
      </c>
      <c r="C6" s="57" t="s">
        <v>27</v>
      </c>
      <c r="D6" s="56" t="s">
        <v>3435</v>
      </c>
      <c r="E6" s="11" t="str">
        <f>HYPERLINK("https://youtu.be/rXGjJrBiOXg?t=911","channel 2")</f>
        <v>channel 2</v>
      </c>
    </row>
    <row r="7">
      <c r="A7" s="141"/>
      <c r="B7" s="56" t="s">
        <v>4117</v>
      </c>
      <c r="C7" s="57" t="s">
        <v>158</v>
      </c>
      <c r="D7" s="56" t="s">
        <v>2200</v>
      </c>
      <c r="E7" s="158" t="str">
        <f>HYPERLINK("https://youtu.be/oZoAMQI_dFA?t=2047","channel 1")</f>
        <v>channel 1</v>
      </c>
    </row>
    <row r="8">
      <c r="A8" s="141"/>
      <c r="B8" s="56" t="s">
        <v>3970</v>
      </c>
      <c r="C8" s="57" t="s">
        <v>193</v>
      </c>
      <c r="D8" s="56" t="s">
        <v>4115</v>
      </c>
      <c r="E8" s="11" t="str">
        <f>HYPERLINK("https://youtu.be/rXGjJrBiOXg?t=2019","channel 2")</f>
        <v>channel 2</v>
      </c>
    </row>
    <row r="9">
      <c r="A9" s="141"/>
      <c r="B9" s="56" t="s">
        <v>4117</v>
      </c>
      <c r="C9" s="57" t="s">
        <v>743</v>
      </c>
      <c r="D9" s="56" t="s">
        <v>3435</v>
      </c>
      <c r="E9" s="158" t="str">
        <f>HYPERLINK("https://youtu.be/oZoAMQI_dFA?t=2981","channel 1")</f>
        <v>channel 1</v>
      </c>
    </row>
    <row r="10">
      <c r="A10" s="141"/>
      <c r="B10" s="56" t="s">
        <v>2200</v>
      </c>
      <c r="C10" s="57" t="s">
        <v>177</v>
      </c>
      <c r="D10" s="56" t="s">
        <v>4115</v>
      </c>
      <c r="E10" s="11" t="str">
        <f>HYPERLINK("https://youtu.be/rXGjJrBiOXg?t=2996","channel 2")</f>
        <v>channel 2</v>
      </c>
    </row>
    <row r="11">
      <c r="A11" s="141"/>
      <c r="B11" s="56" t="s">
        <v>4117</v>
      </c>
      <c r="C11" s="57" t="s">
        <v>394</v>
      </c>
      <c r="D11" s="56" t="s">
        <v>3970</v>
      </c>
      <c r="E11" s="158" t="str">
        <f>HYPERLINK("https://youtu.be/oZoAMQI_dFA?t=3944","channel 1")</f>
        <v>channel 1</v>
      </c>
    </row>
    <row r="12">
      <c r="A12" s="141"/>
      <c r="B12" s="56" t="s">
        <v>2200</v>
      </c>
      <c r="C12" s="57" t="s">
        <v>697</v>
      </c>
      <c r="D12" s="56" t="s">
        <v>3435</v>
      </c>
      <c r="E12" s="11" t="str">
        <f>HYPERLINK("https://youtu.be/rXGjJrBiOXg?t=3933","channel 2")</f>
        <v>channel 2</v>
      </c>
    </row>
    <row r="13">
      <c r="A13" s="141"/>
      <c r="B13" s="56" t="s">
        <v>3435</v>
      </c>
      <c r="C13" s="57" t="s">
        <v>463</v>
      </c>
      <c r="D13" s="56" t="s">
        <v>4115</v>
      </c>
      <c r="E13" s="158" t="str">
        <f>HYPERLINK("https://youtu.be/oZoAMQI_dFA?t=4930","channel 1")</f>
        <v>channel 1</v>
      </c>
    </row>
    <row r="14">
      <c r="A14" s="141"/>
      <c r="B14" s="56" t="s">
        <v>2200</v>
      </c>
      <c r="C14" s="57" t="s">
        <v>638</v>
      </c>
      <c r="D14" s="56" t="s">
        <v>3970</v>
      </c>
      <c r="E14" s="11" t="str">
        <f>HYPERLINK("https://youtu.be/rXGjJrBiOXg?t=4875","channel 2")</f>
        <v>channel 2</v>
      </c>
    </row>
    <row r="15">
      <c r="A15" s="141"/>
      <c r="B15" s="56" t="s">
        <v>4115</v>
      </c>
      <c r="C15" s="57" t="s">
        <v>1186</v>
      </c>
      <c r="D15" s="56" t="s">
        <v>4117</v>
      </c>
      <c r="E15" s="158" t="str">
        <f>HYPERLINK("https://youtu.be/oZoAMQI_dFA?t=5922","channel 1")</f>
        <v>channel 1</v>
      </c>
    </row>
    <row r="16">
      <c r="A16" s="141"/>
      <c r="B16" s="56" t="s">
        <v>3435</v>
      </c>
      <c r="C16" s="57" t="s">
        <v>442</v>
      </c>
      <c r="D16" s="56" t="s">
        <v>3970</v>
      </c>
      <c r="E16" s="11" t="str">
        <f>HYPERLINK("https://youtu.be/rXGjJrBiOXg?t=5857","channel 2")</f>
        <v>channel 2</v>
      </c>
    </row>
    <row r="17">
      <c r="A17" s="141"/>
      <c r="B17" s="56" t="s">
        <v>2200</v>
      </c>
      <c r="C17" s="57" t="s">
        <v>464</v>
      </c>
      <c r="D17" s="56" t="s">
        <v>4117</v>
      </c>
      <c r="E17" s="158" t="str">
        <f>HYPERLINK("https://youtu.be/oZoAMQI_dFA?t=6913","channel 1")</f>
        <v>channel 1</v>
      </c>
    </row>
    <row r="18">
      <c r="A18" s="141"/>
      <c r="B18" s="56" t="s">
        <v>4115</v>
      </c>
      <c r="C18" s="57" t="s">
        <v>968</v>
      </c>
      <c r="D18" s="56" t="s">
        <v>3970</v>
      </c>
      <c r="E18" s="11" t="str">
        <f>HYPERLINK("https://youtu.be/rXGjJrBiOXg?t=6882","channel 2")</f>
        <v>channel 2</v>
      </c>
    </row>
    <row r="19">
      <c r="A19" s="141"/>
      <c r="B19" s="56" t="s">
        <v>3435</v>
      </c>
      <c r="C19" s="57" t="s">
        <v>301</v>
      </c>
      <c r="D19" s="56" t="s">
        <v>4117</v>
      </c>
      <c r="E19" s="158" t="str">
        <f>HYPERLINK("https://youtu.be/oZoAMQI_dFA?t=7956","channel 1")</f>
        <v>channel 1</v>
      </c>
    </row>
    <row r="20">
      <c r="A20" s="141"/>
      <c r="B20" s="56" t="s">
        <v>4115</v>
      </c>
      <c r="C20" s="57" t="s">
        <v>16</v>
      </c>
      <c r="D20" s="56" t="s">
        <v>2200</v>
      </c>
      <c r="E20" s="11" t="str">
        <f>HYPERLINK("https://youtu.be/rXGjJrBiOXg?t=7927","channel 2")</f>
        <v>channel 2</v>
      </c>
    </row>
    <row r="21">
      <c r="A21" s="141"/>
      <c r="B21" s="56" t="s">
        <v>3970</v>
      </c>
      <c r="C21" s="57" t="s">
        <v>354</v>
      </c>
      <c r="D21" s="56" t="s">
        <v>4117</v>
      </c>
      <c r="E21" s="158" t="str">
        <f>HYPERLINK("https://youtu.be/oZoAMQI_dFA?t=8920","channel 1")</f>
        <v>channel 1</v>
      </c>
    </row>
    <row r="22">
      <c r="A22" s="141"/>
      <c r="B22" s="56" t="s">
        <v>3435</v>
      </c>
      <c r="C22" s="57" t="s">
        <v>354</v>
      </c>
      <c r="D22" s="56" t="s">
        <v>2200</v>
      </c>
      <c r="E22" s="11" t="str">
        <f>HYPERLINK("https://youtu.be/rXGjJrBiOXg?t=8862","channel 2")</f>
        <v>channel 2</v>
      </c>
    </row>
    <row r="23">
      <c r="A23" s="141"/>
      <c r="B23" s="96" t="s">
        <v>2207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1916</v>
      </c>
      <c r="C25" s="57" t="s">
        <v>465</v>
      </c>
      <c r="D25" s="56" t="s">
        <v>4118</v>
      </c>
      <c r="E25" s="158" t="str">
        <f>HYPERLINK("https://youtu.be/Jn56EZZ0kbE","channel 1")</f>
        <v>channel 1</v>
      </c>
    </row>
    <row r="26">
      <c r="A26" s="141"/>
      <c r="B26" s="56" t="s">
        <v>4119</v>
      </c>
      <c r="C26" s="57" t="s">
        <v>450</v>
      </c>
      <c r="D26" s="56" t="s">
        <v>4120</v>
      </c>
      <c r="E26" s="11" t="str">
        <f>HYPERLINK("https://youtu.be/HASrE-OHPvM","channel 2")</f>
        <v>channel 2</v>
      </c>
    </row>
    <row r="27">
      <c r="A27" s="141"/>
      <c r="B27" s="56" t="s">
        <v>4121</v>
      </c>
      <c r="C27" s="57" t="s">
        <v>20</v>
      </c>
      <c r="D27" s="56" t="s">
        <v>1916</v>
      </c>
      <c r="E27" s="158" t="str">
        <f>HYPERLINK("https://youtu.be/Jn56EZZ0kbE?t=966","channel 1")</f>
        <v>channel 1</v>
      </c>
    </row>
    <row r="28">
      <c r="A28" s="141"/>
      <c r="B28" s="56" t="s">
        <v>4119</v>
      </c>
      <c r="C28" s="57" t="s">
        <v>38</v>
      </c>
      <c r="D28" s="56" t="s">
        <v>4118</v>
      </c>
      <c r="E28" s="11" t="str">
        <f>HYPERLINK("https://youtu.be/HASrE-OHPvM?t=1017","channel 2")</f>
        <v>channel 2</v>
      </c>
    </row>
    <row r="29">
      <c r="A29" s="141"/>
      <c r="B29" s="56" t="s">
        <v>4121</v>
      </c>
      <c r="C29" s="57" t="s">
        <v>20</v>
      </c>
      <c r="D29" s="56" t="s">
        <v>4120</v>
      </c>
      <c r="E29" s="158" t="str">
        <f>HYPERLINK("https://youtu.be/Jn56EZZ0kbE?t=1949","channel 1")</f>
        <v>channel 1</v>
      </c>
    </row>
    <row r="30">
      <c r="A30" s="141"/>
      <c r="B30" s="56" t="s">
        <v>4119</v>
      </c>
      <c r="C30" s="57" t="s">
        <v>173</v>
      </c>
      <c r="D30" s="56" t="s">
        <v>1916</v>
      </c>
      <c r="E30" s="11" t="str">
        <f>HYPERLINK("https://youtu.be/HASrE-OHPvM?t=2035","channel 2")</f>
        <v>channel 2</v>
      </c>
    </row>
    <row r="31">
      <c r="A31" s="141"/>
      <c r="B31" s="56" t="s">
        <v>4121</v>
      </c>
      <c r="C31" s="57" t="s">
        <v>4122</v>
      </c>
      <c r="D31" s="56" t="s">
        <v>4118</v>
      </c>
      <c r="E31" s="158" t="str">
        <f>HYPERLINK("https://youtu.be/Jn56EZZ0kbE?t=2874","channel 1")</f>
        <v>channel 1</v>
      </c>
    </row>
    <row r="32">
      <c r="A32" s="141"/>
      <c r="B32" s="56" t="s">
        <v>4120</v>
      </c>
      <c r="C32" s="57" t="s">
        <v>20</v>
      </c>
      <c r="D32" s="56" t="s">
        <v>1916</v>
      </c>
      <c r="E32" s="11" t="str">
        <f>HYPERLINK("https://youtu.be/HASrE-OHPvM?t=2933","channel 2")</f>
        <v>channel 2</v>
      </c>
    </row>
    <row r="33">
      <c r="A33" s="141"/>
      <c r="B33" s="56" t="s">
        <v>4121</v>
      </c>
      <c r="C33" s="57" t="s">
        <v>369</v>
      </c>
      <c r="D33" s="56" t="s">
        <v>4119</v>
      </c>
      <c r="E33" s="158" t="str">
        <f>HYPERLINK("https://youtu.be/Jn56EZZ0kbE?t=3820","channel 1")</f>
        <v>channel 1</v>
      </c>
    </row>
    <row r="34">
      <c r="A34" s="141"/>
      <c r="B34" s="56" t="s">
        <v>4120</v>
      </c>
      <c r="C34" s="57" t="s">
        <v>1553</v>
      </c>
      <c r="D34" s="56" t="s">
        <v>4118</v>
      </c>
      <c r="E34" s="11" t="str">
        <f>HYPERLINK("https://youtu.be/HASrE-OHPvM?t=3898","channel 2")</f>
        <v>channel 2</v>
      </c>
    </row>
    <row r="35">
      <c r="A35" s="141"/>
      <c r="B35" s="56" t="s">
        <v>4118</v>
      </c>
      <c r="C35" s="57" t="s">
        <v>292</v>
      </c>
      <c r="D35" s="56" t="s">
        <v>1916</v>
      </c>
      <c r="E35" s="158" t="str">
        <f>HYPERLINK("https://youtu.be/Jn56EZZ0kbE?t=4831","channel 1")</f>
        <v>channel 1</v>
      </c>
    </row>
    <row r="36">
      <c r="A36" s="141"/>
      <c r="B36" s="56" t="s">
        <v>4120</v>
      </c>
      <c r="C36" s="57" t="s">
        <v>465</v>
      </c>
      <c r="D36" s="56" t="s">
        <v>4119</v>
      </c>
      <c r="E36" s="11" t="str">
        <f>HYPERLINK("https://youtu.be/HASrE-OHPvM?t=4838","channel 2")</f>
        <v>channel 2</v>
      </c>
    </row>
    <row r="37">
      <c r="A37" s="141"/>
      <c r="B37" s="56" t="s">
        <v>1916</v>
      </c>
      <c r="C37" s="57" t="s">
        <v>292</v>
      </c>
      <c r="D37" s="56" t="s">
        <v>4121</v>
      </c>
      <c r="E37" s="158" t="str">
        <f>HYPERLINK("https://youtu.be/Jn56EZZ0kbE?t=5854","channel 1")</f>
        <v>channel 1</v>
      </c>
    </row>
    <row r="38">
      <c r="A38" s="141"/>
      <c r="B38" s="56" t="s">
        <v>4118</v>
      </c>
      <c r="C38" s="57" t="s">
        <v>177</v>
      </c>
      <c r="D38" s="56" t="s">
        <v>4119</v>
      </c>
      <c r="E38" s="11" t="str">
        <f>HYPERLINK("https://youtu.be/HASrE-OHPvM?t=5794","channel 2")</f>
        <v>channel 2</v>
      </c>
    </row>
    <row r="39">
      <c r="A39" s="141"/>
      <c r="B39" s="56" t="s">
        <v>4120</v>
      </c>
      <c r="C39" s="45" t="s">
        <v>155</v>
      </c>
      <c r="D39" s="56" t="s">
        <v>4121</v>
      </c>
      <c r="E39" s="158" t="str">
        <f>HYPERLINK("https://youtu.be/Jn56EZZ0kbE?t=6926","channel 1")</f>
        <v>channel 1</v>
      </c>
    </row>
    <row r="40">
      <c r="A40" s="141"/>
      <c r="B40" s="56" t="s">
        <v>1916</v>
      </c>
      <c r="C40" s="57" t="s">
        <v>38</v>
      </c>
      <c r="D40" s="56" t="s">
        <v>4119</v>
      </c>
      <c r="E40" s="11" t="str">
        <f>HYPERLINK("https://youtu.be/HASrE-OHPvM?t=6839","channel 2")</f>
        <v>channel 2</v>
      </c>
    </row>
    <row r="41">
      <c r="A41" s="141"/>
      <c r="B41" s="56" t="s">
        <v>4118</v>
      </c>
      <c r="C41" s="57" t="s">
        <v>209</v>
      </c>
      <c r="D41" s="56" t="s">
        <v>4121</v>
      </c>
      <c r="E41" s="158" t="str">
        <f>HYPERLINK("https://youtu.be/Jn56EZZ0kbE?t=7917","channel 1")</f>
        <v>channel 1</v>
      </c>
    </row>
    <row r="42">
      <c r="A42" s="141"/>
      <c r="B42" s="56" t="s">
        <v>1916</v>
      </c>
      <c r="C42" s="57" t="s">
        <v>16</v>
      </c>
      <c r="D42" s="56" t="s">
        <v>4120</v>
      </c>
      <c r="E42" s="11" t="str">
        <f>HYPERLINK("https://youtu.be/HASrE-OHPvM?t=7893","channel 2")</f>
        <v>channel 2</v>
      </c>
    </row>
    <row r="43">
      <c r="A43" s="141"/>
      <c r="B43" s="56" t="s">
        <v>4119</v>
      </c>
      <c r="C43" s="57" t="s">
        <v>180</v>
      </c>
      <c r="D43" s="56" t="s">
        <v>4121</v>
      </c>
      <c r="E43" s="158" t="str">
        <f>HYPERLINK("https://youtu.be/Jn56EZZ0kbE?t=8841","channel 1")</f>
        <v>channel 1</v>
      </c>
    </row>
    <row r="44">
      <c r="A44" s="141"/>
      <c r="B44" s="56" t="s">
        <v>4118</v>
      </c>
      <c r="C44" s="57" t="s">
        <v>155</v>
      </c>
      <c r="D44" s="56" t="s">
        <v>4120</v>
      </c>
      <c r="E44" s="11" t="str">
        <f>HYPERLINK("https://youtu.be/HASrE-OHPvM?t=8963","channel 2")</f>
        <v>channel 2</v>
      </c>
    </row>
    <row r="45">
      <c r="A45" s="141"/>
      <c r="B45" s="96" t="s">
        <v>3300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3363</v>
      </c>
      <c r="C47" s="57" t="s">
        <v>18</v>
      </c>
      <c r="D47" s="56" t="s">
        <v>4123</v>
      </c>
      <c r="E47" s="158" t="str">
        <f>HYPERLINK("https://youtu.be/VxJ4WNscOd8","channel 1")</f>
        <v>channel 1</v>
      </c>
    </row>
    <row r="48">
      <c r="A48" s="141"/>
      <c r="B48" s="56" t="s">
        <v>3970</v>
      </c>
      <c r="C48" s="57" t="s">
        <v>7</v>
      </c>
      <c r="D48" s="56" t="s">
        <v>214</v>
      </c>
      <c r="E48" s="11" t="str">
        <f>HYPERLINK("https://youtu.be/1DXcpr1CQCk","channel 2")</f>
        <v>channel 2</v>
      </c>
    </row>
    <row r="49">
      <c r="A49" s="141"/>
      <c r="B49" s="56" t="s">
        <v>2538</v>
      </c>
      <c r="C49" s="57" t="s">
        <v>198</v>
      </c>
      <c r="D49" s="56" t="s">
        <v>3363</v>
      </c>
      <c r="E49" s="158" t="str">
        <f>HYPERLINK("https://youtu.be/VxJ4WNscOd8?t=808","channel 1")</f>
        <v>channel 1</v>
      </c>
    </row>
    <row r="50">
      <c r="A50" s="141"/>
      <c r="B50" s="56" t="s">
        <v>3970</v>
      </c>
      <c r="C50" s="57" t="s">
        <v>383</v>
      </c>
      <c r="D50" s="56" t="s">
        <v>4123</v>
      </c>
      <c r="E50" s="11" t="str">
        <f>HYPERLINK("https://youtu.be/1DXcpr1CQCk?t=965","channel 2")</f>
        <v>channel 2</v>
      </c>
    </row>
    <row r="51">
      <c r="A51" s="141"/>
      <c r="B51" s="56" t="s">
        <v>2538</v>
      </c>
      <c r="C51" s="57" t="s">
        <v>14</v>
      </c>
      <c r="D51" s="56" t="s">
        <v>214</v>
      </c>
      <c r="E51" s="158" t="str">
        <f>HYPERLINK("https://youtu.be/VxJ4WNscOd8?t=1789","channel 1")</f>
        <v>channel 1</v>
      </c>
    </row>
    <row r="52">
      <c r="A52" s="141"/>
      <c r="B52" s="56" t="s">
        <v>3970</v>
      </c>
      <c r="C52" s="57" t="s">
        <v>352</v>
      </c>
      <c r="D52" s="56" t="s">
        <v>3363</v>
      </c>
      <c r="E52" s="11" t="str">
        <f>HYPERLINK("https://youtu.be/1DXcpr1CQCk?t=1895","channel 2")</f>
        <v>channel 2</v>
      </c>
    </row>
    <row r="53">
      <c r="A53" s="141"/>
      <c r="B53" s="56" t="s">
        <v>2538</v>
      </c>
      <c r="C53" s="57" t="s">
        <v>638</v>
      </c>
      <c r="D53" s="56" t="s">
        <v>4123</v>
      </c>
      <c r="E53" s="158" t="str">
        <f>HYPERLINK("https://youtu.be/VxJ4WNscOd8?t=2705","channel 1")</f>
        <v>channel 1</v>
      </c>
    </row>
    <row r="54">
      <c r="A54" s="141"/>
      <c r="B54" s="56" t="s">
        <v>214</v>
      </c>
      <c r="C54" s="57" t="s">
        <v>244</v>
      </c>
      <c r="D54" s="56" t="s">
        <v>3363</v>
      </c>
      <c r="E54" s="11" t="str">
        <f>HYPERLINK("https://youtu.be/1DXcpr1CQCk?t=2811","channel 2")</f>
        <v>channel 2</v>
      </c>
    </row>
    <row r="55">
      <c r="A55" s="141"/>
      <c r="B55" s="56" t="s">
        <v>2538</v>
      </c>
      <c r="C55" s="57" t="s">
        <v>464</v>
      </c>
      <c r="D55" s="56" t="s">
        <v>3970</v>
      </c>
      <c r="E55" s="158" t="str">
        <f>HYPERLINK("https://youtu.be/VxJ4WNscOd8?t=3555","channel 1")</f>
        <v>channel 1</v>
      </c>
    </row>
    <row r="56">
      <c r="A56" s="141"/>
      <c r="B56" s="56" t="s">
        <v>214</v>
      </c>
      <c r="C56" s="57" t="s">
        <v>507</v>
      </c>
      <c r="D56" s="56" t="s">
        <v>4123</v>
      </c>
      <c r="E56" s="11" t="str">
        <f>HYPERLINK("https://youtu.be/1DXcpr1CQCk?t=3761","channel 2")</f>
        <v>channel 2</v>
      </c>
    </row>
    <row r="57">
      <c r="A57" s="141"/>
      <c r="B57" s="56" t="s">
        <v>4123</v>
      </c>
      <c r="C57" s="57" t="s">
        <v>42</v>
      </c>
      <c r="D57" s="56" t="s">
        <v>3363</v>
      </c>
      <c r="E57" s="158" t="str">
        <f>HYPERLINK("https://youtu.be/VxJ4WNscOd8?t=4541","channel 1")</f>
        <v>channel 1</v>
      </c>
    </row>
    <row r="58">
      <c r="A58" s="141"/>
      <c r="B58" s="56" t="s">
        <v>214</v>
      </c>
      <c r="C58" s="57" t="s">
        <v>248</v>
      </c>
      <c r="D58" s="56" t="s">
        <v>3970</v>
      </c>
      <c r="E58" s="11" t="str">
        <f>HYPERLINK("https://youtu.be/1DXcpr1CQCk?t=4711","channel 2")</f>
        <v>channel 2</v>
      </c>
    </row>
    <row r="59">
      <c r="A59" s="141"/>
      <c r="B59" s="56" t="s">
        <v>3363</v>
      </c>
      <c r="C59" s="57" t="s">
        <v>225</v>
      </c>
      <c r="D59" s="56" t="s">
        <v>2538</v>
      </c>
      <c r="E59" s="158" t="str">
        <f>HYPERLINK("https://youtu.be/VxJ4WNscOd8?t=5360","channel 1")</f>
        <v>channel 1</v>
      </c>
    </row>
    <row r="60">
      <c r="A60" s="141"/>
      <c r="B60" s="56" t="s">
        <v>4123</v>
      </c>
      <c r="C60" s="57" t="s">
        <v>459</v>
      </c>
      <c r="D60" s="56" t="s">
        <v>3970</v>
      </c>
      <c r="E60" s="11" t="str">
        <f>HYPERLINK("https://youtu.be/1DXcpr1CQCk?t=5643","channel 2")</f>
        <v>channel 2</v>
      </c>
    </row>
    <row r="61">
      <c r="A61" s="141"/>
      <c r="B61" s="56" t="s">
        <v>214</v>
      </c>
      <c r="C61" s="57" t="s">
        <v>257</v>
      </c>
      <c r="D61" s="56" t="s">
        <v>2538</v>
      </c>
      <c r="E61" s="158" t="str">
        <f>HYPERLINK("https://youtu.be/VxJ4WNscOd8?t=6289","channel 1")</f>
        <v>channel 1</v>
      </c>
    </row>
    <row r="62">
      <c r="A62" s="141"/>
      <c r="B62" s="56" t="s">
        <v>3363</v>
      </c>
      <c r="C62" s="45" t="s">
        <v>315</v>
      </c>
      <c r="D62" s="56" t="s">
        <v>3970</v>
      </c>
      <c r="E62" s="11" t="str">
        <f>HYPERLINK("https://youtu.be/1DXcpr1CQCk?t=6627","channel 2")</f>
        <v>channel 2</v>
      </c>
    </row>
    <row r="63">
      <c r="A63" s="141"/>
      <c r="B63" s="56" t="s">
        <v>4123</v>
      </c>
      <c r="C63" s="57" t="s">
        <v>545</v>
      </c>
      <c r="D63" s="56" t="s">
        <v>2538</v>
      </c>
      <c r="E63" s="158" t="str">
        <f>HYPERLINK("https://youtu.be/VxJ4WNscOd8?t=7175","channel 1")</f>
        <v>channel 1</v>
      </c>
    </row>
    <row r="64">
      <c r="A64" s="141"/>
      <c r="B64" s="56" t="s">
        <v>3363</v>
      </c>
      <c r="C64" s="57" t="s">
        <v>39</v>
      </c>
      <c r="D64" s="56" t="s">
        <v>214</v>
      </c>
      <c r="E64" s="125" t="s">
        <v>13</v>
      </c>
    </row>
    <row r="65">
      <c r="A65" s="141"/>
      <c r="B65" s="56" t="s">
        <v>3970</v>
      </c>
      <c r="C65" s="57" t="s">
        <v>11</v>
      </c>
      <c r="D65" s="56" t="s">
        <v>2538</v>
      </c>
      <c r="E65" s="158" t="str">
        <f>HYPERLINK("https://youtu.be/VxJ4WNscOd8?t=8026","channel 1")</f>
        <v>channel 1</v>
      </c>
    </row>
    <row r="66">
      <c r="A66" s="141"/>
      <c r="B66" s="56" t="s">
        <v>4123</v>
      </c>
      <c r="C66" s="57" t="s">
        <v>185</v>
      </c>
      <c r="D66" s="56" t="s">
        <v>214</v>
      </c>
      <c r="E66" s="125" t="s">
        <v>13</v>
      </c>
    </row>
    <row r="67">
      <c r="A67" s="141"/>
      <c r="B67" s="96" t="s">
        <v>2659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3817</v>
      </c>
      <c r="C69" s="57" t="s">
        <v>162</v>
      </c>
      <c r="D69" s="56" t="s">
        <v>4124</v>
      </c>
      <c r="E69" s="158" t="str">
        <f>HYPERLINK("https://youtu.be/UwoXowq4Wu4","channel 1")</f>
        <v>channel 1</v>
      </c>
    </row>
    <row r="70">
      <c r="A70" s="141"/>
      <c r="B70" s="56" t="s">
        <v>3560</v>
      </c>
      <c r="C70" s="57" t="s">
        <v>1226</v>
      </c>
      <c r="D70" s="56" t="s">
        <v>727</v>
      </c>
      <c r="E70" s="11" t="str">
        <f>HYPERLINK("https://youtu.be/7JJRtVSYjaQ","channel 2")</f>
        <v>channel 2</v>
      </c>
    </row>
    <row r="71">
      <c r="A71" s="141"/>
      <c r="B71" s="56" t="s">
        <v>834</v>
      </c>
      <c r="C71" s="57" t="s">
        <v>314</v>
      </c>
      <c r="D71" s="56" t="s">
        <v>3817</v>
      </c>
      <c r="E71" s="158" t="str">
        <f>HYPERLINK("https://youtu.be/UwoXowq4Wu4?t=884","channel 1")</f>
        <v>channel 1</v>
      </c>
    </row>
    <row r="72">
      <c r="A72" s="141"/>
      <c r="B72" s="56" t="s">
        <v>3560</v>
      </c>
      <c r="C72" s="57" t="s">
        <v>173</v>
      </c>
      <c r="D72" s="56" t="s">
        <v>4124</v>
      </c>
      <c r="E72" s="11" t="str">
        <f>HYPERLINK("https://youtu.be/7JJRtVSYjaQ?t=944","channel 2")</f>
        <v>channel 2</v>
      </c>
    </row>
    <row r="73">
      <c r="A73" s="141"/>
      <c r="B73" s="56" t="s">
        <v>834</v>
      </c>
      <c r="C73" s="57" t="s">
        <v>14</v>
      </c>
      <c r="D73" s="56" t="s">
        <v>727</v>
      </c>
      <c r="E73" s="158" t="str">
        <f>HYPERLINK("https://youtu.be/UwoXowq4Wu4?t=1835","channel 1")</f>
        <v>channel 1</v>
      </c>
    </row>
    <row r="74">
      <c r="A74" s="141"/>
      <c r="B74" s="56" t="s">
        <v>3560</v>
      </c>
      <c r="C74" s="57" t="s">
        <v>545</v>
      </c>
      <c r="D74" s="56" t="s">
        <v>3817</v>
      </c>
      <c r="E74" s="11" t="str">
        <f>HYPERLINK("https://youtu.be/7JJRtVSYjaQ?t=1872","channel 2")</f>
        <v>channel 2</v>
      </c>
    </row>
    <row r="75">
      <c r="A75" s="141"/>
      <c r="B75" s="56" t="s">
        <v>834</v>
      </c>
      <c r="C75" s="57" t="s">
        <v>24</v>
      </c>
      <c r="D75" s="56" t="s">
        <v>4124</v>
      </c>
      <c r="E75" s="158" t="str">
        <f>HYPERLINK("https://youtu.be/UwoXowq4Wu4?t=2831","channel 1")</f>
        <v>channel 1</v>
      </c>
    </row>
    <row r="76">
      <c r="A76" s="141"/>
      <c r="B76" s="56" t="s">
        <v>727</v>
      </c>
      <c r="C76" s="57" t="s">
        <v>344</v>
      </c>
      <c r="D76" s="56" t="s">
        <v>3817</v>
      </c>
      <c r="E76" s="11" t="str">
        <f>HYPERLINK("https://youtu.be/7JJRtVSYjaQ?t=2780","channel 2")</f>
        <v>channel 2</v>
      </c>
    </row>
    <row r="77">
      <c r="A77" s="141"/>
      <c r="B77" s="56" t="s">
        <v>834</v>
      </c>
      <c r="C77" s="57" t="s">
        <v>43</v>
      </c>
      <c r="D77" s="56" t="s">
        <v>3560</v>
      </c>
      <c r="E77" s="158" t="str">
        <f>HYPERLINK("https://youtu.be/UwoXowq4Wu4?t=3701","channel 1")</f>
        <v>channel 1</v>
      </c>
    </row>
    <row r="78">
      <c r="A78" s="141"/>
      <c r="B78" s="56" t="s">
        <v>727</v>
      </c>
      <c r="C78" s="57" t="s">
        <v>301</v>
      </c>
      <c r="D78" s="56" t="s">
        <v>4124</v>
      </c>
      <c r="E78" s="11" t="str">
        <f>HYPERLINK("https://youtu.be/7JJRtVSYjaQ?t=3730","channel 2")</f>
        <v>channel 2</v>
      </c>
    </row>
    <row r="79">
      <c r="A79" s="141"/>
      <c r="B79" s="56" t="s">
        <v>4124</v>
      </c>
      <c r="C79" s="57" t="s">
        <v>16</v>
      </c>
      <c r="D79" s="56" t="s">
        <v>3817</v>
      </c>
      <c r="E79" s="158" t="str">
        <f>HYPERLINK("https://youtu.be/UwoXowq4Wu4?t=4704","channel 1")</f>
        <v>channel 1</v>
      </c>
    </row>
    <row r="80">
      <c r="A80" s="141"/>
      <c r="B80" s="56" t="s">
        <v>727</v>
      </c>
      <c r="C80" s="57" t="s">
        <v>589</v>
      </c>
      <c r="D80" s="56" t="s">
        <v>3560</v>
      </c>
      <c r="E80" s="11" t="str">
        <f>HYPERLINK("https://youtu.be/7JJRtVSYjaQ?t=4689","channel 2")</f>
        <v>channel 2</v>
      </c>
    </row>
    <row r="81">
      <c r="A81" s="141"/>
      <c r="B81" s="56" t="s">
        <v>3817</v>
      </c>
      <c r="C81" s="57" t="s">
        <v>250</v>
      </c>
      <c r="D81" s="56" t="s">
        <v>834</v>
      </c>
      <c r="E81" s="158" t="str">
        <f>HYPERLINK("https://youtu.be/UwoXowq4Wu4?t=5557","channel 1")</f>
        <v>channel 1</v>
      </c>
    </row>
    <row r="82">
      <c r="A82" s="141"/>
      <c r="B82" s="56" t="s">
        <v>4124</v>
      </c>
      <c r="C82" s="57" t="s">
        <v>229</v>
      </c>
      <c r="D82" s="56" t="s">
        <v>3560</v>
      </c>
      <c r="E82" s="11" t="str">
        <f>HYPERLINK("https://youtu.be/7JJRtVSYjaQ?t=5706","channel 2")</f>
        <v>channel 2</v>
      </c>
    </row>
    <row r="83">
      <c r="A83" s="141"/>
      <c r="B83" s="56" t="s">
        <v>727</v>
      </c>
      <c r="C83" s="57" t="s">
        <v>380</v>
      </c>
      <c r="D83" s="56" t="s">
        <v>834</v>
      </c>
      <c r="E83" s="158" t="str">
        <f>HYPERLINK("https://youtu.be/UwoXowq4Wu4?t=6597","channel 1")</f>
        <v>channel 1</v>
      </c>
    </row>
    <row r="84">
      <c r="A84" s="141"/>
      <c r="B84" s="56" t="s">
        <v>3817</v>
      </c>
      <c r="C84" s="57" t="s">
        <v>3640</v>
      </c>
      <c r="D84" s="56" t="s">
        <v>3560</v>
      </c>
      <c r="E84" s="11" t="str">
        <f>HYPERLINK("https://youtu.be/7JJRtVSYjaQ?t=6579","channel 2")</f>
        <v>channel 2</v>
      </c>
    </row>
    <row r="85">
      <c r="A85" s="141"/>
      <c r="B85" s="56" t="s">
        <v>4124</v>
      </c>
      <c r="C85" s="57" t="s">
        <v>319</v>
      </c>
      <c r="D85" s="56" t="s">
        <v>834</v>
      </c>
      <c r="E85" s="158" t="str">
        <f>HYPERLINK("https://youtu.be/UwoXowq4Wu4?t=7439","channel 1")</f>
        <v>channel 1</v>
      </c>
    </row>
    <row r="86">
      <c r="A86" s="141"/>
      <c r="B86" s="56" t="s">
        <v>3817</v>
      </c>
      <c r="C86" s="57" t="s">
        <v>203</v>
      </c>
      <c r="D86" s="56" t="s">
        <v>727</v>
      </c>
      <c r="E86" s="11" t="str">
        <f>HYPERLINK("https://youtu.be/7JJRtVSYjaQ?t=7440","channel 2")</f>
        <v>channel 2</v>
      </c>
    </row>
    <row r="87">
      <c r="A87" s="141"/>
      <c r="B87" s="56" t="s">
        <v>3560</v>
      </c>
      <c r="C87" s="57" t="s">
        <v>193</v>
      </c>
      <c r="D87" s="56" t="s">
        <v>834</v>
      </c>
      <c r="E87" s="158" t="str">
        <f>HYPERLINK("https://youtu.be/UwoXowq4Wu4?t=8310","channel 1")</f>
        <v>channel 1</v>
      </c>
    </row>
    <row r="88">
      <c r="A88" s="145"/>
      <c r="B88" s="56" t="s">
        <v>4124</v>
      </c>
      <c r="C88" s="57" t="s">
        <v>334</v>
      </c>
      <c r="D88" s="56" t="s">
        <v>727</v>
      </c>
      <c r="E88" s="11" t="str">
        <f>HYPERLINK("https://youtu.be/7JJRtVSYjaQ?t=8276","channel 2")</f>
        <v>channel 2</v>
      </c>
    </row>
    <row r="89">
      <c r="B89" s="96" t="s">
        <v>2756</v>
      </c>
      <c r="C89" s="2"/>
      <c r="D89" s="3"/>
      <c r="E89" s="161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56" t="s">
        <v>4125</v>
      </c>
      <c r="C91" s="57" t="s">
        <v>158</v>
      </c>
      <c r="D91" s="56" t="s">
        <v>1381</v>
      </c>
      <c r="E91" s="158" t="str">
        <f>HYPERLINK("https://youtu.be/G6FenFacVlc","channel 1")</f>
        <v>channel 1</v>
      </c>
    </row>
    <row r="92">
      <c r="B92" s="56" t="s">
        <v>4126</v>
      </c>
      <c r="C92" s="57" t="s">
        <v>23</v>
      </c>
      <c r="D92" s="56" t="s">
        <v>3826</v>
      </c>
      <c r="E92" s="11" t="str">
        <f>HYPERLINK("https://youtu.be/ZuZQh1wD7Zs","channel 2")</f>
        <v>channel 2</v>
      </c>
    </row>
    <row r="93">
      <c r="B93" s="56" t="s">
        <v>2501</v>
      </c>
      <c r="C93" s="57" t="s">
        <v>18</v>
      </c>
      <c r="D93" s="56" t="s">
        <v>4125</v>
      </c>
      <c r="E93" s="158" t="str">
        <f>HYPERLINK("https://youtu.be/G6FenFacVlc?t=931","channel 1")</f>
        <v>channel 1</v>
      </c>
    </row>
    <row r="94">
      <c r="B94" s="56" t="s">
        <v>4126</v>
      </c>
      <c r="C94" s="57" t="s">
        <v>271</v>
      </c>
      <c r="D94" s="56" t="s">
        <v>1381</v>
      </c>
      <c r="E94" s="11" t="str">
        <f>HYPERLINK("https://youtu.be/ZuZQh1wD7Zs?t=1007","channel 2")</f>
        <v>channel 2</v>
      </c>
    </row>
    <row r="95">
      <c r="B95" s="56" t="s">
        <v>2501</v>
      </c>
      <c r="C95" s="57" t="s">
        <v>155</v>
      </c>
      <c r="D95" s="56" t="s">
        <v>3826</v>
      </c>
      <c r="E95" s="158" t="str">
        <f>HYPERLINK("https://youtu.be/G6FenFacVlc?t=1873","channel 1")</f>
        <v>channel 1</v>
      </c>
    </row>
    <row r="96">
      <c r="B96" s="56" t="s">
        <v>4126</v>
      </c>
      <c r="C96" s="57" t="s">
        <v>264</v>
      </c>
      <c r="D96" s="56" t="s">
        <v>4125</v>
      </c>
      <c r="E96" s="11" t="str">
        <f>HYPERLINK("https://youtu.be/ZuZQh1wD7Zs?t=1890","channel 2")</f>
        <v>channel 2</v>
      </c>
    </row>
    <row r="97">
      <c r="B97" s="56" t="s">
        <v>2501</v>
      </c>
      <c r="C97" s="57" t="s">
        <v>18</v>
      </c>
      <c r="D97" s="56" t="s">
        <v>1381</v>
      </c>
      <c r="E97" s="158" t="str">
        <f>HYPERLINK("https://youtu.be/G6FenFacVlc?t=2707","channel 1")</f>
        <v>channel 1</v>
      </c>
    </row>
    <row r="98">
      <c r="B98" s="56" t="s">
        <v>3826</v>
      </c>
      <c r="C98" s="57" t="s">
        <v>20</v>
      </c>
      <c r="D98" s="56" t="s">
        <v>4125</v>
      </c>
      <c r="E98" s="11" t="str">
        <f>HYPERLINK("https://youtu.be/ZuZQh1wD7Zs?t=2814","channel 2")</f>
        <v>channel 2</v>
      </c>
    </row>
    <row r="99">
      <c r="B99" s="56" t="s">
        <v>2501</v>
      </c>
      <c r="C99" s="57" t="s">
        <v>230</v>
      </c>
      <c r="D99" s="56" t="s">
        <v>4126</v>
      </c>
      <c r="E99" s="158" t="str">
        <f>HYPERLINK("https://youtu.be/G6FenFacVlc?t=3610","channel 1")</f>
        <v>channel 1</v>
      </c>
    </row>
    <row r="100">
      <c r="B100" s="56" t="s">
        <v>3826</v>
      </c>
      <c r="C100" s="57" t="s">
        <v>162</v>
      </c>
      <c r="D100" s="56" t="s">
        <v>1381</v>
      </c>
      <c r="E100" s="11" t="str">
        <f>HYPERLINK("https://youtu.be/ZuZQh1wD7Zs?t=3693","channel 2")</f>
        <v>channel 2</v>
      </c>
    </row>
    <row r="101">
      <c r="B101" s="56" t="s">
        <v>1381</v>
      </c>
      <c r="C101" s="57" t="s">
        <v>158</v>
      </c>
      <c r="D101" s="56" t="s">
        <v>4125</v>
      </c>
      <c r="E101" s="158" t="str">
        <f>HYPERLINK("https://youtu.be/G6FenFacVlc?t=4537","channel 1")</f>
        <v>channel 1</v>
      </c>
    </row>
    <row r="102">
      <c r="B102" s="56" t="s">
        <v>3826</v>
      </c>
      <c r="C102" s="57" t="s">
        <v>230</v>
      </c>
      <c r="D102" s="56" t="s">
        <v>4126</v>
      </c>
      <c r="E102" s="11" t="str">
        <f>HYPERLINK("https://youtu.be/ZuZQh1wD7Zs?t=4593","channel 2")</f>
        <v>channel 2</v>
      </c>
    </row>
    <row r="103">
      <c r="B103" s="56" t="s">
        <v>4125</v>
      </c>
      <c r="C103" s="57" t="s">
        <v>31</v>
      </c>
      <c r="D103" s="56" t="s">
        <v>2501</v>
      </c>
      <c r="E103" s="158" t="str">
        <f>HYPERLINK("https://youtu.be/G6FenFacVlc?t=5412","channel 1")</f>
        <v>channel 1</v>
      </c>
    </row>
    <row r="104">
      <c r="B104" s="56" t="s">
        <v>1381</v>
      </c>
      <c r="C104" s="57" t="s">
        <v>464</v>
      </c>
      <c r="D104" s="56" t="s">
        <v>4126</v>
      </c>
      <c r="E104" s="11" t="str">
        <f>HYPERLINK("https://youtu.be/ZuZQh1wD7Zs?t=5513","channel 2")</f>
        <v>channel 2</v>
      </c>
    </row>
    <row r="105">
      <c r="B105" s="56" t="s">
        <v>3826</v>
      </c>
      <c r="C105" s="57" t="s">
        <v>17</v>
      </c>
      <c r="D105" s="56" t="s">
        <v>2501</v>
      </c>
      <c r="E105" s="158" t="str">
        <f>HYPERLINK("https://youtu.be/G6FenFacVlc?t=6414","channel 1")</f>
        <v>channel 1</v>
      </c>
    </row>
    <row r="106">
      <c r="B106" s="56" t="s">
        <v>4125</v>
      </c>
      <c r="C106" s="57" t="s">
        <v>264</v>
      </c>
      <c r="D106" s="56" t="s">
        <v>4126</v>
      </c>
      <c r="E106" s="11" t="str">
        <f>HYPERLINK("https://youtu.be/ZuZQh1wD7Zs?t=6433","channel 2")</f>
        <v>channel 2</v>
      </c>
    </row>
    <row r="107">
      <c r="B107" s="56" t="s">
        <v>1381</v>
      </c>
      <c r="C107" s="57" t="s">
        <v>302</v>
      </c>
      <c r="D107" s="56" t="s">
        <v>2501</v>
      </c>
      <c r="E107" s="158" t="str">
        <f>HYPERLINK("https://youtu.be/G6FenFacVlc?t=7318","channel 1")</f>
        <v>channel 1</v>
      </c>
    </row>
    <row r="108">
      <c r="B108" s="56" t="s">
        <v>4125</v>
      </c>
      <c r="C108" s="57" t="s">
        <v>23</v>
      </c>
      <c r="D108" s="56" t="s">
        <v>3826</v>
      </c>
      <c r="E108" s="11" t="str">
        <f>HYPERLINK("https://youtu.be/ZuZQh1wD7Zs?t=7332","channel 2")</f>
        <v>channel 2</v>
      </c>
    </row>
    <row r="109">
      <c r="B109" s="56" t="s">
        <v>4126</v>
      </c>
      <c r="C109" s="57" t="s">
        <v>302</v>
      </c>
      <c r="D109" s="56" t="s">
        <v>2501</v>
      </c>
      <c r="E109" s="158" t="str">
        <f>HYPERLINK("https://youtu.be/G6FenFacVlc?t=8222","channel 1")</f>
        <v>channel 1</v>
      </c>
    </row>
    <row r="110">
      <c r="B110" s="56" t="s">
        <v>1381</v>
      </c>
      <c r="C110" s="57" t="s">
        <v>573</v>
      </c>
      <c r="D110" s="56" t="s">
        <v>3826</v>
      </c>
      <c r="E110" s="11" t="str">
        <f>HYPERLINK("https://youtu.be/ZuZQh1wD7Zs?t=8236","channel 2")</f>
        <v>channel 2</v>
      </c>
    </row>
    <row r="111">
      <c r="B111" s="96" t="s">
        <v>3637</v>
      </c>
      <c r="C111" s="2"/>
      <c r="D111" s="3"/>
      <c r="E111" s="161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56" t="s">
        <v>2102</v>
      </c>
      <c r="C113" s="57" t="s">
        <v>16</v>
      </c>
      <c r="D113" s="56" t="s">
        <v>2989</v>
      </c>
      <c r="E113" s="158" t="str">
        <f>HYPERLINK("https://youtu.be/S4ap6mO18s8","channel 1")</f>
        <v>channel 1</v>
      </c>
    </row>
    <row r="114">
      <c r="B114" s="56" t="s">
        <v>4127</v>
      </c>
      <c r="C114" s="57" t="s">
        <v>218</v>
      </c>
      <c r="D114" s="56" t="s">
        <v>4128</v>
      </c>
      <c r="E114" s="11" t="str">
        <f>HYPERLINK("https://youtu.be/1-DXwMHXDiY","channel 2")</f>
        <v>channel 2</v>
      </c>
    </row>
    <row r="115">
      <c r="B115" s="56" t="s">
        <v>1106</v>
      </c>
      <c r="C115" s="57" t="s">
        <v>313</v>
      </c>
      <c r="D115" s="56" t="s">
        <v>2102</v>
      </c>
      <c r="E115" s="158" t="str">
        <f>HYPERLINK("https://youtu.be/S4ap6mO18s8?t=912","channel 1")</f>
        <v>channel 1</v>
      </c>
    </row>
    <row r="116">
      <c r="B116" s="56" t="s">
        <v>4127</v>
      </c>
      <c r="C116" s="57" t="s">
        <v>23</v>
      </c>
      <c r="D116" s="56" t="s">
        <v>2989</v>
      </c>
      <c r="E116" s="11" t="str">
        <f>HYPERLINK("https://youtu.be/1-DXwMHXDiY?t=970","channel 2")</f>
        <v>channel 2</v>
      </c>
    </row>
    <row r="117">
      <c r="B117" s="56" t="s">
        <v>1106</v>
      </c>
      <c r="C117" s="57" t="s">
        <v>256</v>
      </c>
      <c r="D117" s="56" t="s">
        <v>4128</v>
      </c>
      <c r="E117" s="158" t="str">
        <f>HYPERLINK("https://youtu.be/S4ap6mO18s8?t=1812","channel 1")</f>
        <v>channel 1</v>
      </c>
    </row>
    <row r="118">
      <c r="B118" s="56" t="s">
        <v>4127</v>
      </c>
      <c r="C118" s="57" t="s">
        <v>185</v>
      </c>
      <c r="D118" s="56" t="s">
        <v>2102</v>
      </c>
      <c r="E118" s="11" t="str">
        <f>HYPERLINK("https://youtu.be/1-DXwMHXDiY?t=1853","channel 2")</f>
        <v>channel 2</v>
      </c>
    </row>
    <row r="119">
      <c r="B119" s="56" t="s">
        <v>1106</v>
      </c>
      <c r="C119" s="57" t="s">
        <v>193</v>
      </c>
      <c r="D119" s="56" t="s">
        <v>2989</v>
      </c>
      <c r="E119" s="158" t="str">
        <f>HYPERLINK("https://youtu.be/S4ap6mO18s8?t=2818","channel 1")</f>
        <v>channel 1</v>
      </c>
    </row>
    <row r="120">
      <c r="B120" s="56" t="s">
        <v>4128</v>
      </c>
      <c r="C120" s="57" t="s">
        <v>18</v>
      </c>
      <c r="D120" s="56" t="s">
        <v>2102</v>
      </c>
      <c r="E120" s="11" t="str">
        <f>HYPERLINK("https://youtu.be/1-DXwMHXDiY?t=2868","channel 2")</f>
        <v>channel 2</v>
      </c>
    </row>
    <row r="121">
      <c r="B121" s="56" t="s">
        <v>1106</v>
      </c>
      <c r="C121" s="57" t="s">
        <v>464</v>
      </c>
      <c r="D121" s="56" t="s">
        <v>4127</v>
      </c>
      <c r="E121" s="158" t="str">
        <f>HYPERLINK("https://youtu.be/S4ap6mO18s8?t=3649","channel 1")</f>
        <v>channel 1</v>
      </c>
    </row>
    <row r="122">
      <c r="B122" s="56" t="s">
        <v>4128</v>
      </c>
      <c r="C122" s="57" t="s">
        <v>20</v>
      </c>
      <c r="D122" s="56" t="s">
        <v>2989</v>
      </c>
      <c r="E122" s="11" t="str">
        <f>HYPERLINK("https://youtu.be/1-DXwMHXDiY?t=3753","channel 2")</f>
        <v>channel 2</v>
      </c>
    </row>
    <row r="123">
      <c r="B123" s="56" t="s">
        <v>2989</v>
      </c>
      <c r="C123" s="57" t="s">
        <v>195</v>
      </c>
      <c r="D123" s="56" t="s">
        <v>2102</v>
      </c>
      <c r="E123" s="158" t="str">
        <f>HYPERLINK("https://youtu.be/S4ap6mO18s8?t=4613","channel 1")</f>
        <v>channel 1</v>
      </c>
    </row>
    <row r="124">
      <c r="B124" s="56" t="s">
        <v>4128</v>
      </c>
      <c r="C124" s="57" t="s">
        <v>20</v>
      </c>
      <c r="D124" s="56" t="s">
        <v>4127</v>
      </c>
      <c r="E124" s="11" t="str">
        <f>HYPERLINK("https://youtu.be/1-DXwMHXDiY?t=4659","channel 2")</f>
        <v>channel 2</v>
      </c>
    </row>
    <row r="125">
      <c r="B125" s="56" t="s">
        <v>2102</v>
      </c>
      <c r="C125" s="57" t="s">
        <v>248</v>
      </c>
      <c r="D125" s="56" t="s">
        <v>1106</v>
      </c>
      <c r="E125" s="158" t="str">
        <f>HYPERLINK("https://youtu.be/S4ap6mO18s8?t=5487","channel 1")</f>
        <v>channel 1</v>
      </c>
    </row>
    <row r="126">
      <c r="B126" s="56" t="s">
        <v>2989</v>
      </c>
      <c r="C126" s="57" t="s">
        <v>380</v>
      </c>
      <c r="D126" s="56" t="s">
        <v>4127</v>
      </c>
      <c r="E126" s="11" t="str">
        <f>HYPERLINK("https://youtu.be/1-DXwMHXDiY?t=5543","channel 2")</f>
        <v>channel 2</v>
      </c>
    </row>
    <row r="127">
      <c r="B127" s="56" t="s">
        <v>4128</v>
      </c>
      <c r="C127" s="57" t="s">
        <v>525</v>
      </c>
      <c r="D127" s="56" t="s">
        <v>1106</v>
      </c>
      <c r="E127" s="158" t="str">
        <f>HYPERLINK("https://youtu.be/S4ap6mO18s8?t=6365","channel 1")</f>
        <v>channel 1</v>
      </c>
    </row>
    <row r="128">
      <c r="B128" s="56" t="s">
        <v>2102</v>
      </c>
      <c r="C128" s="57" t="s">
        <v>233</v>
      </c>
      <c r="D128" s="56" t="s">
        <v>4127</v>
      </c>
      <c r="E128" s="11" t="str">
        <f>HYPERLINK("https://youtu.be/1-DXwMHXDiY?t=6453","channel 2")</f>
        <v>channel 2</v>
      </c>
    </row>
    <row r="129">
      <c r="B129" s="56" t="s">
        <v>2989</v>
      </c>
      <c r="C129" s="57" t="s">
        <v>218</v>
      </c>
      <c r="D129" s="56" t="s">
        <v>1106</v>
      </c>
      <c r="E129" s="158" t="str">
        <f>HYPERLINK("https://youtu.be/S4ap6mO18s8?t=7234","channel 1")</f>
        <v>channel 1</v>
      </c>
    </row>
    <row r="130">
      <c r="B130" s="56" t="s">
        <v>2102</v>
      </c>
      <c r="C130" s="57" t="s">
        <v>23</v>
      </c>
      <c r="D130" s="56" t="s">
        <v>4128</v>
      </c>
      <c r="E130" s="11" t="str">
        <f>HYPERLINK("https://youtu.be/1-DXwMHXDiY?t=7415","channel 2")</f>
        <v>channel 2</v>
      </c>
    </row>
    <row r="131">
      <c r="B131" s="56" t="s">
        <v>4127</v>
      </c>
      <c r="C131" s="57" t="s">
        <v>279</v>
      </c>
      <c r="D131" s="56" t="s">
        <v>1106</v>
      </c>
      <c r="E131" s="158" t="str">
        <f>HYPERLINK("https://youtu.be/S4ap6mO18s8?t=7987","channel 1")</f>
        <v>channel 1</v>
      </c>
    </row>
    <row r="132">
      <c r="B132" s="56" t="s">
        <v>2989</v>
      </c>
      <c r="C132" s="57" t="s">
        <v>298</v>
      </c>
      <c r="D132" s="56" t="s">
        <v>4128</v>
      </c>
      <c r="E132" s="11" t="str">
        <f>HYPERLINK("https://youtu.be/1-DXwMHXDiY?t=8424","channel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2260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3845</v>
      </c>
      <c r="C3" s="57" t="s">
        <v>497</v>
      </c>
      <c r="D3" s="56" t="s">
        <v>2018</v>
      </c>
      <c r="E3" s="158" t="str">
        <f>HYPERLINK("https://youtu.be/gG1lVt5izms","channel 1")</f>
        <v>channel 1</v>
      </c>
    </row>
    <row r="4">
      <c r="A4" s="141"/>
      <c r="B4" s="56" t="s">
        <v>739</v>
      </c>
      <c r="C4" s="84" t="s">
        <v>20</v>
      </c>
      <c r="D4" s="56" t="s">
        <v>4129</v>
      </c>
      <c r="E4" s="11" t="str">
        <f>HYPERLINK("https://youtu.be/cWcfvPl5HoA","channel 2")</f>
        <v>channel 2</v>
      </c>
    </row>
    <row r="5">
      <c r="A5" s="141"/>
      <c r="B5" s="56" t="s">
        <v>480</v>
      </c>
      <c r="C5" s="57" t="s">
        <v>507</v>
      </c>
      <c r="D5" s="56" t="s">
        <v>3845</v>
      </c>
      <c r="E5" s="158" t="str">
        <f>HYPERLINK("https://youtu.be/gG1lVt5izms?t=250","channel 1")</f>
        <v>channel 1</v>
      </c>
    </row>
    <row r="6">
      <c r="A6" s="141"/>
      <c r="B6" s="56" t="s">
        <v>739</v>
      </c>
      <c r="C6" s="57" t="s">
        <v>180</v>
      </c>
      <c r="D6" s="56" t="s">
        <v>2018</v>
      </c>
      <c r="E6" s="11" t="str">
        <f>HYPERLINK("https://youtu.be/cWcfvPl5HoA?t=917","channel 2")</f>
        <v>channel 2</v>
      </c>
    </row>
    <row r="7">
      <c r="A7" s="141"/>
      <c r="B7" s="56" t="s">
        <v>480</v>
      </c>
      <c r="C7" s="57" t="s">
        <v>301</v>
      </c>
      <c r="D7" s="56" t="s">
        <v>4129</v>
      </c>
      <c r="E7" s="158" t="str">
        <f>HYPERLINK("https://youtu.be/gG1lVt5izms?t=1284","channel 1")</f>
        <v>channel 1</v>
      </c>
    </row>
    <row r="8">
      <c r="A8" s="141"/>
      <c r="B8" s="56" t="s">
        <v>739</v>
      </c>
      <c r="C8" s="57" t="s">
        <v>289</v>
      </c>
      <c r="D8" s="56" t="s">
        <v>3845</v>
      </c>
      <c r="E8" s="11" t="str">
        <f>HYPERLINK("https://youtu.be/cWcfvPl5HoA?t=1892","channel 2")</f>
        <v>channel 2</v>
      </c>
    </row>
    <row r="9">
      <c r="A9" s="141"/>
      <c r="B9" s="56" t="s">
        <v>480</v>
      </c>
      <c r="C9" s="57" t="s">
        <v>209</v>
      </c>
      <c r="D9" s="56" t="s">
        <v>2018</v>
      </c>
      <c r="E9" s="158" t="str">
        <f>HYPERLINK("https://youtu.be/gG1lVt5izms?t=2189","channel 1")</f>
        <v>channel 1</v>
      </c>
    </row>
    <row r="10">
      <c r="A10" s="141"/>
      <c r="B10" s="56" t="s">
        <v>4129</v>
      </c>
      <c r="C10" s="57" t="s">
        <v>3498</v>
      </c>
      <c r="D10" s="56" t="s">
        <v>3845</v>
      </c>
      <c r="E10" s="11" t="str">
        <f>HYPERLINK("https://youtu.be/cWcfvPl5HoA?t=2891","channel 2")</f>
        <v>channel 2</v>
      </c>
    </row>
    <row r="11">
      <c r="A11" s="141"/>
      <c r="B11" s="56" t="s">
        <v>480</v>
      </c>
      <c r="C11" s="57" t="s">
        <v>256</v>
      </c>
      <c r="D11" s="56" t="s">
        <v>739</v>
      </c>
      <c r="E11" s="158" t="str">
        <f>HYPERLINK("https://youtu.be/gG1lVt5izms?t=3232","channel 1")</f>
        <v>channel 1</v>
      </c>
    </row>
    <row r="12">
      <c r="A12" s="141"/>
      <c r="B12" s="56" t="s">
        <v>4129</v>
      </c>
      <c r="C12" s="57" t="s">
        <v>209</v>
      </c>
      <c r="D12" s="56" t="s">
        <v>2018</v>
      </c>
      <c r="E12" s="11" t="str">
        <f>HYPERLINK("https://youtu.be/cWcfvPl5HoA?t=3836","channel 2")</f>
        <v>channel 2</v>
      </c>
    </row>
    <row r="13">
      <c r="A13" s="141"/>
      <c r="B13" s="56" t="s">
        <v>2018</v>
      </c>
      <c r="C13" s="57" t="s">
        <v>342</v>
      </c>
      <c r="D13" s="56" t="s">
        <v>3845</v>
      </c>
      <c r="E13" s="158" t="str">
        <f>HYPERLINK("https://youtu.be/gG1lVt5izms?t=4192","channel 1")</f>
        <v>channel 1</v>
      </c>
    </row>
    <row r="14">
      <c r="A14" s="141"/>
      <c r="B14" s="56" t="s">
        <v>4129</v>
      </c>
      <c r="C14" s="57" t="s">
        <v>216</v>
      </c>
      <c r="D14" s="56" t="s">
        <v>739</v>
      </c>
      <c r="E14" s="11" t="str">
        <f>HYPERLINK("https://youtu.be/cWcfvPl5HoA?t=4755","channel 2")</f>
        <v>channel 2</v>
      </c>
    </row>
    <row r="15">
      <c r="A15" s="141"/>
      <c r="B15" s="56" t="s">
        <v>3845</v>
      </c>
      <c r="C15" s="57" t="s">
        <v>41</v>
      </c>
      <c r="D15" s="56" t="s">
        <v>480</v>
      </c>
      <c r="E15" s="158" t="str">
        <f>HYPERLINK("https://youtu.be/gG1lVt5izms?t=5194","channel 1")</f>
        <v>channel 1</v>
      </c>
    </row>
    <row r="16">
      <c r="A16" s="141"/>
      <c r="B16" s="56" t="s">
        <v>2018</v>
      </c>
      <c r="C16" s="57" t="s">
        <v>177</v>
      </c>
      <c r="D16" s="56" t="s">
        <v>739</v>
      </c>
      <c r="E16" s="11" t="str">
        <f>HYPERLINK("https://youtu.be/cWcfvPl5HoA?t=5861","channel 2")</f>
        <v>channel 2</v>
      </c>
    </row>
    <row r="17">
      <c r="A17" s="141"/>
      <c r="B17" s="56" t="s">
        <v>4129</v>
      </c>
      <c r="C17" s="57" t="s">
        <v>39</v>
      </c>
      <c r="D17" s="56" t="s">
        <v>480</v>
      </c>
      <c r="E17" s="158" t="str">
        <f>HYPERLINK("https://youtu.be/gG1lVt5izms?t=6131","channel 1")</f>
        <v>channel 1</v>
      </c>
    </row>
    <row r="18">
      <c r="A18" s="141"/>
      <c r="B18" s="56" t="s">
        <v>3845</v>
      </c>
      <c r="C18" s="57" t="s">
        <v>18</v>
      </c>
      <c r="D18" s="56" t="s">
        <v>739</v>
      </c>
      <c r="E18" s="11" t="str">
        <f>HYPERLINK("https://youtu.be/cWcfvPl5HoA?t=6764","channel 2")</f>
        <v>channel 2</v>
      </c>
    </row>
    <row r="19">
      <c r="A19" s="141"/>
      <c r="B19" s="56" t="s">
        <v>2018</v>
      </c>
      <c r="C19" s="57" t="s">
        <v>14</v>
      </c>
      <c r="D19" s="56" t="s">
        <v>480</v>
      </c>
      <c r="E19" s="158" t="str">
        <f>HYPERLINK("https://youtu.be/gG1lVt5izms?t=7072","channel 1")</f>
        <v>channel 1</v>
      </c>
    </row>
    <row r="20">
      <c r="A20" s="141"/>
      <c r="B20" s="56" t="s">
        <v>3845</v>
      </c>
      <c r="C20" s="57" t="s">
        <v>362</v>
      </c>
      <c r="D20" s="56" t="s">
        <v>4129</v>
      </c>
      <c r="E20" s="11" t="str">
        <f>HYPERLINK("https://youtu.be/cWcfvPl5HoA?t=7672","channel 2")</f>
        <v>channel 2</v>
      </c>
    </row>
    <row r="21">
      <c r="A21" s="141"/>
      <c r="B21" s="56" t="s">
        <v>739</v>
      </c>
      <c r="C21" s="57" t="s">
        <v>162</v>
      </c>
      <c r="D21" s="56" t="s">
        <v>480</v>
      </c>
      <c r="E21" s="158" t="str">
        <f>HYPERLINK("https://youtu.be/gG1lVt5izms?t=7989","channel 1")</f>
        <v>channel 1</v>
      </c>
    </row>
    <row r="22">
      <c r="A22" s="141"/>
      <c r="B22" s="56" t="s">
        <v>2018</v>
      </c>
      <c r="C22" s="57" t="s">
        <v>1472</v>
      </c>
      <c r="D22" s="56" t="s">
        <v>4129</v>
      </c>
      <c r="E22" s="11" t="str">
        <f>HYPERLINK("https://youtu.be/cWcfvPl5HoA?t=8597","channel 2")</f>
        <v>channel 2</v>
      </c>
    </row>
    <row r="23">
      <c r="A23" s="141"/>
      <c r="B23" s="96" t="s">
        <v>3229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3681</v>
      </c>
      <c r="C25" s="57" t="s">
        <v>395</v>
      </c>
      <c r="D25" s="56" t="s">
        <v>4130</v>
      </c>
      <c r="E25" s="158" t="str">
        <f>HYPERLINK("https://youtu.be/xnoUBF8SSA8","channel 1")</f>
        <v>channel 1</v>
      </c>
    </row>
    <row r="26">
      <c r="A26" s="141"/>
      <c r="B26" s="56" t="s">
        <v>4131</v>
      </c>
      <c r="C26" s="57" t="s">
        <v>362</v>
      </c>
      <c r="D26" s="56" t="s">
        <v>4132</v>
      </c>
      <c r="E26" s="11" t="str">
        <f>HYPERLINK("https://youtu.be/R4BIoa8qnqk","channel 2")</f>
        <v>channel 2</v>
      </c>
    </row>
    <row r="27">
      <c r="A27" s="141"/>
      <c r="B27" s="56" t="s">
        <v>1431</v>
      </c>
      <c r="C27" s="57" t="s">
        <v>549</v>
      </c>
      <c r="D27" s="56" t="s">
        <v>3681</v>
      </c>
      <c r="E27" s="158" t="str">
        <f>HYPERLINK("https://youtu.be/xnoUBF8SSA8?t=933","channel 1")</f>
        <v>channel 1</v>
      </c>
    </row>
    <row r="28">
      <c r="A28" s="141"/>
      <c r="B28" s="56" t="s">
        <v>4131</v>
      </c>
      <c r="C28" s="57" t="s">
        <v>209</v>
      </c>
      <c r="D28" s="56" t="s">
        <v>4130</v>
      </c>
      <c r="E28" s="11" t="str">
        <f>HYPERLINK("https://youtu.be/R4BIoa8qnqk?t=922","channel 2")</f>
        <v>channel 2</v>
      </c>
    </row>
    <row r="29">
      <c r="A29" s="141"/>
      <c r="B29" s="56" t="s">
        <v>1431</v>
      </c>
      <c r="C29" s="57" t="s">
        <v>327</v>
      </c>
      <c r="D29" s="56" t="s">
        <v>4132</v>
      </c>
      <c r="E29" s="158" t="str">
        <f>HYPERLINK("https://youtu.be/xnoUBF8SSA8?t=1853","channel 1")</f>
        <v>channel 1</v>
      </c>
    </row>
    <row r="30">
      <c r="A30" s="141"/>
      <c r="B30" s="56" t="s">
        <v>4131</v>
      </c>
      <c r="C30" s="57" t="s">
        <v>7</v>
      </c>
      <c r="D30" s="56" t="s">
        <v>3681</v>
      </c>
      <c r="E30" s="11" t="str">
        <f>HYPERLINK("https://youtu.be/R4BIoa8qnqk?t=1822","channel 2")</f>
        <v>channel 2</v>
      </c>
    </row>
    <row r="31">
      <c r="A31" s="141"/>
      <c r="B31" s="56" t="s">
        <v>1431</v>
      </c>
      <c r="C31" s="57" t="s">
        <v>23</v>
      </c>
      <c r="D31" s="56" t="s">
        <v>4130</v>
      </c>
      <c r="E31" s="158" t="str">
        <f>HYPERLINK("https://youtu.be/xnoUBF8SSA8?t=2772","channel 1")</f>
        <v>channel 1</v>
      </c>
    </row>
    <row r="32">
      <c r="A32" s="141"/>
      <c r="B32" s="56" t="s">
        <v>4132</v>
      </c>
      <c r="C32" s="57" t="s">
        <v>24</v>
      </c>
      <c r="D32" s="56" t="s">
        <v>3681</v>
      </c>
      <c r="E32" s="11" t="str">
        <f>HYPERLINK("https://youtu.be/R4BIoa8qnqk?t=2790","channel 2")</f>
        <v>channel 2</v>
      </c>
    </row>
    <row r="33">
      <c r="A33" s="141"/>
      <c r="B33" s="56" t="s">
        <v>1431</v>
      </c>
      <c r="C33" s="57" t="s">
        <v>24</v>
      </c>
      <c r="D33" s="56" t="s">
        <v>4131</v>
      </c>
      <c r="E33" s="158" t="str">
        <f>HYPERLINK("https://youtu.be/xnoUBF8SSA8?t=3677","channel 1")</f>
        <v>channel 1</v>
      </c>
    </row>
    <row r="34">
      <c r="A34" s="141"/>
      <c r="B34" s="56" t="s">
        <v>4132</v>
      </c>
      <c r="C34" s="57" t="s">
        <v>218</v>
      </c>
      <c r="D34" s="56" t="s">
        <v>4130</v>
      </c>
      <c r="E34" s="11" t="str">
        <f>HYPERLINK("https://youtu.be/R4BIoa8qnqk?t=3779","channel 2")</f>
        <v>channel 2</v>
      </c>
    </row>
    <row r="35">
      <c r="A35" s="141"/>
      <c r="B35" s="56" t="s">
        <v>4130</v>
      </c>
      <c r="C35" s="57" t="s">
        <v>195</v>
      </c>
      <c r="D35" s="56" t="s">
        <v>3681</v>
      </c>
      <c r="E35" s="158" t="str">
        <f>HYPERLINK("https://youtu.be/xnoUBF8SSA8?t=4682","channel 1")</f>
        <v>channel 1</v>
      </c>
    </row>
    <row r="36">
      <c r="A36" s="141"/>
      <c r="B36" s="56" t="s">
        <v>4132</v>
      </c>
      <c r="C36" s="57" t="s">
        <v>1197</v>
      </c>
      <c r="D36" s="56" t="s">
        <v>4131</v>
      </c>
      <c r="E36" s="11" t="str">
        <f>HYPERLINK("https://youtu.be/R4BIoa8qnqk?t=4682","channel 2")</f>
        <v>channel 2</v>
      </c>
    </row>
    <row r="37">
      <c r="A37" s="141"/>
      <c r="B37" s="56" t="s">
        <v>3681</v>
      </c>
      <c r="C37" s="57" t="s">
        <v>477</v>
      </c>
      <c r="D37" s="56" t="s">
        <v>1431</v>
      </c>
      <c r="E37" s="158" t="str">
        <f>HYPERLINK("https://youtu.be/xnoUBF8SSA8?t=5605","channel 1")</f>
        <v>channel 1</v>
      </c>
    </row>
    <row r="38">
      <c r="A38" s="141"/>
      <c r="B38" s="56" t="s">
        <v>4130</v>
      </c>
      <c r="C38" s="57" t="s">
        <v>256</v>
      </c>
      <c r="D38" s="56" t="s">
        <v>4131</v>
      </c>
      <c r="E38" s="11" t="str">
        <f>HYPERLINK("https://youtu.be/R4BIoa8qnqk?t=5578","channel 2")</f>
        <v>channel 2</v>
      </c>
    </row>
    <row r="39">
      <c r="A39" s="141"/>
      <c r="B39" s="56" t="s">
        <v>4132</v>
      </c>
      <c r="C39" s="45" t="s">
        <v>185</v>
      </c>
      <c r="D39" s="56" t="s">
        <v>1431</v>
      </c>
      <c r="E39" s="158" t="str">
        <f>HYPERLINK("https://youtu.be/xnoUBF8SSA8?t=6534","channel 1")</f>
        <v>channel 1</v>
      </c>
    </row>
    <row r="40">
      <c r="A40" s="141"/>
      <c r="B40" s="56" t="s">
        <v>3681</v>
      </c>
      <c r="C40" s="57" t="s">
        <v>18</v>
      </c>
      <c r="D40" s="56" t="s">
        <v>4131</v>
      </c>
      <c r="E40" s="11" t="str">
        <f>HYPERLINK("https://youtu.be/R4BIoa8qnqk?t=6483","channel 2")</f>
        <v>channel 2</v>
      </c>
    </row>
    <row r="41">
      <c r="A41" s="141"/>
      <c r="B41" s="56" t="s">
        <v>4130</v>
      </c>
      <c r="C41" s="57" t="s">
        <v>195</v>
      </c>
      <c r="D41" s="56" t="s">
        <v>1431</v>
      </c>
      <c r="E41" s="158" t="str">
        <f>HYPERLINK("https://youtu.be/xnoUBF8SSA8?t=7434","channel 1")</f>
        <v>channel 1</v>
      </c>
    </row>
    <row r="42">
      <c r="A42" s="141"/>
      <c r="B42" s="56" t="s">
        <v>3681</v>
      </c>
      <c r="C42" s="57" t="s">
        <v>757</v>
      </c>
      <c r="D42" s="56" t="s">
        <v>4132</v>
      </c>
      <c r="E42" s="11" t="str">
        <f>HYPERLINK("https://youtu.be/R4BIoa8qnqk?t=7465","channel 2")</f>
        <v>channel 2</v>
      </c>
    </row>
    <row r="43">
      <c r="A43" s="141"/>
      <c r="B43" s="56" t="s">
        <v>4131</v>
      </c>
      <c r="C43" s="57" t="s">
        <v>849</v>
      </c>
      <c r="D43" s="56" t="s">
        <v>1431</v>
      </c>
      <c r="E43" s="158" t="str">
        <f>HYPERLINK("https://youtu.be/xnoUBF8SSA8?t=8344","channel 1")</f>
        <v>channel 1</v>
      </c>
    </row>
    <row r="44">
      <c r="A44" s="141"/>
      <c r="B44" s="56" t="s">
        <v>4130</v>
      </c>
      <c r="C44" s="57" t="s">
        <v>22</v>
      </c>
      <c r="D44" s="56" t="s">
        <v>4132</v>
      </c>
      <c r="E44" s="11" t="str">
        <f>HYPERLINK("https://youtu.be/R4BIoa8qnqk?t=8396","channel 2")</f>
        <v>channel 2</v>
      </c>
    </row>
    <row r="45">
      <c r="A45" s="141"/>
      <c r="B45" s="96" t="s">
        <v>3105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4133</v>
      </c>
      <c r="C47" s="57" t="s">
        <v>185</v>
      </c>
      <c r="D47" s="56" t="s">
        <v>2021</v>
      </c>
      <c r="E47" s="158" t="str">
        <f>HYPERLINK("https://youtu.be/jHoCnJhfqWo","channel 1")</f>
        <v>channel 1</v>
      </c>
    </row>
    <row r="48">
      <c r="A48" s="141"/>
      <c r="B48" s="56" t="s">
        <v>1906</v>
      </c>
      <c r="C48" s="57" t="s">
        <v>245</v>
      </c>
      <c r="D48" s="56" t="s">
        <v>3988</v>
      </c>
      <c r="E48" s="11" t="str">
        <f>HYPERLINK("https://youtu.be/6DnptHJ-rQE","channel 2")</f>
        <v>channel 2</v>
      </c>
    </row>
    <row r="49">
      <c r="A49" s="141"/>
      <c r="B49" s="56" t="s">
        <v>2898</v>
      </c>
      <c r="C49" s="57" t="s">
        <v>517</v>
      </c>
      <c r="D49" s="56" t="s">
        <v>4133</v>
      </c>
      <c r="E49" s="158" t="str">
        <f>HYPERLINK("https://youtu.be/jHoCnJhfqWo?t=1006","channel 1")</f>
        <v>channel 1</v>
      </c>
    </row>
    <row r="50">
      <c r="A50" s="141"/>
      <c r="B50" s="56" t="s">
        <v>1906</v>
      </c>
      <c r="C50" s="57" t="s">
        <v>16</v>
      </c>
      <c r="D50" s="56" t="s">
        <v>2021</v>
      </c>
      <c r="E50" s="11" t="str">
        <f>HYPERLINK("https://youtu.be/6DnptHJ-rQE?t=986","channel 2")</f>
        <v>channel 2</v>
      </c>
    </row>
    <row r="51">
      <c r="A51" s="141"/>
      <c r="B51" s="56" t="s">
        <v>2898</v>
      </c>
      <c r="C51" s="57" t="s">
        <v>229</v>
      </c>
      <c r="D51" s="56" t="s">
        <v>3988</v>
      </c>
      <c r="E51" s="158" t="str">
        <f>HYPERLINK("https://youtu.be/jHoCnJhfqWo?t=1940","channel 1")</f>
        <v>channel 1</v>
      </c>
    </row>
    <row r="52">
      <c r="A52" s="141"/>
      <c r="B52" s="56" t="s">
        <v>1906</v>
      </c>
      <c r="C52" s="57" t="s">
        <v>194</v>
      </c>
      <c r="D52" s="56" t="s">
        <v>4133</v>
      </c>
      <c r="E52" s="11" t="str">
        <f>HYPERLINK("https://youtu.be/6DnptHJ-rQE?t=1852","channel 2")</f>
        <v>channel 2</v>
      </c>
    </row>
    <row r="53">
      <c r="A53" s="141"/>
      <c r="B53" s="56" t="s">
        <v>2898</v>
      </c>
      <c r="C53" s="57" t="s">
        <v>302</v>
      </c>
      <c r="D53" s="56" t="s">
        <v>2021</v>
      </c>
      <c r="E53" s="158" t="str">
        <f>HYPERLINK("https://youtu.be/jHoCnJhfqWo?t=2905","channel 1")</f>
        <v>channel 1</v>
      </c>
    </row>
    <row r="54">
      <c r="A54" s="141"/>
      <c r="B54" s="56" t="s">
        <v>3988</v>
      </c>
      <c r="C54" s="57" t="s">
        <v>517</v>
      </c>
      <c r="D54" s="56" t="s">
        <v>4133</v>
      </c>
      <c r="E54" s="11" t="str">
        <f>HYPERLINK("https://youtu.be/6DnptHJ-rQE?t=2972","channel 2")</f>
        <v>channel 2</v>
      </c>
    </row>
    <row r="55">
      <c r="A55" s="141"/>
      <c r="B55" s="56" t="s">
        <v>2898</v>
      </c>
      <c r="C55" s="57" t="s">
        <v>158</v>
      </c>
      <c r="D55" s="56" t="s">
        <v>1906</v>
      </c>
      <c r="E55" s="158" t="str">
        <f>HYPERLINK("https://youtu.be/jHoCnJhfqWo?t=3851","channel 1")</f>
        <v>channel 1</v>
      </c>
    </row>
    <row r="56">
      <c r="A56" s="141"/>
      <c r="B56" s="56" t="s">
        <v>3988</v>
      </c>
      <c r="C56" s="57" t="s">
        <v>352</v>
      </c>
      <c r="D56" s="56" t="s">
        <v>2021</v>
      </c>
      <c r="E56" s="11" t="str">
        <f>HYPERLINK("https://youtu.be/6DnptHJ-rQE?t=3972","channel 2")</f>
        <v>channel 2</v>
      </c>
    </row>
    <row r="57">
      <c r="A57" s="141"/>
      <c r="B57" s="56" t="s">
        <v>2021</v>
      </c>
      <c r="C57" s="57" t="s">
        <v>393</v>
      </c>
      <c r="D57" s="56" t="s">
        <v>4133</v>
      </c>
      <c r="E57" s="158" t="str">
        <f>HYPERLINK("https://youtu.be/jHoCnJhfqWo?t=4831","channel 1")</f>
        <v>channel 1</v>
      </c>
    </row>
    <row r="58">
      <c r="A58" s="141"/>
      <c r="B58" s="56" t="s">
        <v>3988</v>
      </c>
      <c r="C58" s="57" t="s">
        <v>354</v>
      </c>
      <c r="D58" s="56" t="s">
        <v>1906</v>
      </c>
      <c r="E58" s="11" t="str">
        <f>HYPERLINK("https://youtu.be/6DnptHJ-rQE?t=4798","channel 2")</f>
        <v>channel 2</v>
      </c>
    </row>
    <row r="59">
      <c r="A59" s="141"/>
      <c r="B59" s="56" t="s">
        <v>4133</v>
      </c>
      <c r="C59" s="57" t="s">
        <v>208</v>
      </c>
      <c r="D59" s="56" t="s">
        <v>2898</v>
      </c>
      <c r="E59" s="158" t="str">
        <f>HYPERLINK("https://youtu.be/jHoCnJhfqWo?t=5740","channel 1")</f>
        <v>channel 1</v>
      </c>
    </row>
    <row r="60">
      <c r="A60" s="141"/>
      <c r="B60" s="56" t="s">
        <v>2021</v>
      </c>
      <c r="C60" s="57" t="s">
        <v>208</v>
      </c>
      <c r="D60" s="56" t="s">
        <v>1906</v>
      </c>
      <c r="E60" s="11" t="str">
        <f>HYPERLINK("https://youtu.be/6DnptHJ-rQE?t=5905","channel 2")</f>
        <v>channel 2</v>
      </c>
    </row>
    <row r="61">
      <c r="A61" s="141"/>
      <c r="B61" s="56" t="s">
        <v>3988</v>
      </c>
      <c r="C61" s="57" t="s">
        <v>155</v>
      </c>
      <c r="D61" s="56" t="s">
        <v>2898</v>
      </c>
      <c r="E61" s="158" t="str">
        <f>HYPERLINK("https://youtu.be/jHoCnJhfqWo?t=6664","channel 1")</f>
        <v>channel 1</v>
      </c>
    </row>
    <row r="62">
      <c r="A62" s="141"/>
      <c r="B62" s="56" t="s">
        <v>4133</v>
      </c>
      <c r="C62" s="45" t="s">
        <v>315</v>
      </c>
      <c r="D62" s="56" t="s">
        <v>1906</v>
      </c>
      <c r="E62" s="11" t="str">
        <f>HYPERLINK("https://youtu.be/6DnptHJ-rQE?t=6784","channel 2")</f>
        <v>channel 2</v>
      </c>
    </row>
    <row r="63">
      <c r="A63" s="141"/>
      <c r="B63" s="56" t="s">
        <v>2021</v>
      </c>
      <c r="C63" s="57" t="s">
        <v>195</v>
      </c>
      <c r="D63" s="56" t="s">
        <v>2898</v>
      </c>
      <c r="E63" s="158" t="str">
        <f>HYPERLINK("https://youtu.be/jHoCnJhfqWo?t=7745","channel 1")</f>
        <v>channel 1</v>
      </c>
    </row>
    <row r="64">
      <c r="A64" s="141"/>
      <c r="B64" s="56" t="s">
        <v>4133</v>
      </c>
      <c r="C64" s="57" t="s">
        <v>1227</v>
      </c>
      <c r="D64" s="56" t="s">
        <v>3988</v>
      </c>
      <c r="E64" s="11" t="str">
        <f>HYPERLINK("https://youtu.be/6DnptHJ-rQE?t=7771","channel 2")</f>
        <v>channel 2</v>
      </c>
    </row>
    <row r="65">
      <c r="A65" s="141"/>
      <c r="B65" s="56" t="s">
        <v>1906</v>
      </c>
      <c r="C65" s="57" t="s">
        <v>219</v>
      </c>
      <c r="D65" s="56" t="s">
        <v>2898</v>
      </c>
      <c r="E65" s="158" t="str">
        <f>HYPERLINK("https://youtu.be/jHoCnJhfqWo?t=8666","channel 1")</f>
        <v>channel 1</v>
      </c>
    </row>
    <row r="66">
      <c r="A66" s="141"/>
      <c r="B66" s="56" t="s">
        <v>2021</v>
      </c>
      <c r="C66" s="57" t="s">
        <v>187</v>
      </c>
      <c r="D66" s="56" t="s">
        <v>3988</v>
      </c>
      <c r="E66" s="11" t="str">
        <f>HYPERLINK("https://youtu.be/6DnptHJ-rQE?t=8664","channel 2")</f>
        <v>channel 2</v>
      </c>
    </row>
    <row r="67">
      <c r="A67" s="141"/>
      <c r="B67" s="96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4134</v>
      </c>
      <c r="C69" s="57" t="s">
        <v>180</v>
      </c>
      <c r="D69" s="56" t="s">
        <v>1697</v>
      </c>
      <c r="E69" s="158" t="str">
        <f>HYPERLINK("https://youtu.be/qiXZ8cEEYlM","channel 1")</f>
        <v>channel 1</v>
      </c>
    </row>
    <row r="70">
      <c r="A70" s="141"/>
      <c r="B70" s="56" t="s">
        <v>1111</v>
      </c>
      <c r="C70" s="57" t="s">
        <v>19</v>
      </c>
      <c r="D70" s="56" t="s">
        <v>3642</v>
      </c>
      <c r="E70" s="11" t="str">
        <f>HYPERLINK("https://youtu.be/TV9kd_tAJ3I","channel 2")</f>
        <v>channel 2</v>
      </c>
    </row>
    <row r="71">
      <c r="A71" s="141"/>
      <c r="B71" s="56" t="s">
        <v>1513</v>
      </c>
      <c r="C71" s="57" t="s">
        <v>165</v>
      </c>
      <c r="D71" s="56" t="s">
        <v>4134</v>
      </c>
      <c r="E71" s="158" t="str">
        <f>HYPERLINK("https://youtu.be/qiXZ8cEEYlM?t=900","channel 1")</f>
        <v>channel 1</v>
      </c>
    </row>
    <row r="72">
      <c r="A72" s="141"/>
      <c r="B72" s="56" t="s">
        <v>1111</v>
      </c>
      <c r="C72" s="57" t="s">
        <v>1016</v>
      </c>
      <c r="D72" s="56" t="s">
        <v>1697</v>
      </c>
      <c r="E72" s="11" t="str">
        <f>HYPERLINK("https://youtu.be/TV9kd_tAJ3I?t=854","channel 2")</f>
        <v>channel 2</v>
      </c>
    </row>
    <row r="73">
      <c r="A73" s="141"/>
      <c r="B73" s="56" t="s">
        <v>1513</v>
      </c>
      <c r="C73" s="57" t="s">
        <v>342</v>
      </c>
      <c r="D73" s="56" t="s">
        <v>3642</v>
      </c>
      <c r="E73" s="158" t="str">
        <f>HYPERLINK("https://youtu.be/qiXZ8cEEYlM?t=1871","channel 1")</f>
        <v>channel 1</v>
      </c>
    </row>
    <row r="74">
      <c r="A74" s="141"/>
      <c r="B74" s="56" t="s">
        <v>1111</v>
      </c>
      <c r="C74" s="57" t="s">
        <v>574</v>
      </c>
      <c r="D74" s="56" t="s">
        <v>4134</v>
      </c>
      <c r="E74" s="11" t="str">
        <f>HYPERLINK("https://youtu.be/TV9kd_tAJ3I?t=1753","channel 2")</f>
        <v>channel 2</v>
      </c>
    </row>
    <row r="75">
      <c r="A75" s="141"/>
      <c r="B75" s="56" t="s">
        <v>1513</v>
      </c>
      <c r="C75" s="57" t="s">
        <v>554</v>
      </c>
      <c r="D75" s="56" t="s">
        <v>1697</v>
      </c>
      <c r="E75" s="158" t="str">
        <f>HYPERLINK("https://youtu.be/qiXZ8cEEYlM?t=2793","channel 1")</f>
        <v>channel 1</v>
      </c>
    </row>
    <row r="76">
      <c r="A76" s="141"/>
      <c r="B76" s="56" t="s">
        <v>3642</v>
      </c>
      <c r="C76" s="57" t="s">
        <v>166</v>
      </c>
      <c r="D76" s="56" t="s">
        <v>4134</v>
      </c>
      <c r="E76" s="11" t="str">
        <f>HYPERLINK("https://youtu.be/TV9kd_tAJ3I?t=2956","channel 2")</f>
        <v>channel 2</v>
      </c>
    </row>
    <row r="77">
      <c r="A77" s="141"/>
      <c r="B77" s="56" t="s">
        <v>1513</v>
      </c>
      <c r="C77" s="57" t="s">
        <v>257</v>
      </c>
      <c r="D77" s="56" t="s">
        <v>1111</v>
      </c>
      <c r="E77" s="158" t="str">
        <f>HYPERLINK("https://youtu.be/qiXZ8cEEYlM?t=3740","channel 1")</f>
        <v>channel 1</v>
      </c>
    </row>
    <row r="78">
      <c r="A78" s="141"/>
      <c r="B78" s="56" t="s">
        <v>3642</v>
      </c>
      <c r="C78" s="57" t="s">
        <v>888</v>
      </c>
      <c r="D78" s="56" t="s">
        <v>1697</v>
      </c>
      <c r="E78" s="11" t="str">
        <f>HYPERLINK("https://youtu.be/TV9kd_tAJ3I?t=3763","channel 2")</f>
        <v>channel 2</v>
      </c>
    </row>
    <row r="79">
      <c r="A79" s="141"/>
      <c r="B79" s="56" t="s">
        <v>1697</v>
      </c>
      <c r="C79" s="57" t="s">
        <v>43</v>
      </c>
      <c r="D79" s="56" t="s">
        <v>4134</v>
      </c>
      <c r="E79" s="158" t="str">
        <f>HYPERLINK("https://youtu.be/qiXZ8cEEYlM?t=4674","channel 1")</f>
        <v>channel 1</v>
      </c>
    </row>
    <row r="80">
      <c r="A80" s="141"/>
      <c r="B80" s="56" t="s">
        <v>3642</v>
      </c>
      <c r="C80" s="57" t="s">
        <v>218</v>
      </c>
      <c r="D80" s="56" t="s">
        <v>1111</v>
      </c>
      <c r="E80" s="125" t="s">
        <v>13</v>
      </c>
    </row>
    <row r="81">
      <c r="A81" s="141"/>
      <c r="B81" s="56" t="s">
        <v>4134</v>
      </c>
      <c r="C81" s="57" t="s">
        <v>7</v>
      </c>
      <c r="D81" s="56" t="s">
        <v>1513</v>
      </c>
      <c r="E81" s="158" t="str">
        <f>HYPERLINK("https://youtu.be/qiXZ8cEEYlM?t=5621","channel 1")</f>
        <v>channel 1</v>
      </c>
    </row>
    <row r="82">
      <c r="A82" s="141"/>
      <c r="B82" s="56" t="s">
        <v>1697</v>
      </c>
      <c r="C82" s="57" t="s">
        <v>208</v>
      </c>
      <c r="D82" s="56" t="s">
        <v>1111</v>
      </c>
      <c r="E82" s="11" t="str">
        <f>HYPERLINK("https://youtu.be/TV9kd_tAJ3I?t=4702","channel 2")</f>
        <v>channel 2</v>
      </c>
    </row>
    <row r="83">
      <c r="A83" s="141"/>
      <c r="B83" s="56" t="s">
        <v>3642</v>
      </c>
      <c r="C83" s="57" t="s">
        <v>219</v>
      </c>
      <c r="D83" s="56" t="s">
        <v>1513</v>
      </c>
      <c r="E83" s="158" t="str">
        <f>HYPERLINK("https://youtu.be/qiXZ8cEEYlM?t=6528","channel 1")</f>
        <v>channel 1</v>
      </c>
    </row>
    <row r="84">
      <c r="A84" s="141"/>
      <c r="B84" s="56" t="s">
        <v>4134</v>
      </c>
      <c r="C84" s="57" t="s">
        <v>20</v>
      </c>
      <c r="D84" s="56" t="s">
        <v>1111</v>
      </c>
      <c r="E84" s="11" t="str">
        <f>HYPERLINK("https://youtu.be/TV9kd_tAJ3I?t=6603","channel 2")</f>
        <v>channel 2</v>
      </c>
    </row>
    <row r="85">
      <c r="A85" s="141"/>
      <c r="B85" s="56" t="s">
        <v>1697</v>
      </c>
      <c r="C85" s="57" t="s">
        <v>43</v>
      </c>
      <c r="D85" s="56" t="s">
        <v>1513</v>
      </c>
      <c r="E85" s="158" t="str">
        <f>HYPERLINK("https://youtu.be/qiXZ8cEEYlM?t=7488","channel 1")</f>
        <v>channel 1</v>
      </c>
    </row>
    <row r="86">
      <c r="A86" s="141"/>
      <c r="B86" s="56" t="s">
        <v>4134</v>
      </c>
      <c r="C86" s="57" t="s">
        <v>198</v>
      </c>
      <c r="D86" s="56" t="s">
        <v>3642</v>
      </c>
      <c r="E86" s="11" t="str">
        <f>HYPERLINK("https://youtu.be/TV9kd_tAJ3I?t=7534","channel 2")</f>
        <v>channel 2</v>
      </c>
    </row>
    <row r="87">
      <c r="A87" s="141"/>
      <c r="B87" s="56" t="s">
        <v>1111</v>
      </c>
      <c r="C87" s="57" t="s">
        <v>220</v>
      </c>
      <c r="D87" s="56" t="s">
        <v>1513</v>
      </c>
      <c r="E87" s="158" t="str">
        <f>HYPERLINK("https://youtu.be/qiXZ8cEEYlM?t=8346","channel 1")</f>
        <v>channel 1</v>
      </c>
    </row>
    <row r="88">
      <c r="A88" s="145"/>
      <c r="B88" s="56" t="s">
        <v>1697</v>
      </c>
      <c r="C88" s="57" t="s">
        <v>1121</v>
      </c>
      <c r="D88" s="56" t="s">
        <v>3642</v>
      </c>
      <c r="E88" s="11" t="str">
        <f>HYPERLINK("https://youtu.be/TV9kd_tAJ3I?t=8388","channel 2")</f>
        <v>channel 2</v>
      </c>
    </row>
    <row r="89">
      <c r="B89" s="96" t="s">
        <v>2674</v>
      </c>
      <c r="C89" s="2"/>
      <c r="D89" s="3"/>
      <c r="E89" s="161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56" t="s">
        <v>3853</v>
      </c>
      <c r="C91" s="57" t="s">
        <v>237</v>
      </c>
      <c r="D91" s="56" t="s">
        <v>3789</v>
      </c>
      <c r="E91" s="158" t="str">
        <f>HYPERLINK("https://youtu.be/88PIj8rD8VY","channel 1")</f>
        <v>channel 1</v>
      </c>
    </row>
    <row r="92">
      <c r="B92" s="56" t="s">
        <v>4135</v>
      </c>
      <c r="C92" s="57" t="s">
        <v>290</v>
      </c>
      <c r="D92" s="56" t="s">
        <v>1574</v>
      </c>
      <c r="E92" s="11" t="str">
        <f>HYPERLINK("https://youtu.be/sJfyxIYr9kg","channel 2")</f>
        <v>channel 2</v>
      </c>
    </row>
    <row r="93">
      <c r="B93" s="56" t="s">
        <v>2538</v>
      </c>
      <c r="C93" s="57" t="s">
        <v>536</v>
      </c>
      <c r="D93" s="56" t="s">
        <v>3853</v>
      </c>
      <c r="E93" s="158" t="str">
        <f>HYPERLINK("https://youtu.be/88PIj8rD8VY?t=1198","channel 1")</f>
        <v>channel 1</v>
      </c>
    </row>
    <row r="94">
      <c r="B94" s="56" t="s">
        <v>4135</v>
      </c>
      <c r="C94" s="57" t="s">
        <v>197</v>
      </c>
      <c r="D94" s="56" t="s">
        <v>3789</v>
      </c>
      <c r="E94" s="11" t="str">
        <f>HYPERLINK("https://youtu.be/sJfyxIYr9kg?t=768","channel 2")</f>
        <v>channel 2</v>
      </c>
    </row>
    <row r="95">
      <c r="B95" s="56" t="s">
        <v>2538</v>
      </c>
      <c r="C95" s="57" t="s">
        <v>463</v>
      </c>
      <c r="D95" s="56" t="s">
        <v>1574</v>
      </c>
      <c r="E95" s="158" t="str">
        <f>HYPERLINK("https://youtu.be/88PIj8rD8VY?t=2188","channel 1")</f>
        <v>channel 1</v>
      </c>
    </row>
    <row r="96">
      <c r="B96" s="56" t="s">
        <v>4135</v>
      </c>
      <c r="C96" s="57" t="s">
        <v>173</v>
      </c>
      <c r="D96" s="56" t="s">
        <v>3853</v>
      </c>
      <c r="E96" s="11" t="str">
        <f>HYPERLINK("https://youtu.be/sJfyxIYr9kg?t=1652","channel 2")</f>
        <v>channel 2</v>
      </c>
    </row>
    <row r="97">
      <c r="B97" s="56" t="s">
        <v>2538</v>
      </c>
      <c r="C97" s="57" t="s">
        <v>177</v>
      </c>
      <c r="D97" s="56" t="s">
        <v>3789</v>
      </c>
      <c r="E97" s="158" t="str">
        <f>HYPERLINK("https://youtu.be/88PIj8rD8VY?t=3135","channel 1")</f>
        <v>channel 1</v>
      </c>
    </row>
    <row r="98">
      <c r="B98" s="56" t="s">
        <v>1574</v>
      </c>
      <c r="C98" s="57" t="s">
        <v>14</v>
      </c>
      <c r="D98" s="56" t="s">
        <v>3853</v>
      </c>
      <c r="E98" s="11" t="str">
        <f>HYPERLINK("https://youtu.be/sJfyxIYr9kg?t=2583","channel 2")</f>
        <v>channel 2</v>
      </c>
    </row>
    <row r="99">
      <c r="B99" s="56" t="s">
        <v>2538</v>
      </c>
      <c r="C99" s="57" t="s">
        <v>496</v>
      </c>
      <c r="D99" s="56" t="s">
        <v>4135</v>
      </c>
      <c r="E99" s="158" t="str">
        <f>HYPERLINK("https://youtu.be/88PIj8rD8VY?t=4060","channel 1")</f>
        <v>channel 1</v>
      </c>
    </row>
    <row r="100">
      <c r="B100" s="56" t="s">
        <v>1574</v>
      </c>
      <c r="C100" s="57" t="s">
        <v>185</v>
      </c>
      <c r="D100" s="56" t="s">
        <v>3789</v>
      </c>
      <c r="E100" s="11" t="str">
        <f>HYPERLINK("https://youtu.be/sJfyxIYr9kg?t=3560","channel 2")</f>
        <v>channel 2</v>
      </c>
    </row>
    <row r="101">
      <c r="B101" s="56" t="s">
        <v>3789</v>
      </c>
      <c r="C101" s="57" t="s">
        <v>177</v>
      </c>
      <c r="D101" s="56" t="s">
        <v>3853</v>
      </c>
      <c r="E101" s="158" t="str">
        <f>HYPERLINK("https://youtu.be/88PIj8rD8VY?t=4933","channel 1")</f>
        <v>channel 1</v>
      </c>
    </row>
    <row r="102">
      <c r="B102" s="56" t="s">
        <v>1574</v>
      </c>
      <c r="C102" s="57" t="s">
        <v>14</v>
      </c>
      <c r="D102" s="56" t="s">
        <v>4135</v>
      </c>
      <c r="E102" s="11" t="str">
        <f>HYPERLINK("https://youtu.be/sJfyxIYr9kg?t=4445","channel 2")</f>
        <v>channel 2</v>
      </c>
    </row>
    <row r="103">
      <c r="B103" s="56" t="s">
        <v>3853</v>
      </c>
      <c r="C103" s="57" t="s">
        <v>736</v>
      </c>
      <c r="D103" s="56" t="s">
        <v>2538</v>
      </c>
      <c r="E103" s="158" t="str">
        <f>HYPERLINK("https://youtu.be/88PIj8rD8VY?t=5860","channel 1")</f>
        <v>channel 1</v>
      </c>
    </row>
    <row r="104">
      <c r="B104" s="56" t="s">
        <v>3789</v>
      </c>
      <c r="C104" s="57" t="s">
        <v>210</v>
      </c>
      <c r="D104" s="56" t="s">
        <v>4135</v>
      </c>
      <c r="E104" s="11" t="str">
        <f>HYPERLINK("https://youtu.be/sJfyxIYr9kg?t=5384","channel 2")</f>
        <v>channel 2</v>
      </c>
    </row>
    <row r="105">
      <c r="B105" s="56" t="s">
        <v>1574</v>
      </c>
      <c r="C105" s="57" t="s">
        <v>182</v>
      </c>
      <c r="D105" s="56" t="s">
        <v>2538</v>
      </c>
      <c r="E105" s="158" t="str">
        <f>HYPERLINK("https://youtu.be/88PIj8rD8VY?t=6840","channel 1")</f>
        <v>channel 1</v>
      </c>
    </row>
    <row r="106">
      <c r="B106" s="56" t="s">
        <v>3853</v>
      </c>
      <c r="C106" s="57" t="s">
        <v>181</v>
      </c>
      <c r="D106" s="56" t="s">
        <v>4135</v>
      </c>
      <c r="E106" s="11" t="str">
        <f>HYPERLINK("https://youtu.be/sJfyxIYr9kg?t=6330","channel 2")</f>
        <v>channel 2</v>
      </c>
    </row>
    <row r="107">
      <c r="B107" s="56" t="s">
        <v>3789</v>
      </c>
      <c r="C107" s="57" t="s">
        <v>161</v>
      </c>
      <c r="D107" s="56" t="s">
        <v>2538</v>
      </c>
      <c r="E107" s="158" t="str">
        <f>HYPERLINK("https://youtu.be/88PIj8rD8VY?t=7807","channel 1")</f>
        <v>channel 1</v>
      </c>
    </row>
    <row r="108">
      <c r="B108" s="56" t="s">
        <v>3853</v>
      </c>
      <c r="C108" s="57" t="s">
        <v>257</v>
      </c>
      <c r="D108" s="56" t="s">
        <v>1574</v>
      </c>
      <c r="E108" s="11" t="str">
        <f>HYPERLINK("https://youtu.be/sJfyxIYr9kg?t=7277","channel 2")</f>
        <v>channel 2</v>
      </c>
    </row>
    <row r="109">
      <c r="B109" s="56" t="s">
        <v>4135</v>
      </c>
      <c r="C109" s="57" t="s">
        <v>352</v>
      </c>
      <c r="D109" s="56" t="s">
        <v>2538</v>
      </c>
      <c r="E109" s="158" t="str">
        <f>HYPERLINK("https://youtu.be/88PIj8rD8VY?t=8770","channel 1")</f>
        <v>channel 1</v>
      </c>
    </row>
    <row r="110">
      <c r="B110" s="56" t="s">
        <v>3789</v>
      </c>
      <c r="C110" s="57" t="s">
        <v>162</v>
      </c>
      <c r="D110" s="56" t="s">
        <v>1574</v>
      </c>
      <c r="E110" s="11" t="str">
        <f>HYPERLINK("https://youtu.be/sJfyxIYr9kg?t=8246","channel 2")</f>
        <v>channel 2</v>
      </c>
    </row>
    <row r="111">
      <c r="B111" s="96" t="s">
        <v>3026</v>
      </c>
      <c r="C111" s="2"/>
      <c r="D111" s="3"/>
      <c r="E111" s="161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56" t="s">
        <v>4079</v>
      </c>
      <c r="C113" s="57" t="s">
        <v>227</v>
      </c>
      <c r="D113" s="56" t="s">
        <v>4136</v>
      </c>
      <c r="E113" s="158" t="str">
        <f>HYPERLINK("https://youtu.be/Eb91_Q6jvTY","channel 1")</f>
        <v>channel 1</v>
      </c>
    </row>
    <row r="114">
      <c r="B114" s="56" t="s">
        <v>4137</v>
      </c>
      <c r="C114" s="57" t="s">
        <v>354</v>
      </c>
      <c r="D114" s="56" t="s">
        <v>2045</v>
      </c>
      <c r="E114" s="11" t="str">
        <f>HYPERLINK("https://youtu.be/vejvwYnmAB0","channel 2")</f>
        <v>channel 2</v>
      </c>
    </row>
    <row r="115">
      <c r="B115" s="56" t="s">
        <v>2920</v>
      </c>
      <c r="C115" s="57" t="s">
        <v>281</v>
      </c>
      <c r="D115" s="56" t="s">
        <v>4079</v>
      </c>
      <c r="E115" s="158" t="str">
        <f>HYPERLINK("https://youtu.be/Eb91_Q6jvTY?t=941","channel 1")</f>
        <v>channel 1</v>
      </c>
    </row>
    <row r="116">
      <c r="B116" s="56" t="s">
        <v>4137</v>
      </c>
      <c r="C116" s="57" t="s">
        <v>1009</v>
      </c>
      <c r="D116" s="56" t="s">
        <v>4136</v>
      </c>
      <c r="E116" s="11" t="str">
        <f>HYPERLINK("https://youtu.be/vejvwYnmAB0?t=957","channel 2")</f>
        <v>channel 2</v>
      </c>
    </row>
    <row r="117">
      <c r="B117" s="56" t="s">
        <v>2920</v>
      </c>
      <c r="C117" s="57" t="s">
        <v>21</v>
      </c>
      <c r="D117" s="56" t="s">
        <v>2045</v>
      </c>
      <c r="E117" s="158" t="str">
        <f>HYPERLINK("https://youtu.be/Eb91_Q6jvTY?t=1883","channel 1")</f>
        <v>channel 1</v>
      </c>
    </row>
    <row r="118">
      <c r="B118" s="56" t="s">
        <v>4137</v>
      </c>
      <c r="C118" s="57" t="s">
        <v>158</v>
      </c>
      <c r="D118" s="56" t="s">
        <v>4079</v>
      </c>
      <c r="E118" s="11" t="str">
        <f>HYPERLINK("https://youtu.be/vejvwYnmAB0?t=1729","channel 2")</f>
        <v>channel 2</v>
      </c>
    </row>
    <row r="119">
      <c r="B119" s="56" t="s">
        <v>2920</v>
      </c>
      <c r="C119" s="57" t="s">
        <v>216</v>
      </c>
      <c r="D119" s="56" t="s">
        <v>4136</v>
      </c>
      <c r="E119" s="158" t="str">
        <f>HYPERLINK("https://youtu.be/Eb91_Q6jvTY?t=2832","channel 1")</f>
        <v>channel 1</v>
      </c>
    </row>
    <row r="120">
      <c r="B120" s="56" t="s">
        <v>2045</v>
      </c>
      <c r="C120" s="57" t="s">
        <v>245</v>
      </c>
      <c r="D120" s="56" t="s">
        <v>4079</v>
      </c>
      <c r="E120" s="11" t="str">
        <f>HYPERLINK("https://youtu.be/vejvwYnmAB0?t=2678","channel 2")</f>
        <v>channel 2</v>
      </c>
    </row>
    <row r="121">
      <c r="B121" s="56" t="s">
        <v>2920</v>
      </c>
      <c r="C121" s="57" t="s">
        <v>448</v>
      </c>
      <c r="D121" s="56" t="s">
        <v>4137</v>
      </c>
      <c r="E121" s="158" t="str">
        <f>HYPERLINK("https://youtu.be/Eb91_Q6jvTY?t=3694","channel 1")</f>
        <v>channel 1</v>
      </c>
    </row>
    <row r="122">
      <c r="B122" s="56" t="s">
        <v>2045</v>
      </c>
      <c r="C122" s="57" t="s">
        <v>16</v>
      </c>
      <c r="D122" s="56" t="s">
        <v>4136</v>
      </c>
      <c r="E122" s="11" t="str">
        <f>HYPERLINK("https://youtu.be/vejvwYnmAB0?t=3659","channel 2")</f>
        <v>channel 2</v>
      </c>
    </row>
    <row r="123">
      <c r="B123" s="56" t="s">
        <v>4136</v>
      </c>
      <c r="C123" s="57" t="s">
        <v>342</v>
      </c>
      <c r="D123" s="56" t="s">
        <v>4079</v>
      </c>
      <c r="E123" s="158" t="str">
        <f>HYPERLINK("https://youtu.be/Eb91_Q6jvTY?t=4595","channel 1")</f>
        <v>channel 1</v>
      </c>
    </row>
    <row r="124">
      <c r="B124" s="56" t="s">
        <v>2045</v>
      </c>
      <c r="C124" s="57" t="s">
        <v>1553</v>
      </c>
      <c r="D124" s="56" t="s">
        <v>4137</v>
      </c>
      <c r="E124" s="11" t="str">
        <f>HYPERLINK("https://youtu.be/vejvwYnmAB0?t=4508","channel 2")</f>
        <v>channel 2</v>
      </c>
    </row>
    <row r="125">
      <c r="B125" s="56" t="s">
        <v>4079</v>
      </c>
      <c r="C125" s="57" t="s">
        <v>354</v>
      </c>
      <c r="D125" s="56" t="s">
        <v>2920</v>
      </c>
      <c r="E125" s="158" t="str">
        <f>HYPERLINK("https://youtu.be/Eb91_Q6jvTY?t=5505","channel 1")</f>
        <v>channel 1</v>
      </c>
    </row>
    <row r="126">
      <c r="B126" s="56" t="s">
        <v>4136</v>
      </c>
      <c r="C126" s="57" t="s">
        <v>4138</v>
      </c>
      <c r="D126" s="56" t="s">
        <v>4137</v>
      </c>
      <c r="E126" s="11" t="str">
        <f>HYPERLINK("https://youtu.be/vejvwYnmAB0?t=5411","channel 2")</f>
        <v>channel 2</v>
      </c>
    </row>
    <row r="127">
      <c r="B127" s="56" t="s">
        <v>2045</v>
      </c>
      <c r="C127" s="57" t="s">
        <v>155</v>
      </c>
      <c r="D127" s="56" t="s">
        <v>2920</v>
      </c>
      <c r="E127" s="158" t="str">
        <f>HYPERLINK("https://youtu.be/Eb91_Q6jvTY?t=6414","channel 1")</f>
        <v>channel 1</v>
      </c>
    </row>
    <row r="128">
      <c r="B128" s="56" t="s">
        <v>4079</v>
      </c>
      <c r="C128" s="57" t="s">
        <v>233</v>
      </c>
      <c r="D128" s="56" t="s">
        <v>4137</v>
      </c>
      <c r="E128" s="11" t="str">
        <f>HYPERLINK("https://youtu.be/vejvwYnmAB0?t=6384","channel 2")</f>
        <v>channel 2</v>
      </c>
    </row>
    <row r="129">
      <c r="B129" s="56" t="s">
        <v>4136</v>
      </c>
      <c r="C129" s="57" t="s">
        <v>323</v>
      </c>
      <c r="D129" s="56" t="s">
        <v>2920</v>
      </c>
      <c r="E129" s="158" t="str">
        <f>HYPERLINK("https://youtu.be/Eb91_Q6jvTY?t=7371","channel 1")</f>
        <v>channel 1</v>
      </c>
    </row>
    <row r="130">
      <c r="B130" s="56" t="s">
        <v>4079</v>
      </c>
      <c r="C130" s="57" t="s">
        <v>290</v>
      </c>
      <c r="D130" s="56" t="s">
        <v>2045</v>
      </c>
      <c r="E130" s="11" t="str">
        <f>HYPERLINK("https://youtu.be/vejvwYnmAB0?t=7403","channel 2")</f>
        <v>channel 2</v>
      </c>
    </row>
    <row r="131">
      <c r="B131" s="56" t="s">
        <v>4137</v>
      </c>
      <c r="C131" s="57" t="s">
        <v>362</v>
      </c>
      <c r="D131" s="56" t="s">
        <v>2920</v>
      </c>
      <c r="E131" s="158" t="str">
        <f>HYPERLINK("https://youtu.be/Eb91_Q6jvTY?t=8273","channel 1")</f>
        <v>channel 1</v>
      </c>
    </row>
    <row r="132">
      <c r="B132" s="56" t="s">
        <v>4136</v>
      </c>
      <c r="C132" s="57" t="s">
        <v>352</v>
      </c>
      <c r="D132" s="56" t="s">
        <v>2045</v>
      </c>
      <c r="E132" s="11" t="str">
        <f>HYPERLINK("https://youtu.be/vejvwYnmAB0?t=8314","channel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1777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4139</v>
      </c>
      <c r="C3" s="57" t="s">
        <v>380</v>
      </c>
      <c r="D3" s="56" t="s">
        <v>359</v>
      </c>
      <c r="E3" s="158" t="str">
        <f>HYPERLINK("https://youtu.be/MQ5e9uybjJo","channel 1")</f>
        <v>channel 1</v>
      </c>
    </row>
    <row r="4">
      <c r="A4" s="141"/>
      <c r="B4" s="56" t="s">
        <v>3860</v>
      </c>
      <c r="C4" s="57" t="s">
        <v>3046</v>
      </c>
      <c r="D4" s="56" t="s">
        <v>3923</v>
      </c>
      <c r="E4" s="11" t="str">
        <f>HYPERLINK("https://youtu.be/DrTty5Iir_o","channel 2")</f>
        <v>channel 2</v>
      </c>
    </row>
    <row r="5">
      <c r="A5" s="141"/>
      <c r="B5" s="56" t="s">
        <v>1749</v>
      </c>
      <c r="C5" s="57" t="s">
        <v>14</v>
      </c>
      <c r="D5" s="56" t="s">
        <v>4139</v>
      </c>
      <c r="E5" s="158" t="str">
        <f>HYPERLINK("https://youtu.be/MQ5e9uybjJo?t=947","channel 1")</f>
        <v>channel 1</v>
      </c>
    </row>
    <row r="6">
      <c r="A6" s="141"/>
      <c r="B6" s="56" t="s">
        <v>3860</v>
      </c>
      <c r="C6" s="57" t="s">
        <v>218</v>
      </c>
      <c r="D6" s="56" t="s">
        <v>359</v>
      </c>
      <c r="E6" s="11" t="str">
        <f>HYPERLINK("https://youtu.be/DrTty5Iir_o?t=1007","channel 2")</f>
        <v>channel 2</v>
      </c>
    </row>
    <row r="7">
      <c r="A7" s="141"/>
      <c r="B7" s="56" t="s">
        <v>1749</v>
      </c>
      <c r="C7" s="57" t="s">
        <v>291</v>
      </c>
      <c r="D7" s="56" t="s">
        <v>3923</v>
      </c>
      <c r="E7" s="158" t="str">
        <f>HYPERLINK("https://youtu.be/MQ5e9uybjJo?t=1857","channel 1")</f>
        <v>channel 1</v>
      </c>
    </row>
    <row r="8">
      <c r="A8" s="141"/>
      <c r="B8" s="56" t="s">
        <v>3860</v>
      </c>
      <c r="C8" s="57" t="s">
        <v>487</v>
      </c>
      <c r="D8" s="56" t="s">
        <v>4139</v>
      </c>
      <c r="E8" s="11" t="str">
        <f>HYPERLINK("https://youtu.be/DrTty5Iir_o?t=1866","channel 2")</f>
        <v>channel 2</v>
      </c>
    </row>
    <row r="9">
      <c r="A9" s="141"/>
      <c r="B9" s="56" t="s">
        <v>1749</v>
      </c>
      <c r="C9" s="57" t="s">
        <v>43</v>
      </c>
      <c r="D9" s="56" t="s">
        <v>359</v>
      </c>
      <c r="E9" s="158" t="str">
        <f>HYPERLINK("https://youtu.be/MQ5e9uybjJo?t=2794","channel 1")</f>
        <v>channel 1</v>
      </c>
    </row>
    <row r="10">
      <c r="A10" s="141"/>
      <c r="B10" s="56" t="s">
        <v>3923</v>
      </c>
      <c r="C10" s="57" t="s">
        <v>166</v>
      </c>
      <c r="D10" s="56" t="s">
        <v>4139</v>
      </c>
      <c r="E10" s="11" t="str">
        <f>HYPERLINK("https://youtu.be/DrTty5Iir_o?t=2777","channel 2")</f>
        <v>channel 2</v>
      </c>
    </row>
    <row r="11">
      <c r="A11" s="141"/>
      <c r="B11" s="56" t="s">
        <v>1749</v>
      </c>
      <c r="C11" s="57" t="s">
        <v>177</v>
      </c>
      <c r="D11" s="56" t="s">
        <v>3860</v>
      </c>
      <c r="E11" s="158" t="str">
        <f>HYPERLINK("https://youtu.be/MQ5e9uybjJo?t=3695","channel 1")</f>
        <v>channel 1</v>
      </c>
    </row>
    <row r="12">
      <c r="A12" s="141"/>
      <c r="B12" s="56" t="s">
        <v>3923</v>
      </c>
      <c r="C12" s="57" t="s">
        <v>4140</v>
      </c>
      <c r="D12" s="56" t="s">
        <v>359</v>
      </c>
      <c r="E12" s="11" t="str">
        <f>HYPERLINK("https://youtu.be/DrTty5Iir_o?t=3701","channel 2")</f>
        <v>channel 2</v>
      </c>
    </row>
    <row r="13">
      <c r="A13" s="141"/>
      <c r="B13" s="56" t="s">
        <v>359</v>
      </c>
      <c r="C13" s="57" t="s">
        <v>166</v>
      </c>
      <c r="D13" s="56" t="s">
        <v>4139</v>
      </c>
      <c r="E13" s="158" t="str">
        <f>HYPERLINK("https://youtu.be/MQ5e9uybjJo?t=4635","channel 1")</f>
        <v>channel 1</v>
      </c>
    </row>
    <row r="14">
      <c r="A14" s="141"/>
      <c r="B14" s="56" t="s">
        <v>3923</v>
      </c>
      <c r="C14" s="57" t="s">
        <v>594</v>
      </c>
      <c r="D14" s="56" t="s">
        <v>3860</v>
      </c>
      <c r="E14" s="11" t="str">
        <f>HYPERLINK("https://youtu.be/DrTty5Iir_o?t=4586","channel 2")</f>
        <v>channel 2</v>
      </c>
    </row>
    <row r="15">
      <c r="A15" s="141"/>
      <c r="B15" s="56" t="s">
        <v>4139</v>
      </c>
      <c r="C15" s="57" t="s">
        <v>227</v>
      </c>
      <c r="D15" s="56" t="s">
        <v>1749</v>
      </c>
      <c r="E15" s="158" t="str">
        <f>HYPERLINK("https://youtu.be/MQ5e9uybjJo?t=5651","channel 1")</f>
        <v>channel 1</v>
      </c>
    </row>
    <row r="16">
      <c r="A16" s="141"/>
      <c r="B16" s="56" t="s">
        <v>359</v>
      </c>
      <c r="C16" s="57" t="s">
        <v>487</v>
      </c>
      <c r="D16" s="56" t="s">
        <v>3860</v>
      </c>
      <c r="E16" s="11" t="str">
        <f>HYPERLINK("https://youtu.be/DrTty5Iir_o?t=5599","channel 2")</f>
        <v>channel 2</v>
      </c>
    </row>
    <row r="17">
      <c r="A17" s="141"/>
      <c r="B17" s="56" t="s">
        <v>3923</v>
      </c>
      <c r="C17" s="57" t="s">
        <v>225</v>
      </c>
      <c r="D17" s="56" t="s">
        <v>1749</v>
      </c>
      <c r="E17" s="158" t="str">
        <f>HYPERLINK("https://youtu.be/MQ5e9uybjJo?t=6521","channel 1")</f>
        <v>channel 1</v>
      </c>
    </row>
    <row r="18">
      <c r="A18" s="141"/>
      <c r="B18" s="56" t="s">
        <v>4139</v>
      </c>
      <c r="C18" s="57" t="s">
        <v>155</v>
      </c>
      <c r="D18" s="56" t="s">
        <v>3860</v>
      </c>
      <c r="E18" s="11" t="str">
        <f>HYPERLINK("https://youtu.be/DrTty5Iir_o?t=6479","channel 2")</f>
        <v>channel 2</v>
      </c>
    </row>
    <row r="19">
      <c r="A19" s="141"/>
      <c r="B19" s="56" t="s">
        <v>359</v>
      </c>
      <c r="C19" s="57" t="s">
        <v>554</v>
      </c>
      <c r="D19" s="56" t="s">
        <v>1749</v>
      </c>
      <c r="E19" s="158" t="str">
        <f>HYPERLINK("https://youtu.be/MQ5e9uybjJo?t=7467","channel 1")</f>
        <v>channel 1</v>
      </c>
    </row>
    <row r="20">
      <c r="A20" s="141"/>
      <c r="B20" s="56" t="s">
        <v>4139</v>
      </c>
      <c r="C20" s="57" t="s">
        <v>233</v>
      </c>
      <c r="D20" s="56" t="s">
        <v>3923</v>
      </c>
      <c r="E20" s="11" t="str">
        <f>HYPERLINK("https://youtu.be/DrTty5Iir_o?t=7355","channel 2")</f>
        <v>channel 2</v>
      </c>
    </row>
    <row r="21">
      <c r="A21" s="141"/>
      <c r="B21" s="56" t="s">
        <v>3860</v>
      </c>
      <c r="C21" s="57" t="s">
        <v>225</v>
      </c>
      <c r="D21" s="56" t="s">
        <v>1749</v>
      </c>
      <c r="E21" s="158" t="str">
        <f>HYPERLINK("https://youtu.be/MQ5e9uybjJo?t=8415","channel 1")</f>
        <v>channel 1</v>
      </c>
    </row>
    <row r="22">
      <c r="A22" s="141"/>
      <c r="B22" s="56" t="s">
        <v>359</v>
      </c>
      <c r="C22" s="57" t="s">
        <v>348</v>
      </c>
      <c r="D22" s="56" t="s">
        <v>3923</v>
      </c>
      <c r="E22" s="11" t="str">
        <f>HYPERLINK("https://youtu.be/DrTty5Iir_o?t=7355","channel 2")</f>
        <v>channel 2</v>
      </c>
    </row>
    <row r="23">
      <c r="A23" s="141"/>
      <c r="B23" s="96" t="s">
        <v>2207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2644</v>
      </c>
      <c r="C25" s="57" t="s">
        <v>291</v>
      </c>
      <c r="D25" s="56" t="s">
        <v>4141</v>
      </c>
      <c r="E25" s="158" t="str">
        <f>HYPERLINK("https://youtu.be/BYquzyroDCY","channel 1")</f>
        <v>channel 1</v>
      </c>
    </row>
    <row r="26">
      <c r="A26" s="141"/>
      <c r="B26" s="56" t="s">
        <v>4142</v>
      </c>
      <c r="C26" s="57" t="s">
        <v>222</v>
      </c>
      <c r="D26" s="56" t="s">
        <v>4143</v>
      </c>
      <c r="E26" s="11" t="str">
        <f>HYPERLINK("https://youtu.be/Z7bqxf8lB4o","channel 2")</f>
        <v>channel 2</v>
      </c>
    </row>
    <row r="27">
      <c r="A27" s="141"/>
      <c r="B27" s="56" t="s">
        <v>3153</v>
      </c>
      <c r="C27" s="57" t="s">
        <v>281</v>
      </c>
      <c r="D27" s="56" t="s">
        <v>2644</v>
      </c>
      <c r="E27" s="158" t="str">
        <f>HYPERLINK("https://youtu.be/BYquzyroDCY?t=959","channel 1")</f>
        <v>channel 1</v>
      </c>
    </row>
    <row r="28">
      <c r="A28" s="141"/>
      <c r="B28" s="56" t="s">
        <v>4142</v>
      </c>
      <c r="C28" s="57" t="s">
        <v>366</v>
      </c>
      <c r="D28" s="56" t="s">
        <v>4141</v>
      </c>
      <c r="E28" s="11" t="str">
        <f>HYPERLINK("https://youtu.be/p0e-_8lBIgc","channel 2")</f>
        <v>channel 2</v>
      </c>
    </row>
    <row r="29">
      <c r="A29" s="141"/>
      <c r="B29" s="56" t="s">
        <v>3153</v>
      </c>
      <c r="C29" s="57" t="s">
        <v>24</v>
      </c>
      <c r="D29" s="56" t="s">
        <v>4143</v>
      </c>
      <c r="E29" s="158" t="str">
        <f>HYPERLINK("https://youtu.be/BYquzyroDCY?t=1850","channel 1")</f>
        <v>channel 1</v>
      </c>
    </row>
    <row r="30">
      <c r="A30" s="141"/>
      <c r="B30" s="56" t="s">
        <v>4142</v>
      </c>
      <c r="C30" s="57" t="s">
        <v>279</v>
      </c>
      <c r="D30" s="56" t="s">
        <v>2644</v>
      </c>
      <c r="E30" s="11" t="str">
        <f>HYPERLINK("https://www.youtube.com/watch?v=Z7bqxf8lB4o&amp;feature=youtu.be&amp;t=1911","channel 2")</f>
        <v>channel 2</v>
      </c>
    </row>
    <row r="31">
      <c r="A31" s="141"/>
      <c r="B31" s="56" t="s">
        <v>3153</v>
      </c>
      <c r="C31" s="57" t="s">
        <v>44</v>
      </c>
      <c r="D31" s="56" t="s">
        <v>4141</v>
      </c>
      <c r="E31" s="158" t="str">
        <f>HYPERLINK("https://youtu.be/BYquzyroDCY?t=2826","channel 1")</f>
        <v>channel 1</v>
      </c>
    </row>
    <row r="32">
      <c r="A32" s="141"/>
      <c r="B32" s="56" t="s">
        <v>4143</v>
      </c>
      <c r="C32" s="57" t="s">
        <v>220</v>
      </c>
      <c r="D32" s="56" t="s">
        <v>2644</v>
      </c>
      <c r="E32" s="11" t="str">
        <f>HYPERLINK("https://www.youtube.com/watch?v=Z7bqxf8lB4o&amp;feature=youtu.be&amp;t=2803","channel 2")</f>
        <v>channel 2</v>
      </c>
    </row>
    <row r="33">
      <c r="A33" s="141"/>
      <c r="B33" s="56" t="s">
        <v>3153</v>
      </c>
      <c r="C33" s="57" t="s">
        <v>176</v>
      </c>
      <c r="D33" s="56" t="s">
        <v>4142</v>
      </c>
      <c r="E33" s="158" t="str">
        <f>HYPERLINK("https://youtu.be/BYquzyroDCY?t=3752","channel 1")</f>
        <v>channel 1</v>
      </c>
    </row>
    <row r="34">
      <c r="A34" s="141"/>
      <c r="B34" s="56" t="s">
        <v>4143</v>
      </c>
      <c r="C34" s="57" t="s">
        <v>219</v>
      </c>
      <c r="D34" s="56" t="s">
        <v>4141</v>
      </c>
      <c r="E34" s="11" t="str">
        <f>HYPERLINK("https://www.youtube.com/watch?v=Z7bqxf8lB4o&amp;feature=youtu.be&amp;t=3763","channel 2")</f>
        <v>channel 2</v>
      </c>
    </row>
    <row r="35">
      <c r="A35" s="141"/>
      <c r="B35" s="56" t="s">
        <v>4141</v>
      </c>
      <c r="C35" s="57" t="s">
        <v>161</v>
      </c>
      <c r="D35" s="56" t="s">
        <v>2644</v>
      </c>
      <c r="E35" s="158" t="str">
        <f>HYPERLINK("https://youtu.be/BYquzyroDCY?t=4664","channel 1")</f>
        <v>channel 1</v>
      </c>
    </row>
    <row r="36">
      <c r="A36" s="141"/>
      <c r="B36" s="56" t="s">
        <v>4143</v>
      </c>
      <c r="C36" s="57" t="s">
        <v>4138</v>
      </c>
      <c r="D36" s="56" t="s">
        <v>4142</v>
      </c>
      <c r="E36" s="11" t="str">
        <f>HYPERLINK("https://www.youtube.com/watch?v=Z7bqxf8lB4o&amp;feature=youtu.be&amp;t=4719","channel 2")</f>
        <v>channel 2</v>
      </c>
    </row>
    <row r="37">
      <c r="A37" s="141"/>
      <c r="B37" s="56" t="s">
        <v>2644</v>
      </c>
      <c r="C37" s="57" t="s">
        <v>248</v>
      </c>
      <c r="D37" s="56" t="s">
        <v>3153</v>
      </c>
      <c r="E37" s="158" t="str">
        <f>HYPERLINK("https://youtu.be/BYquzyroDCY?t=5602","channel 1")</f>
        <v>channel 1</v>
      </c>
    </row>
    <row r="38">
      <c r="A38" s="141"/>
      <c r="B38" s="56" t="s">
        <v>4141</v>
      </c>
      <c r="C38" s="57" t="s">
        <v>16</v>
      </c>
      <c r="D38" s="56" t="s">
        <v>4142</v>
      </c>
      <c r="E38" s="11" t="str">
        <f>HYPERLINK("https://youtu.be/Z7bqxf8lB4o?t=5708","channel 2")</f>
        <v>channel 2</v>
      </c>
    </row>
    <row r="39">
      <c r="A39" s="141"/>
      <c r="B39" s="56" t="s">
        <v>4143</v>
      </c>
      <c r="C39" s="45" t="s">
        <v>20</v>
      </c>
      <c r="D39" s="56" t="s">
        <v>3153</v>
      </c>
      <c r="E39" s="158" t="str">
        <f>HYPERLINK("https://youtu.be/BYquzyroDCY?t=6478","channel 1")</f>
        <v>channel 1</v>
      </c>
    </row>
    <row r="40">
      <c r="A40" s="141"/>
      <c r="B40" s="56" t="s">
        <v>2644</v>
      </c>
      <c r="C40" s="57" t="s">
        <v>218</v>
      </c>
      <c r="D40" s="56" t="s">
        <v>4142</v>
      </c>
      <c r="E40" s="11" t="str">
        <f>HYPERLINK("https://youtu.be/Z7bqxf8lB4o?t=6663","channel 2")</f>
        <v>channel 2</v>
      </c>
    </row>
    <row r="41">
      <c r="A41" s="141"/>
      <c r="B41" s="56" t="s">
        <v>4141</v>
      </c>
      <c r="C41" s="57" t="s">
        <v>979</v>
      </c>
      <c r="D41" s="56" t="s">
        <v>3153</v>
      </c>
      <c r="E41" s="158" t="str">
        <f>HYPERLINK("https://youtu.be/BYquzyroDCY?t=7432","channel 1")</f>
        <v>channel 1</v>
      </c>
    </row>
    <row r="42">
      <c r="A42" s="141"/>
      <c r="B42" s="56" t="s">
        <v>2644</v>
      </c>
      <c r="C42" s="57" t="s">
        <v>1120</v>
      </c>
      <c r="D42" s="56" t="s">
        <v>4143</v>
      </c>
      <c r="E42" s="11" t="str">
        <f>HYPERLINK("https://youtu.be/Z7bqxf8lB4o?t=7574","channel 2")</f>
        <v>channel 2</v>
      </c>
    </row>
    <row r="43">
      <c r="A43" s="141"/>
      <c r="B43" s="56" t="s">
        <v>4142</v>
      </c>
      <c r="C43" s="57" t="s">
        <v>17</v>
      </c>
      <c r="D43" s="56" t="s">
        <v>3153</v>
      </c>
      <c r="E43" s="158" t="str">
        <f>HYPERLINK("https://youtu.be/BYquzyroDCY?t=8335","channel 1")</f>
        <v>channel 1</v>
      </c>
    </row>
    <row r="44">
      <c r="A44" s="141"/>
      <c r="B44" s="56" t="s">
        <v>4141</v>
      </c>
      <c r="C44" s="57" t="s">
        <v>248</v>
      </c>
      <c r="D44" s="56" t="s">
        <v>4143</v>
      </c>
      <c r="E44" s="11" t="str">
        <f>HYPERLINK("https://youtu.be/Z7bqxf8lB4o?t=8481","channel 2")</f>
        <v>channel 2</v>
      </c>
    </row>
    <row r="45">
      <c r="A45" s="141"/>
      <c r="B45" s="96" t="s">
        <v>4144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4145</v>
      </c>
      <c r="C47" s="57" t="s">
        <v>819</v>
      </c>
      <c r="D47" s="56" t="s">
        <v>4146</v>
      </c>
      <c r="E47" s="158" t="str">
        <f>HYPERLINK("https://youtu.be/PJ1Tam59QKk","channel 1")</f>
        <v>channel 1</v>
      </c>
    </row>
    <row r="48">
      <c r="A48" s="141"/>
      <c r="B48" s="56" t="s">
        <v>3437</v>
      </c>
      <c r="C48" s="57" t="s">
        <v>27</v>
      </c>
      <c r="D48" s="56" t="s">
        <v>4147</v>
      </c>
      <c r="E48" s="11" t="str">
        <f>HYPERLINK("https://youtu.be/p0e-_8lBIgc","channel 2")</f>
        <v>channel 2</v>
      </c>
    </row>
    <row r="49">
      <c r="A49" s="141"/>
      <c r="B49" s="56" t="s">
        <v>4148</v>
      </c>
      <c r="C49" s="57" t="s">
        <v>181</v>
      </c>
      <c r="D49" s="56" t="s">
        <v>4145</v>
      </c>
      <c r="E49" s="158" t="str">
        <f>HYPERLINK("https://youtu.be/PJ1Tam59QKk?t=1669","channel 1")</f>
        <v>channel 1</v>
      </c>
    </row>
    <row r="50">
      <c r="A50" s="141"/>
      <c r="B50" s="56" t="s">
        <v>3437</v>
      </c>
      <c r="C50" s="57" t="s">
        <v>162</v>
      </c>
      <c r="D50" s="56" t="s">
        <v>4146</v>
      </c>
      <c r="E50" s="11" t="str">
        <f>HYPERLINK("https://youtu.be/p0e-_8lBIgc?t=3212","channel 2")</f>
        <v>channel 2</v>
      </c>
    </row>
    <row r="51">
      <c r="A51" s="141"/>
      <c r="B51" s="56" t="s">
        <v>4148</v>
      </c>
      <c r="C51" s="57" t="s">
        <v>292</v>
      </c>
      <c r="D51" s="56" t="s">
        <v>4147</v>
      </c>
      <c r="E51" s="158" t="str">
        <f>HYPERLINK("https://youtu.be/PJ1Tam59QKk?t=2613","channel 1")</f>
        <v>channel 1</v>
      </c>
    </row>
    <row r="52">
      <c r="A52" s="141"/>
      <c r="B52" s="56" t="s">
        <v>3437</v>
      </c>
      <c r="C52" s="57" t="s">
        <v>271</v>
      </c>
      <c r="D52" s="56" t="s">
        <v>4145</v>
      </c>
      <c r="E52" s="11" t="str">
        <f>HYPERLINK("https://youtu.be/p0e-_8lBIgc?t=4146","channel 2")</f>
        <v>channel 2</v>
      </c>
    </row>
    <row r="53">
      <c r="A53" s="141"/>
      <c r="B53" s="56" t="s">
        <v>4148</v>
      </c>
      <c r="C53" s="57" t="s">
        <v>162</v>
      </c>
      <c r="D53" s="56" t="s">
        <v>4146</v>
      </c>
      <c r="E53" s="158" t="str">
        <f>HYPERLINK("https://youtu.be/PJ1Tam59QKk?t=3578","channel 1")</f>
        <v>channel 1</v>
      </c>
    </row>
    <row r="54">
      <c r="A54" s="141"/>
      <c r="B54" s="56" t="s">
        <v>4147</v>
      </c>
      <c r="C54" s="57" t="s">
        <v>184</v>
      </c>
      <c r="D54" s="56" t="s">
        <v>4145</v>
      </c>
      <c r="E54" s="11" t="str">
        <f>HYPERLINK("https://youtu.be/p0e-_8lBIgc?t=5136","channel 2")</f>
        <v>channel 2</v>
      </c>
    </row>
    <row r="55">
      <c r="A55" s="141"/>
      <c r="B55" s="56" t="s">
        <v>4148</v>
      </c>
      <c r="C55" s="57" t="s">
        <v>418</v>
      </c>
      <c r="D55" s="56" t="s">
        <v>3437</v>
      </c>
      <c r="E55" s="158" t="str">
        <f>HYPERLINK("https://youtu.be/PJ1Tam59QKk?t=4501","channel 1")</f>
        <v>channel 1</v>
      </c>
    </row>
    <row r="56">
      <c r="A56" s="141"/>
      <c r="B56" s="56" t="s">
        <v>4147</v>
      </c>
      <c r="C56" s="57" t="s">
        <v>175</v>
      </c>
      <c r="D56" s="56" t="s">
        <v>4146</v>
      </c>
      <c r="E56" s="11" t="str">
        <f>HYPERLINK("https://youtu.be/p0e-_8lBIgc?t=6072","channel 2")</f>
        <v>channel 2</v>
      </c>
    </row>
    <row r="57">
      <c r="A57" s="141"/>
      <c r="B57" s="56" t="s">
        <v>4146</v>
      </c>
      <c r="C57" s="57" t="s">
        <v>334</v>
      </c>
      <c r="D57" s="56" t="s">
        <v>4145</v>
      </c>
      <c r="E57" s="158" t="str">
        <f>HYPERLINK("https://youtu.be/PJ1Tam59QKk?t=5412","channel 1")</f>
        <v>channel 1</v>
      </c>
    </row>
    <row r="58">
      <c r="A58" s="141"/>
      <c r="B58" s="56" t="s">
        <v>4147</v>
      </c>
      <c r="C58" s="57" t="s">
        <v>327</v>
      </c>
      <c r="D58" s="56" t="s">
        <v>3437</v>
      </c>
      <c r="E58" s="11" t="str">
        <f>HYPERLINK("https://youtu.be/p0e-_8lBIgc?t=7035","channel 2")</f>
        <v>channel 2</v>
      </c>
    </row>
    <row r="59">
      <c r="A59" s="141"/>
      <c r="B59" s="56" t="s">
        <v>4145</v>
      </c>
      <c r="C59" s="81" t="s">
        <v>668</v>
      </c>
      <c r="D59" s="56" t="s">
        <v>4148</v>
      </c>
      <c r="E59" s="164" t="s">
        <v>9</v>
      </c>
    </row>
    <row r="60">
      <c r="A60" s="141"/>
      <c r="B60" s="56" t="s">
        <v>4146</v>
      </c>
      <c r="C60" s="81" t="s">
        <v>668</v>
      </c>
      <c r="D60" s="56" t="s">
        <v>3437</v>
      </c>
      <c r="E60" s="125" t="s">
        <v>13</v>
      </c>
    </row>
    <row r="61">
      <c r="A61" s="141"/>
      <c r="B61" s="56" t="s">
        <v>4147</v>
      </c>
      <c r="C61" s="81" t="s">
        <v>668</v>
      </c>
      <c r="D61" s="56" t="s">
        <v>4148</v>
      </c>
      <c r="E61" s="164" t="s">
        <v>9</v>
      </c>
    </row>
    <row r="62">
      <c r="A62" s="141"/>
      <c r="B62" s="56" t="s">
        <v>4145</v>
      </c>
      <c r="C62" s="81" t="s">
        <v>668</v>
      </c>
      <c r="D62" s="56" t="s">
        <v>3437</v>
      </c>
      <c r="E62" s="125" t="s">
        <v>13</v>
      </c>
    </row>
    <row r="63">
      <c r="A63" s="141"/>
      <c r="B63" s="56" t="s">
        <v>4146</v>
      </c>
      <c r="C63" s="81" t="s">
        <v>668</v>
      </c>
      <c r="D63" s="56" t="s">
        <v>4148</v>
      </c>
      <c r="E63" s="164" t="s">
        <v>9</v>
      </c>
    </row>
    <row r="64">
      <c r="A64" s="141"/>
      <c r="B64" s="56" t="s">
        <v>4145</v>
      </c>
      <c r="C64" s="81" t="s">
        <v>668</v>
      </c>
      <c r="D64" s="56" t="s">
        <v>4147</v>
      </c>
      <c r="E64" s="125" t="s">
        <v>13</v>
      </c>
    </row>
    <row r="65">
      <c r="A65" s="141"/>
      <c r="B65" s="56" t="s">
        <v>3437</v>
      </c>
      <c r="C65" s="81" t="s">
        <v>668</v>
      </c>
      <c r="D65" s="56" t="s">
        <v>4148</v>
      </c>
      <c r="E65" s="164" t="s">
        <v>9</v>
      </c>
    </row>
    <row r="66">
      <c r="A66" s="141"/>
      <c r="B66" s="56" t="s">
        <v>4146</v>
      </c>
      <c r="C66" s="81" t="s">
        <v>668</v>
      </c>
      <c r="D66" s="56" t="s">
        <v>4147</v>
      </c>
      <c r="E66" s="125" t="s">
        <v>13</v>
      </c>
    </row>
    <row r="67">
      <c r="A67" s="141"/>
      <c r="B67" s="96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4134</v>
      </c>
      <c r="C69" s="57" t="s">
        <v>210</v>
      </c>
      <c r="D69" s="56" t="s">
        <v>1847</v>
      </c>
      <c r="E69" s="158" t="str">
        <f>HYPERLINK("https://youtu.be/zlKmJqit2fY","channel 1")</f>
        <v>channel 1</v>
      </c>
    </row>
    <row r="70">
      <c r="A70" s="141"/>
      <c r="B70" s="56" t="s">
        <v>4046</v>
      </c>
      <c r="C70" s="57" t="s">
        <v>166</v>
      </c>
      <c r="D70" s="56" t="s">
        <v>4149</v>
      </c>
      <c r="E70" s="11" t="str">
        <f>HYPERLINK("https://youtu.be/GmoMCbFn1G4","channel 2")</f>
        <v>channel 2</v>
      </c>
    </row>
    <row r="71">
      <c r="A71" s="141"/>
      <c r="B71" s="56" t="s">
        <v>135</v>
      </c>
      <c r="C71" s="57" t="s">
        <v>421</v>
      </c>
      <c r="D71" s="56" t="s">
        <v>4134</v>
      </c>
      <c r="E71" s="158" t="str">
        <f>HYPERLINK("https://youtu.be/zlKmJqit2fY?t=996","channel 1")</f>
        <v>channel 1</v>
      </c>
    </row>
    <row r="72">
      <c r="A72" s="141"/>
      <c r="B72" s="56" t="s">
        <v>4046</v>
      </c>
      <c r="C72" s="57" t="s">
        <v>279</v>
      </c>
      <c r="D72" s="56" t="s">
        <v>1847</v>
      </c>
      <c r="E72" s="11" t="str">
        <f>HYPERLINK("https://youtu.be/GmoMCbFn1G4?t=1072","channel 2")</f>
        <v>channel 2</v>
      </c>
    </row>
    <row r="73">
      <c r="A73" s="141"/>
      <c r="B73" s="56" t="s">
        <v>135</v>
      </c>
      <c r="C73" s="57" t="s">
        <v>250</v>
      </c>
      <c r="D73" s="56" t="s">
        <v>4149</v>
      </c>
      <c r="E73" s="158" t="str">
        <f>HYPERLINK("https://youtu.be/zlKmJqit2fY?t=1941","channel 1")</f>
        <v>channel 1</v>
      </c>
    </row>
    <row r="74">
      <c r="A74" s="141"/>
      <c r="B74" s="56" t="s">
        <v>4046</v>
      </c>
      <c r="C74" s="57" t="s">
        <v>257</v>
      </c>
      <c r="D74" s="56" t="s">
        <v>4134</v>
      </c>
      <c r="E74" s="11" t="str">
        <f>HYPERLINK("https://youtu.be/GmoMCbFn1G4?t=1964","channel 2")</f>
        <v>channel 2</v>
      </c>
    </row>
    <row r="75">
      <c r="A75" s="141"/>
      <c r="B75" s="56" t="s">
        <v>135</v>
      </c>
      <c r="C75" s="57" t="s">
        <v>1314</v>
      </c>
      <c r="D75" s="56" t="s">
        <v>1847</v>
      </c>
      <c r="E75" s="158" t="str">
        <f>HYPERLINK("https://youtu.be/zlKmJqit2fY?t=2935","channel 1")</f>
        <v>channel 1</v>
      </c>
    </row>
    <row r="76">
      <c r="A76" s="141"/>
      <c r="B76" s="56" t="s">
        <v>4149</v>
      </c>
      <c r="C76" s="57" t="s">
        <v>208</v>
      </c>
      <c r="D76" s="56" t="s">
        <v>4134</v>
      </c>
      <c r="E76" s="11" t="str">
        <f>HYPERLINK("https://youtu.be/GmoMCbFn1G4?t=2938","channel 2")</f>
        <v>channel 2</v>
      </c>
    </row>
    <row r="77">
      <c r="A77" s="141"/>
      <c r="B77" s="56" t="s">
        <v>135</v>
      </c>
      <c r="C77" s="57" t="s">
        <v>292</v>
      </c>
      <c r="D77" s="56" t="s">
        <v>4046</v>
      </c>
      <c r="E77" s="158" t="str">
        <f>HYPERLINK("https://youtu.be/zlKmJqit2fY?t=3900","channel 1")</f>
        <v>channel 1</v>
      </c>
    </row>
    <row r="78">
      <c r="A78" s="141"/>
      <c r="B78" s="56" t="s">
        <v>4149</v>
      </c>
      <c r="C78" s="57" t="s">
        <v>2962</v>
      </c>
      <c r="D78" s="56" t="s">
        <v>1847</v>
      </c>
      <c r="E78" s="11" t="str">
        <f>HYPERLINK("https://youtu.be/GmoMCbFn1G4?t=3853","channel 2")</f>
        <v>channel 2</v>
      </c>
    </row>
    <row r="79">
      <c r="A79" s="141"/>
      <c r="B79" s="56" t="s">
        <v>1847</v>
      </c>
      <c r="C79" s="57" t="s">
        <v>194</v>
      </c>
      <c r="D79" s="56" t="s">
        <v>4134</v>
      </c>
      <c r="E79" s="158" t="str">
        <f>HYPERLINK("https://youtu.be/zlKmJqit2fY?t=4818","channel 1")</f>
        <v>channel 1</v>
      </c>
    </row>
    <row r="80">
      <c r="A80" s="141"/>
      <c r="B80" s="56" t="s">
        <v>4149</v>
      </c>
      <c r="C80" s="57" t="s">
        <v>194</v>
      </c>
      <c r="D80" s="56" t="s">
        <v>4046</v>
      </c>
      <c r="E80" s="11" t="str">
        <f>HYPERLINK("https://youtu.be/GmoMCbFn1G4?t=4827","channel 2")</f>
        <v>channel 2</v>
      </c>
    </row>
    <row r="81">
      <c r="A81" s="141"/>
      <c r="B81" s="56" t="s">
        <v>4134</v>
      </c>
      <c r="C81" s="57" t="s">
        <v>219</v>
      </c>
      <c r="D81" s="56" t="s">
        <v>135</v>
      </c>
      <c r="E81" s="158" t="str">
        <f>HYPERLINK("https://youtu.be/zlKmJqit2fY?t=5750","channel 1")</f>
        <v>channel 1</v>
      </c>
    </row>
    <row r="82">
      <c r="A82" s="141"/>
      <c r="B82" s="56" t="s">
        <v>1847</v>
      </c>
      <c r="C82" s="57" t="s">
        <v>1444</v>
      </c>
      <c r="D82" s="56" t="s">
        <v>4046</v>
      </c>
      <c r="E82" s="11" t="str">
        <f>HYPERLINK("https://youtu.be/GmoMCbFn1G4?t=5826","channel 2")</f>
        <v>channel 2</v>
      </c>
    </row>
    <row r="83">
      <c r="A83" s="141"/>
      <c r="B83" s="56" t="s">
        <v>4149</v>
      </c>
      <c r="C83" s="57" t="s">
        <v>362</v>
      </c>
      <c r="D83" s="56" t="s">
        <v>135</v>
      </c>
      <c r="E83" s="158" t="str">
        <f>HYPERLINK("https://youtu.be/zlKmJqit2fY?t=6730","channel 1")</f>
        <v>channel 1</v>
      </c>
    </row>
    <row r="84">
      <c r="A84" s="141"/>
      <c r="B84" s="56" t="s">
        <v>4134</v>
      </c>
      <c r="C84" s="57" t="s">
        <v>357</v>
      </c>
      <c r="D84" s="56" t="s">
        <v>4046</v>
      </c>
      <c r="E84" s="11" t="str">
        <f>HYPERLINK("https://youtu.be/GmoMCbFn1G4?t=6808","channel 2")</f>
        <v>channel 2</v>
      </c>
    </row>
    <row r="85">
      <c r="A85" s="141"/>
      <c r="B85" s="56" t="s">
        <v>1847</v>
      </c>
      <c r="C85" s="57" t="s">
        <v>357</v>
      </c>
      <c r="D85" s="56" t="s">
        <v>135</v>
      </c>
      <c r="E85" s="158" t="str">
        <f>HYPERLINK("https://youtu.be/zlKmJqit2fY?t=7674","channel 1")</f>
        <v>channel 1</v>
      </c>
    </row>
    <row r="86">
      <c r="A86" s="141"/>
      <c r="B86" s="56" t="s">
        <v>4134</v>
      </c>
      <c r="C86" s="57" t="s">
        <v>165</v>
      </c>
      <c r="D86" s="56" t="s">
        <v>4149</v>
      </c>
      <c r="E86" s="11" t="str">
        <f>HYPERLINK("https://youtu.be/GmoMCbFn1G4?t=7707","channel 2")</f>
        <v>channel 2</v>
      </c>
    </row>
    <row r="87">
      <c r="A87" s="141"/>
      <c r="B87" s="56" t="s">
        <v>4046</v>
      </c>
      <c r="C87" s="57" t="s">
        <v>1120</v>
      </c>
      <c r="D87" s="56" t="s">
        <v>135</v>
      </c>
      <c r="E87" s="158" t="str">
        <f>HYPERLINK("https://youtu.be/zlKmJqit2fY?t=8687","channel 1")</f>
        <v>channel 1</v>
      </c>
    </row>
    <row r="88">
      <c r="A88" s="145"/>
      <c r="B88" s="56" t="s">
        <v>1847</v>
      </c>
      <c r="C88" s="57" t="s">
        <v>1510</v>
      </c>
      <c r="D88" s="56" t="s">
        <v>4149</v>
      </c>
      <c r="E88" s="11" t="str">
        <f>HYPERLINK("https://youtu.be/GmoMCbFn1G4?t=8689","channel 2")</f>
        <v>channel 2</v>
      </c>
    </row>
    <row r="89">
      <c r="B89" s="96" t="s">
        <v>2674</v>
      </c>
      <c r="C89" s="2"/>
      <c r="D89" s="3"/>
      <c r="E89" s="161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56" t="s">
        <v>4150</v>
      </c>
      <c r="C91" s="57" t="s">
        <v>218</v>
      </c>
      <c r="D91" s="56" t="s">
        <v>4151</v>
      </c>
      <c r="E91" s="158" t="str">
        <f>HYPERLINK("https://youtu.be/2VKV_uos8RE","channel 1")</f>
        <v>channel 1</v>
      </c>
    </row>
    <row r="92">
      <c r="B92" s="56" t="s">
        <v>4152</v>
      </c>
      <c r="C92" s="57" t="s">
        <v>155</v>
      </c>
      <c r="D92" s="56" t="s">
        <v>2409</v>
      </c>
      <c r="E92" s="11" t="str">
        <f>HYPERLINK("https://youtu.be/otCtV0nZoyQ","channel 2")</f>
        <v>channel 2</v>
      </c>
    </row>
    <row r="93">
      <c r="B93" s="56" t="s">
        <v>4153</v>
      </c>
      <c r="C93" s="57" t="s">
        <v>302</v>
      </c>
      <c r="D93" s="56" t="s">
        <v>4150</v>
      </c>
      <c r="E93" s="158" t="str">
        <f>HYPERLINK("https://youtu.be/2VKV_uos8RE?t=876","channel 1")</f>
        <v>channel 1</v>
      </c>
    </row>
    <row r="94">
      <c r="B94" s="56" t="s">
        <v>4152</v>
      </c>
      <c r="C94" s="57" t="s">
        <v>23</v>
      </c>
      <c r="D94" s="56" t="s">
        <v>4151</v>
      </c>
      <c r="E94" s="11" t="str">
        <f>HYPERLINK("https://youtu.be/otCtV0nZoyQ?t=910","channel 2")</f>
        <v>channel 2</v>
      </c>
    </row>
    <row r="95">
      <c r="B95" s="56" t="s">
        <v>4153</v>
      </c>
      <c r="C95" s="57" t="s">
        <v>218</v>
      </c>
      <c r="D95" s="56" t="s">
        <v>2409</v>
      </c>
      <c r="E95" s="158" t="str">
        <f>HYPERLINK("https://youtu.be/2VKV_uos8RE?t=1908","channel 1")</f>
        <v>channel 1</v>
      </c>
    </row>
    <row r="96">
      <c r="B96" s="56" t="s">
        <v>4152</v>
      </c>
      <c r="C96" s="57" t="s">
        <v>218</v>
      </c>
      <c r="D96" s="56" t="s">
        <v>4150</v>
      </c>
      <c r="E96" s="11" t="str">
        <f>HYPERLINK("https://youtu.be/otCtV0nZoyQ?t=1811","channel 2")</f>
        <v>channel 2</v>
      </c>
    </row>
    <row r="97">
      <c r="B97" s="56" t="s">
        <v>4153</v>
      </c>
      <c r="C97" s="57" t="s">
        <v>162</v>
      </c>
      <c r="D97" s="56" t="s">
        <v>4151</v>
      </c>
      <c r="E97" s="158" t="str">
        <f>HYPERLINK("https://youtu.be/2VKV_uos8RE?t=2890","channel 1")</f>
        <v>channel 1</v>
      </c>
    </row>
    <row r="98">
      <c r="B98" s="56" t="s">
        <v>2409</v>
      </c>
      <c r="C98" s="57" t="s">
        <v>220</v>
      </c>
      <c r="D98" s="56" t="s">
        <v>4150</v>
      </c>
      <c r="E98" s="11" t="str">
        <f>HYPERLINK("https://youtu.be/otCtV0nZoyQ?t=2852","channel 2")</f>
        <v>channel 2</v>
      </c>
    </row>
    <row r="99">
      <c r="B99" s="56" t="s">
        <v>4153</v>
      </c>
      <c r="C99" s="57" t="s">
        <v>209</v>
      </c>
      <c r="D99" s="56" t="s">
        <v>4152</v>
      </c>
      <c r="E99" s="158" t="str">
        <f>HYPERLINK("https://youtu.be/2VKV_uos8RE?t=3860","channel 1")</f>
        <v>channel 1</v>
      </c>
    </row>
    <row r="100">
      <c r="B100" s="56" t="s">
        <v>2409</v>
      </c>
      <c r="C100" s="57" t="s">
        <v>20</v>
      </c>
      <c r="D100" s="56" t="s">
        <v>4151</v>
      </c>
      <c r="E100" s="11" t="str">
        <f>HYPERLINK("https://youtu.be/otCtV0nZoyQ?t=3787","channel 2")</f>
        <v>channel 2</v>
      </c>
    </row>
    <row r="101">
      <c r="B101" s="56" t="s">
        <v>4151</v>
      </c>
      <c r="C101" s="57" t="s">
        <v>7</v>
      </c>
      <c r="D101" s="56" t="s">
        <v>4150</v>
      </c>
      <c r="E101" s="158" t="str">
        <f>HYPERLINK("https://youtu.be/2VKV_uos8RE?t=4782","channel 1")</f>
        <v>channel 1</v>
      </c>
    </row>
    <row r="102">
      <c r="B102" s="56" t="s">
        <v>2409</v>
      </c>
      <c r="C102" s="57" t="s">
        <v>203</v>
      </c>
      <c r="D102" s="56" t="s">
        <v>4152</v>
      </c>
      <c r="E102" s="11" t="str">
        <f>HYPERLINK("https://youtu.be/otCtV0nZoyQ?t=4700","channel 2")</f>
        <v>channel 2</v>
      </c>
    </row>
    <row r="103">
      <c r="B103" s="56" t="s">
        <v>4150</v>
      </c>
      <c r="C103" s="57" t="s">
        <v>210</v>
      </c>
      <c r="D103" s="56" t="s">
        <v>4153</v>
      </c>
      <c r="E103" s="158" t="str">
        <f>HYPERLINK("https://youtu.be/2VKV_uos8RE?t=5734","channel 1")</f>
        <v>channel 1</v>
      </c>
    </row>
    <row r="104">
      <c r="B104" s="56" t="s">
        <v>4151</v>
      </c>
      <c r="C104" s="57" t="s">
        <v>3069</v>
      </c>
      <c r="D104" s="56" t="s">
        <v>4152</v>
      </c>
      <c r="E104" s="11" t="str">
        <f>HYPERLINK("https://youtu.be/otCtV0nZoyQ?t=5718","channel 2")</f>
        <v>channel 2</v>
      </c>
    </row>
    <row r="105">
      <c r="B105" s="56" t="s">
        <v>2409</v>
      </c>
      <c r="C105" s="57" t="s">
        <v>496</v>
      </c>
      <c r="D105" s="56" t="s">
        <v>4153</v>
      </c>
      <c r="E105" s="158" t="str">
        <f>HYPERLINK("https://youtu.be/2VKV_uos8RE?t=6726","channel 1")</f>
        <v>channel 1</v>
      </c>
    </row>
    <row r="106">
      <c r="B106" s="56" t="s">
        <v>4150</v>
      </c>
      <c r="C106" s="57" t="s">
        <v>418</v>
      </c>
      <c r="D106" s="56" t="s">
        <v>4152</v>
      </c>
      <c r="E106" s="11" t="str">
        <f>HYPERLINK("https://youtu.be/otCtV0nZoyQ?t=6636","channel 2")</f>
        <v>channel 2</v>
      </c>
    </row>
    <row r="107">
      <c r="B107" s="56" t="s">
        <v>4151</v>
      </c>
      <c r="C107" s="57" t="s">
        <v>181</v>
      </c>
      <c r="D107" s="56" t="s">
        <v>4153</v>
      </c>
      <c r="E107" s="158" t="str">
        <f>HYPERLINK("https://youtu.be/2VKV_uos8RE?t=7730","channel 1")</f>
        <v>channel 1</v>
      </c>
    </row>
    <row r="108">
      <c r="B108" s="56" t="s">
        <v>4150</v>
      </c>
      <c r="C108" s="57" t="s">
        <v>251</v>
      </c>
      <c r="D108" s="56" t="s">
        <v>2409</v>
      </c>
      <c r="E108" s="11" t="str">
        <f>HYPERLINK("https://youtu.be/otCtV0nZoyQ?t=7730","channel 2")</f>
        <v>channel 2</v>
      </c>
    </row>
    <row r="109">
      <c r="B109" s="56" t="s">
        <v>4152</v>
      </c>
      <c r="C109" s="57" t="s">
        <v>219</v>
      </c>
      <c r="D109" s="56" t="s">
        <v>4153</v>
      </c>
      <c r="E109" s="158" t="str">
        <f>HYPERLINK("https://youtu.be/2VKV_uos8RE?t=8714","channel 1")</f>
        <v>channel 1</v>
      </c>
    </row>
    <row r="110">
      <c r="B110" s="56" t="s">
        <v>4151</v>
      </c>
      <c r="C110" s="57" t="s">
        <v>209</v>
      </c>
      <c r="D110" s="56" t="s">
        <v>2409</v>
      </c>
      <c r="E110" s="11" t="str">
        <f>HYPERLINK("https://youtu.be/otCtV0nZoyQ?t=8707","channel 2")</f>
        <v>channel 2</v>
      </c>
    </row>
    <row r="111">
      <c r="B111" s="96" t="s">
        <v>2565</v>
      </c>
      <c r="C111" s="2"/>
      <c r="D111" s="3"/>
      <c r="E111" s="161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56" t="s">
        <v>4154</v>
      </c>
      <c r="C113" s="57" t="s">
        <v>163</v>
      </c>
      <c r="D113" s="56" t="s">
        <v>4155</v>
      </c>
      <c r="E113" s="158" t="str">
        <f>HYPERLINK("https://youtu.be/U4nl3MKDt20","channel 1")</f>
        <v>channel 1</v>
      </c>
    </row>
    <row r="114">
      <c r="B114" s="56" t="s">
        <v>3556</v>
      </c>
      <c r="C114" s="57" t="s">
        <v>582</v>
      </c>
      <c r="D114" s="56" t="s">
        <v>1574</v>
      </c>
      <c r="E114" s="11" t="str">
        <f>HYPERLINK("https://youtu.be/PYcUYiHQHkg","channel 2")</f>
        <v>channel 2</v>
      </c>
    </row>
    <row r="115">
      <c r="B115" s="56" t="s">
        <v>4156</v>
      </c>
      <c r="C115" s="57" t="s">
        <v>185</v>
      </c>
      <c r="D115" s="56" t="s">
        <v>4154</v>
      </c>
      <c r="E115" s="158" t="str">
        <f>HYPERLINK("https://youtu.be/U4nl3MKDt20?t=1148","channel 1")</f>
        <v>channel 1</v>
      </c>
    </row>
    <row r="116">
      <c r="B116" s="56" t="s">
        <v>3556</v>
      </c>
      <c r="C116" s="57" t="s">
        <v>180</v>
      </c>
      <c r="D116" s="56" t="s">
        <v>4155</v>
      </c>
      <c r="E116" s="11" t="str">
        <f>HYPERLINK("https://youtu.be/PYcUYiHQHkg?t=389","channel 2")</f>
        <v>channel 2</v>
      </c>
    </row>
    <row r="117">
      <c r="B117" s="56" t="s">
        <v>4156</v>
      </c>
      <c r="C117" s="57" t="s">
        <v>209</v>
      </c>
      <c r="D117" s="56" t="s">
        <v>1574</v>
      </c>
      <c r="E117" s="158" t="str">
        <f>HYPERLINK("https://youtu.be/U4nl3MKDt20?t=2213","channel 1")</f>
        <v>channel 1</v>
      </c>
    </row>
    <row r="118">
      <c r="B118" s="56" t="s">
        <v>3556</v>
      </c>
      <c r="C118" s="57" t="s">
        <v>279</v>
      </c>
      <c r="D118" s="56" t="s">
        <v>4154</v>
      </c>
      <c r="E118" s="11" t="str">
        <f>HYPERLINK("https://youtu.be/PYcUYiHQHkg?t=1483","channel 2")</f>
        <v>channel 2</v>
      </c>
    </row>
    <row r="119">
      <c r="B119" s="56" t="s">
        <v>4156</v>
      </c>
      <c r="C119" s="57" t="s">
        <v>352</v>
      </c>
      <c r="D119" s="56" t="s">
        <v>4155</v>
      </c>
      <c r="E119" s="158" t="str">
        <f>HYPERLINK("https://youtu.be/U4nl3MKDt20?t=3234","channel 1")</f>
        <v>channel 1</v>
      </c>
    </row>
    <row r="120">
      <c r="B120" s="56" t="s">
        <v>1574</v>
      </c>
      <c r="C120" s="57" t="s">
        <v>256</v>
      </c>
      <c r="D120" s="56" t="s">
        <v>4154</v>
      </c>
      <c r="E120" s="11" t="str">
        <f>HYPERLINK("https://youtu.be/PYcUYiHQHkg?t=2601","channel 2")</f>
        <v>channel 2</v>
      </c>
    </row>
    <row r="121">
      <c r="B121" s="56" t="s">
        <v>4156</v>
      </c>
      <c r="C121" s="57" t="s">
        <v>185</v>
      </c>
      <c r="D121" s="56" t="s">
        <v>3556</v>
      </c>
      <c r="E121" s="158" t="str">
        <f>HYPERLINK("https://youtu.be/U4nl3MKDt20?t=4260","channel 1")</f>
        <v>channel 1</v>
      </c>
    </row>
    <row r="122">
      <c r="B122" s="56" t="s">
        <v>1574</v>
      </c>
      <c r="C122" s="57" t="s">
        <v>193</v>
      </c>
      <c r="D122" s="56" t="s">
        <v>4155</v>
      </c>
      <c r="E122" s="11" t="str">
        <f>HYPERLINK("https://youtu.be/PYcUYiHQHkg?t=3621","channel 2")</f>
        <v>channel 2</v>
      </c>
    </row>
    <row r="123">
      <c r="B123" s="56" t="s">
        <v>4155</v>
      </c>
      <c r="C123" s="57" t="s">
        <v>155</v>
      </c>
      <c r="D123" s="56" t="s">
        <v>4154</v>
      </c>
      <c r="E123" s="158" t="str">
        <f>HYPERLINK("https://youtu.be/U4nl3MKDt20?t=5211","channel 1")</f>
        <v>channel 1</v>
      </c>
    </row>
    <row r="124">
      <c r="B124" s="56" t="s">
        <v>1574</v>
      </c>
      <c r="C124" s="57" t="s">
        <v>911</v>
      </c>
      <c r="D124" s="56" t="s">
        <v>3556</v>
      </c>
      <c r="E124" s="11" t="str">
        <f>HYPERLINK("https://youtu.be/PYcUYiHQHkg?t=4559","channel 2")</f>
        <v>channel 2</v>
      </c>
    </row>
    <row r="125">
      <c r="B125" s="56" t="s">
        <v>4154</v>
      </c>
      <c r="C125" s="57" t="s">
        <v>16</v>
      </c>
      <c r="D125" s="56" t="s">
        <v>4156</v>
      </c>
      <c r="E125" s="158" t="str">
        <f>HYPERLINK("https://youtu.be/U4nl3MKDt20?t=6209","channel 1")</f>
        <v>channel 1</v>
      </c>
    </row>
    <row r="126">
      <c r="B126" s="56" t="s">
        <v>4155</v>
      </c>
      <c r="C126" s="57" t="s">
        <v>34</v>
      </c>
      <c r="D126" s="56" t="s">
        <v>3556</v>
      </c>
      <c r="E126" s="11" t="str">
        <f>HYPERLINK("https://youtu.be/PYcUYiHQHkg?t=5509","channel 2")</f>
        <v>channel 2</v>
      </c>
    </row>
    <row r="127">
      <c r="B127" s="56" t="s">
        <v>1574</v>
      </c>
      <c r="C127" s="57" t="s">
        <v>24</v>
      </c>
      <c r="D127" s="56" t="s">
        <v>4156</v>
      </c>
      <c r="E127" s="158" t="str">
        <f>HYPERLINK("https://youtu.be/U4nl3MKDt20?t=7256","channel 1")</f>
        <v>channel 1</v>
      </c>
    </row>
    <row r="128">
      <c r="B128" s="56" t="s">
        <v>4154</v>
      </c>
      <c r="C128" s="57" t="s">
        <v>1227</v>
      </c>
      <c r="D128" s="56" t="s">
        <v>3556</v>
      </c>
      <c r="E128" s="11" t="str">
        <f>HYPERLINK("https://youtu.be/PYcUYiHQHkg?t=6500","channel 2")</f>
        <v>channel 2</v>
      </c>
    </row>
    <row r="129">
      <c r="B129" s="56" t="s">
        <v>4155</v>
      </c>
      <c r="C129" s="57" t="s">
        <v>176</v>
      </c>
      <c r="D129" s="56" t="s">
        <v>4156</v>
      </c>
      <c r="E129" s="158" t="str">
        <f>HYPERLINK("https://youtu.be/U4nl3MKDt20?t=8231","channel 1")</f>
        <v>channel 1</v>
      </c>
    </row>
    <row r="130">
      <c r="B130" s="56" t="s">
        <v>4154</v>
      </c>
      <c r="C130" s="57" t="s">
        <v>395</v>
      </c>
      <c r="D130" s="56" t="s">
        <v>1574</v>
      </c>
      <c r="E130" s="11" t="str">
        <f>HYPERLINK("https://youtu.be/PYcUYiHQHkg?t=7479","channel 2")</f>
        <v>channel 2</v>
      </c>
    </row>
    <row r="131">
      <c r="B131" s="56" t="s">
        <v>3556</v>
      </c>
      <c r="C131" s="57" t="s">
        <v>193</v>
      </c>
      <c r="D131" s="56" t="s">
        <v>4156</v>
      </c>
      <c r="E131" s="158" t="str">
        <f>HYPERLINK("https://youtu.be/U4nl3MKDt20?t=9192","channel 1")</f>
        <v>channel 1</v>
      </c>
    </row>
    <row r="132">
      <c r="B132" s="56" t="s">
        <v>4155</v>
      </c>
      <c r="C132" s="57" t="s">
        <v>366</v>
      </c>
      <c r="D132" s="56" t="s">
        <v>1574</v>
      </c>
      <c r="E132" s="11" t="str">
        <f>HYPERLINK("https://youtu.be/PYcUYiHQHkg?t=8504","channel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2260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1664</v>
      </c>
      <c r="C3" s="57" t="s">
        <v>187</v>
      </c>
      <c r="D3" s="56" t="s">
        <v>3612</v>
      </c>
      <c r="E3" s="158" t="str">
        <f>HYPERLINK("https://youtu.be/s7LAQRtQ8II","channel 1")</f>
        <v>channel 1</v>
      </c>
    </row>
    <row r="4">
      <c r="A4" s="141"/>
      <c r="B4" s="56" t="s">
        <v>235</v>
      </c>
      <c r="C4" s="57" t="s">
        <v>227</v>
      </c>
      <c r="D4" s="56" t="s">
        <v>4157</v>
      </c>
      <c r="E4" s="11" t="str">
        <f>HYPERLINK("https://www.youtube.com/watch?v=RpnpO4-ELAQ","channel 2")</f>
        <v>channel 2</v>
      </c>
    </row>
    <row r="5">
      <c r="A5" s="141"/>
      <c r="B5" s="56" t="s">
        <v>4158</v>
      </c>
      <c r="C5" s="57" t="s">
        <v>248</v>
      </c>
      <c r="D5" s="56" t="s">
        <v>1664</v>
      </c>
      <c r="E5" s="158" t="str">
        <f>HYPERLINK("https://youtu.be/O7nvA-CSpnc","channel 1")</f>
        <v>channel 1</v>
      </c>
    </row>
    <row r="6">
      <c r="A6" s="141"/>
      <c r="B6" s="56" t="s">
        <v>235</v>
      </c>
      <c r="C6" s="57" t="s">
        <v>258</v>
      </c>
      <c r="D6" s="56" t="s">
        <v>3612</v>
      </c>
      <c r="E6" s="11" t="str">
        <f>HYPERLINK("https://www.youtube.com/watch?v=g3VeAWmJaSg","channel 2")</f>
        <v>channel 2</v>
      </c>
    </row>
    <row r="7">
      <c r="A7" s="141"/>
      <c r="B7" s="56" t="s">
        <v>4158</v>
      </c>
      <c r="C7" s="57" t="s">
        <v>198</v>
      </c>
      <c r="D7" s="56" t="s">
        <v>4157</v>
      </c>
      <c r="E7" s="158" t="str">
        <f>HYPERLINK("https://youtu.be/4uATkH9BBhQ","channel 1")</f>
        <v>channel 1</v>
      </c>
    </row>
    <row r="8">
      <c r="A8" s="141"/>
      <c r="B8" s="56" t="s">
        <v>235</v>
      </c>
      <c r="C8" s="57" t="s">
        <v>257</v>
      </c>
      <c r="D8" s="56" t="s">
        <v>1664</v>
      </c>
      <c r="E8" s="11" t="str">
        <f>HYPERLINK("https://www.youtube.com/watch?v=Sas_dr7wFaw","channel 2")</f>
        <v>channel 2</v>
      </c>
    </row>
    <row r="9">
      <c r="A9" s="141"/>
      <c r="B9" s="56" t="s">
        <v>4158</v>
      </c>
      <c r="C9" s="57" t="s">
        <v>38</v>
      </c>
      <c r="D9" s="56" t="s">
        <v>3612</v>
      </c>
      <c r="E9" s="158" t="str">
        <f>HYPERLINK("https://youtu.be/zOApIpHBm8M","channel 1")</f>
        <v>channel 1</v>
      </c>
    </row>
    <row r="10">
      <c r="A10" s="141"/>
      <c r="B10" s="56" t="s">
        <v>4157</v>
      </c>
      <c r="C10" s="57" t="s">
        <v>209</v>
      </c>
      <c r="D10" s="56" t="s">
        <v>1664</v>
      </c>
      <c r="E10" s="11" t="str">
        <f>HYPERLINK("https://www.youtube.com/watch?v=pQpHyiHPgD4","channel 2")</f>
        <v>channel 2</v>
      </c>
    </row>
    <row r="11">
      <c r="A11" s="141"/>
      <c r="B11" s="56" t="s">
        <v>4158</v>
      </c>
      <c r="C11" s="57" t="s">
        <v>43</v>
      </c>
      <c r="D11" s="56" t="s">
        <v>235</v>
      </c>
      <c r="E11" s="158" t="str">
        <f>HYPERLINK("https://youtu.be/rz6RbXJbzBI","channel 1")</f>
        <v>channel 1</v>
      </c>
    </row>
    <row r="12">
      <c r="A12" s="141"/>
      <c r="B12" s="56" t="s">
        <v>4157</v>
      </c>
      <c r="C12" s="57" t="s">
        <v>196</v>
      </c>
      <c r="D12" s="56" t="s">
        <v>3612</v>
      </c>
      <c r="E12" s="11" t="str">
        <f>HYPERLINK("https://www.youtube.com/watch?v=5sWpeG8zlyg","channel 2")</f>
        <v>channel 2</v>
      </c>
    </row>
    <row r="13">
      <c r="A13" s="141"/>
      <c r="B13" s="56" t="s">
        <v>3612</v>
      </c>
      <c r="C13" s="57" t="s">
        <v>227</v>
      </c>
      <c r="D13" s="56" t="s">
        <v>1664</v>
      </c>
      <c r="E13" s="158" t="str">
        <f>HYPERLINK("https://youtu.be/oHUVfGVA3kM","channel 1")</f>
        <v>channel 1</v>
      </c>
    </row>
    <row r="14">
      <c r="A14" s="141"/>
      <c r="B14" s="56" t="s">
        <v>4157</v>
      </c>
      <c r="C14" s="57" t="s">
        <v>41</v>
      </c>
      <c r="D14" s="56" t="s">
        <v>235</v>
      </c>
      <c r="E14" s="11" t="str">
        <f>HYPERLINK("https://www.youtube.com/watch?v=86G7rEMz-UM","channel 2")</f>
        <v>channel 2</v>
      </c>
    </row>
    <row r="15">
      <c r="A15" s="141"/>
      <c r="B15" s="56" t="s">
        <v>1664</v>
      </c>
      <c r="C15" s="57" t="s">
        <v>292</v>
      </c>
      <c r="D15" s="56" t="s">
        <v>4158</v>
      </c>
      <c r="E15" s="158" t="str">
        <f>HYPERLINK("https://youtu.be/ynEG65cb0lA","channel 1")</f>
        <v>channel 1</v>
      </c>
    </row>
    <row r="16">
      <c r="A16" s="141"/>
      <c r="B16" s="56" t="s">
        <v>3612</v>
      </c>
      <c r="C16" s="57" t="s">
        <v>173</v>
      </c>
      <c r="D16" s="56" t="s">
        <v>235</v>
      </c>
      <c r="E16" s="11" t="str">
        <f>HYPERLINK("https://youtu.be/AqR7KX3W92c","channel 2")</f>
        <v>channel 2</v>
      </c>
    </row>
    <row r="17">
      <c r="A17" s="141"/>
      <c r="B17" s="56" t="s">
        <v>4157</v>
      </c>
      <c r="C17" s="57" t="s">
        <v>155</v>
      </c>
      <c r="D17" s="56" t="s">
        <v>4158</v>
      </c>
      <c r="E17" s="158" t="str">
        <f>HYPERLINK("https://youtu.be/Usv5vI2R3tA","channel 1")</f>
        <v>channel 1</v>
      </c>
    </row>
    <row r="18">
      <c r="A18" s="141"/>
      <c r="B18" s="56" t="s">
        <v>1664</v>
      </c>
      <c r="C18" s="57" t="s">
        <v>18</v>
      </c>
      <c r="D18" s="56" t="s">
        <v>235</v>
      </c>
      <c r="E18" s="11" t="str">
        <f>HYPERLINK("https://youtu.be/Br9gqNXDcjg","channel 2")</f>
        <v>channel 2</v>
      </c>
    </row>
    <row r="19">
      <c r="A19" s="141"/>
      <c r="B19" s="56" t="s">
        <v>3612</v>
      </c>
      <c r="C19" s="57" t="s">
        <v>354</v>
      </c>
      <c r="D19" s="56" t="s">
        <v>4158</v>
      </c>
      <c r="E19" s="158" t="str">
        <f>HYPERLINK("https://youtu.be/C4qUdr6eRrU","channel 1")</f>
        <v>channel 1</v>
      </c>
    </row>
    <row r="20">
      <c r="A20" s="141"/>
      <c r="B20" s="56" t="s">
        <v>1664</v>
      </c>
      <c r="C20" s="57" t="s">
        <v>18</v>
      </c>
      <c r="D20" s="56" t="s">
        <v>4157</v>
      </c>
      <c r="E20" s="11" t="str">
        <f>HYPERLINK("https://youtu.be/3umzBBFqJ2E","channel 2")</f>
        <v>channel 2</v>
      </c>
    </row>
    <row r="21">
      <c r="A21" s="141"/>
      <c r="B21" s="56" t="s">
        <v>235</v>
      </c>
      <c r="C21" s="57" t="s">
        <v>209</v>
      </c>
      <c r="D21" s="56" t="s">
        <v>4158</v>
      </c>
      <c r="E21" s="158" t="str">
        <f>HYPERLINK("https://youtu.be/gmVJHPk1qA0","channel 1")</f>
        <v>channel 1</v>
      </c>
    </row>
    <row r="22">
      <c r="A22" s="141"/>
      <c r="B22" s="56" t="s">
        <v>3612</v>
      </c>
      <c r="C22" s="57" t="s">
        <v>336</v>
      </c>
      <c r="D22" s="56" t="s">
        <v>4157</v>
      </c>
      <c r="E22" s="11" t="str">
        <f>HYPERLINK("https://youtu.be/5Kef6ebRxDw","channel 2")</f>
        <v>channel 2</v>
      </c>
    </row>
    <row r="23">
      <c r="A23" s="141"/>
      <c r="B23" s="96" t="s">
        <v>4028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4030</v>
      </c>
      <c r="C25" s="57" t="s">
        <v>1121</v>
      </c>
      <c r="D25" s="56" t="s">
        <v>4159</v>
      </c>
      <c r="E25" s="158" t="str">
        <f>HYPERLINK("https://youtu.be/5JNya7NnrhI","channel 1")</f>
        <v>channel 1</v>
      </c>
    </row>
    <row r="26">
      <c r="A26" s="141"/>
      <c r="B26" s="56" t="s">
        <v>4160</v>
      </c>
      <c r="C26" s="57" t="s">
        <v>477</v>
      </c>
      <c r="D26" s="56" t="s">
        <v>2989</v>
      </c>
      <c r="E26" s="11" t="str">
        <f>HYPERLINK("https://youtu.be/YE1SNUCUgJY","channel 2")</f>
        <v>channel 2</v>
      </c>
    </row>
    <row r="27">
      <c r="A27" s="141"/>
      <c r="B27" s="56" t="s">
        <v>788</v>
      </c>
      <c r="C27" s="57" t="s">
        <v>158</v>
      </c>
      <c r="D27" s="56" t="s">
        <v>4030</v>
      </c>
      <c r="E27" s="158" t="str">
        <f>HYPERLINK("https://youtu.be/5JNya7NnrhI?t=1001","channel 1")</f>
        <v>channel 1</v>
      </c>
    </row>
    <row r="28">
      <c r="A28" s="141"/>
      <c r="B28" s="56" t="s">
        <v>4160</v>
      </c>
      <c r="C28" s="57" t="s">
        <v>620</v>
      </c>
      <c r="D28" s="56" t="s">
        <v>4159</v>
      </c>
      <c r="E28" s="11" t="str">
        <f>HYPERLINK("https://youtu.be/YE1SNUCUgJY?t=1027","channel 2")</f>
        <v>channel 2</v>
      </c>
    </row>
    <row r="29">
      <c r="A29" s="141"/>
      <c r="B29" s="56" t="s">
        <v>788</v>
      </c>
      <c r="C29" s="57" t="s">
        <v>20</v>
      </c>
      <c r="D29" s="56" t="s">
        <v>2989</v>
      </c>
      <c r="E29" s="158" t="str">
        <f>HYPERLINK("https://youtu.be/5JNya7NnrhI?t=1932","channel 1")</f>
        <v>channel 1</v>
      </c>
    </row>
    <row r="30">
      <c r="A30" s="141"/>
      <c r="B30" s="56" t="s">
        <v>4160</v>
      </c>
      <c r="C30" s="57" t="s">
        <v>209</v>
      </c>
      <c r="D30" s="56" t="s">
        <v>4030</v>
      </c>
      <c r="E30" s="11" t="str">
        <f>HYPERLINK("https://youtu.be/YE1SNUCUgJY?t=1929","channel 2")</f>
        <v>channel 2</v>
      </c>
    </row>
    <row r="31">
      <c r="A31" s="141"/>
      <c r="B31" s="56" t="s">
        <v>788</v>
      </c>
      <c r="C31" s="57" t="s">
        <v>43</v>
      </c>
      <c r="D31" s="56" t="s">
        <v>4159</v>
      </c>
      <c r="E31" s="158" t="str">
        <f>HYPERLINK("https://youtu.be/5JNya7NnrhI?t=2865","channel 1")</f>
        <v>channel 1</v>
      </c>
    </row>
    <row r="32">
      <c r="A32" s="141"/>
      <c r="B32" s="56" t="s">
        <v>2989</v>
      </c>
      <c r="C32" s="57" t="s">
        <v>16</v>
      </c>
      <c r="D32" s="56" t="s">
        <v>4030</v>
      </c>
      <c r="E32" s="11" t="str">
        <f>HYPERLINK("https://youtu.be/YE1SNUCUgJY?t=2873","channel 2")</f>
        <v>channel 2</v>
      </c>
    </row>
    <row r="33">
      <c r="A33" s="141"/>
      <c r="B33" s="56" t="s">
        <v>788</v>
      </c>
      <c r="C33" s="57" t="s">
        <v>14</v>
      </c>
      <c r="D33" s="56" t="s">
        <v>4160</v>
      </c>
      <c r="E33" s="158" t="str">
        <f>HYPERLINK("https://youtu.be/5JNya7NnrhI?t=3795","channel 1")</f>
        <v>channel 1</v>
      </c>
    </row>
    <row r="34">
      <c r="A34" s="141"/>
      <c r="B34" s="56" t="s">
        <v>2989</v>
      </c>
      <c r="C34" s="57" t="s">
        <v>570</v>
      </c>
      <c r="D34" s="56" t="s">
        <v>4159</v>
      </c>
      <c r="E34" s="11" t="str">
        <f>HYPERLINK("https://youtu.be/YE1SNUCUgJY?t=3814","channel 2")</f>
        <v>channel 2</v>
      </c>
    </row>
    <row r="35">
      <c r="A35" s="141"/>
      <c r="B35" s="56" t="s">
        <v>4159</v>
      </c>
      <c r="C35" s="57" t="s">
        <v>180</v>
      </c>
      <c r="D35" s="56" t="s">
        <v>4030</v>
      </c>
      <c r="E35" s="158" t="str">
        <f>HYPERLINK("https://youtu.be/5JNya7NnrhI?t=4733","channel 1")</f>
        <v>channel 1</v>
      </c>
    </row>
    <row r="36">
      <c r="A36" s="141"/>
      <c r="B36" s="56" t="s">
        <v>2989</v>
      </c>
      <c r="C36" s="57" t="s">
        <v>547</v>
      </c>
      <c r="D36" s="56" t="s">
        <v>4160</v>
      </c>
      <c r="E36" s="11" t="str">
        <f>HYPERLINK("https://youtu.be/YE1SNUCUgJY?t=4762","channel 2")</f>
        <v>channel 2</v>
      </c>
    </row>
    <row r="37">
      <c r="A37" s="141"/>
      <c r="B37" s="56" t="s">
        <v>4030</v>
      </c>
      <c r="C37" s="57" t="s">
        <v>162</v>
      </c>
      <c r="D37" s="56" t="s">
        <v>788</v>
      </c>
      <c r="E37" s="158" t="str">
        <f>HYPERLINK("https://youtu.be/5JNya7NnrhI?t=5703","channel 1")</f>
        <v>channel 1</v>
      </c>
    </row>
    <row r="38">
      <c r="A38" s="141"/>
      <c r="B38" s="56" t="s">
        <v>4159</v>
      </c>
      <c r="C38" s="57" t="s">
        <v>43</v>
      </c>
      <c r="D38" s="56" t="s">
        <v>4160</v>
      </c>
      <c r="E38" s="11" t="str">
        <f>HYPERLINK("https://youtu.be/YE1SNUCUgJY?t=5698","channel 2")</f>
        <v>channel 2</v>
      </c>
    </row>
    <row r="39">
      <c r="A39" s="141"/>
      <c r="B39" s="56" t="s">
        <v>2989</v>
      </c>
      <c r="C39" s="45" t="s">
        <v>302</v>
      </c>
      <c r="D39" s="56" t="s">
        <v>788</v>
      </c>
      <c r="E39" s="158" t="str">
        <f>HYPERLINK("https://youtu.be/5JNya7NnrhI?t=6649","channel 1")</f>
        <v>channel 1</v>
      </c>
    </row>
    <row r="40">
      <c r="A40" s="141"/>
      <c r="B40" s="56" t="s">
        <v>4030</v>
      </c>
      <c r="C40" s="57" t="s">
        <v>177</v>
      </c>
      <c r="D40" s="56" t="s">
        <v>4160</v>
      </c>
      <c r="E40" s="11" t="str">
        <f>HYPERLINK("https://youtu.be/YE1SNUCUgJY?t=6639","channel 2")</f>
        <v>channel 2</v>
      </c>
    </row>
    <row r="41">
      <c r="A41" s="141"/>
      <c r="B41" s="56" t="s">
        <v>4159</v>
      </c>
      <c r="C41" s="57" t="s">
        <v>227</v>
      </c>
      <c r="D41" s="56" t="s">
        <v>788</v>
      </c>
      <c r="E41" s="158" t="str">
        <f>HYPERLINK("https://youtu.be/5JNya7NnrhI?t=7580","channel 1")</f>
        <v>channel 1</v>
      </c>
    </row>
    <row r="42">
      <c r="A42" s="141"/>
      <c r="B42" s="56" t="s">
        <v>4030</v>
      </c>
      <c r="C42" s="57" t="s">
        <v>162</v>
      </c>
      <c r="D42" s="56" t="s">
        <v>2989</v>
      </c>
      <c r="E42" s="11" t="str">
        <f>HYPERLINK("https://youtu.be/YE1SNUCUgJY?t=7552","channel 2")</f>
        <v>channel 2</v>
      </c>
    </row>
    <row r="43">
      <c r="A43" s="141"/>
      <c r="B43" s="56" t="s">
        <v>4160</v>
      </c>
      <c r="C43" s="57" t="s">
        <v>558</v>
      </c>
      <c r="D43" s="56" t="s">
        <v>788</v>
      </c>
      <c r="E43" s="158" t="str">
        <f>HYPERLINK("https://youtu.be/5JNya7NnrhI?t=8478","channel 1")</f>
        <v>channel 1</v>
      </c>
    </row>
    <row r="44">
      <c r="A44" s="141"/>
      <c r="B44" s="56" t="s">
        <v>4159</v>
      </c>
      <c r="C44" s="57" t="s">
        <v>209</v>
      </c>
      <c r="D44" s="56" t="s">
        <v>2989</v>
      </c>
      <c r="E44" s="11" t="str">
        <f>HYPERLINK("https://youtu.be/YE1SNUCUgJY?t=8514","channel 2")</f>
        <v>channel 2</v>
      </c>
    </row>
    <row r="45">
      <c r="A45" s="141"/>
      <c r="B45" s="96" t="s">
        <v>4144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2272</v>
      </c>
      <c r="C47" s="57" t="s">
        <v>185</v>
      </c>
      <c r="D47" s="56" t="s">
        <v>3962</v>
      </c>
      <c r="E47" s="158" t="str">
        <f>HYPERLINK("https://youtu.be/FDBCxqloXHo","channel 1")</f>
        <v>channel 1</v>
      </c>
    </row>
    <row r="48">
      <c r="A48" s="141"/>
      <c r="B48" s="56" t="s">
        <v>4161</v>
      </c>
      <c r="C48" s="57" t="s">
        <v>193</v>
      </c>
      <c r="D48" s="56" t="s">
        <v>4162</v>
      </c>
      <c r="E48" s="11" t="str">
        <f>HYPERLINK("https://youtu.be/d1jHsS2-KmQ","channel 2")</f>
        <v>channel 2</v>
      </c>
    </row>
    <row r="49">
      <c r="A49" s="141"/>
      <c r="B49" s="56" t="s">
        <v>4163</v>
      </c>
      <c r="C49" s="57" t="s">
        <v>279</v>
      </c>
      <c r="D49" s="56" t="s">
        <v>2272</v>
      </c>
      <c r="E49" s="158" t="str">
        <f>HYPERLINK("https://youtu.be/FDBCxqloXHo?t=1083","channel 1")</f>
        <v>channel 1</v>
      </c>
    </row>
    <row r="50">
      <c r="A50" s="141"/>
      <c r="B50" s="56" t="s">
        <v>4161</v>
      </c>
      <c r="C50" s="57" t="s">
        <v>357</v>
      </c>
      <c r="D50" s="56" t="s">
        <v>3962</v>
      </c>
      <c r="E50" s="11" t="str">
        <f>HYPERLINK("https://youtu.be/d1jHsS2-KmQ?t=1172","channel 2")</f>
        <v>channel 2</v>
      </c>
    </row>
    <row r="51">
      <c r="A51" s="141"/>
      <c r="B51" s="56" t="s">
        <v>4163</v>
      </c>
      <c r="C51" s="57" t="s">
        <v>426</v>
      </c>
      <c r="D51" s="56" t="s">
        <v>4162</v>
      </c>
      <c r="E51" s="158" t="str">
        <f>HYPERLINK("https://youtu.be/FDBCxqloXHo?t=2084","channel 1")</f>
        <v>channel 1</v>
      </c>
    </row>
    <row r="52">
      <c r="A52" s="141"/>
      <c r="B52" s="56" t="s">
        <v>4161</v>
      </c>
      <c r="C52" s="57" t="s">
        <v>173</v>
      </c>
      <c r="D52" s="56" t="s">
        <v>2272</v>
      </c>
      <c r="E52" s="11" t="str">
        <f>HYPERLINK("https://youtu.be/d1jHsS2-KmQ?t=2170","channel 2")</f>
        <v>channel 2</v>
      </c>
    </row>
    <row r="53">
      <c r="A53" s="141"/>
      <c r="B53" s="56" t="s">
        <v>4163</v>
      </c>
      <c r="C53" s="57" t="s">
        <v>14</v>
      </c>
      <c r="D53" s="56" t="s">
        <v>3962</v>
      </c>
      <c r="E53" s="158" t="str">
        <f>HYPERLINK("https://youtu.be/FDBCxqloXHo?t=3042","channel 1")</f>
        <v>channel 1</v>
      </c>
    </row>
    <row r="54">
      <c r="A54" s="141"/>
      <c r="B54" s="56" t="s">
        <v>4162</v>
      </c>
      <c r="C54" s="57" t="s">
        <v>209</v>
      </c>
      <c r="D54" s="56" t="s">
        <v>2272</v>
      </c>
      <c r="E54" s="11" t="str">
        <f>HYPERLINK("https://youtu.be/d1jHsS2-KmQ?t=3130","channel 2")</f>
        <v>channel 2</v>
      </c>
    </row>
    <row r="55">
      <c r="A55" s="141"/>
      <c r="B55" s="56" t="s">
        <v>4163</v>
      </c>
      <c r="C55" s="57" t="s">
        <v>41</v>
      </c>
      <c r="D55" s="56" t="s">
        <v>4161</v>
      </c>
      <c r="E55" s="158" t="str">
        <f>HYPERLINK("https://youtu.be/FDBCxqloXHo?t=4010","channel 1")</f>
        <v>channel 1</v>
      </c>
    </row>
    <row r="56">
      <c r="A56" s="141"/>
      <c r="B56" s="56" t="s">
        <v>4162</v>
      </c>
      <c r="C56" s="57" t="s">
        <v>163</v>
      </c>
      <c r="D56" s="56" t="s">
        <v>3962</v>
      </c>
      <c r="E56" s="11" t="str">
        <f>HYPERLINK("https://youtu.be/d1jHsS2-KmQ?t=4031","channel 2")</f>
        <v>channel 2</v>
      </c>
    </row>
    <row r="57">
      <c r="A57" s="141"/>
      <c r="B57" s="56" t="s">
        <v>3962</v>
      </c>
      <c r="C57" s="57" t="s">
        <v>18</v>
      </c>
      <c r="D57" s="56" t="s">
        <v>2272</v>
      </c>
      <c r="E57" s="158" t="str">
        <f>HYPERLINK("https://youtu.be/FDBCxqloXHo?t=4968","channel 1")</f>
        <v>channel 1</v>
      </c>
    </row>
    <row r="58">
      <c r="A58" s="141"/>
      <c r="B58" s="56" t="s">
        <v>4162</v>
      </c>
      <c r="C58" s="57" t="s">
        <v>248</v>
      </c>
      <c r="D58" s="56" t="s">
        <v>4161</v>
      </c>
      <c r="E58" s="11" t="str">
        <f>HYPERLINK("https://youtu.be/d1jHsS2-KmQ?t=4976","channel 2")</f>
        <v>channel 2</v>
      </c>
    </row>
    <row r="59">
      <c r="A59" s="141"/>
      <c r="B59" s="56" t="s">
        <v>2272</v>
      </c>
      <c r="C59" s="57" t="s">
        <v>163</v>
      </c>
      <c r="D59" s="56" t="s">
        <v>4163</v>
      </c>
      <c r="E59" s="158" t="str">
        <f>HYPERLINK("https://youtu.be/FDBCxqloXHo?t=5983","channel 1")</f>
        <v>channel 1</v>
      </c>
    </row>
    <row r="60">
      <c r="A60" s="141"/>
      <c r="B60" s="56" t="s">
        <v>3962</v>
      </c>
      <c r="C60" s="57" t="s">
        <v>195</v>
      </c>
      <c r="D60" s="56" t="s">
        <v>4161</v>
      </c>
      <c r="E60" s="11" t="str">
        <f>HYPERLINK("https://youtu.be/d1jHsS2-KmQ?t=6067","channel 2")</f>
        <v>channel 2</v>
      </c>
    </row>
    <row r="61">
      <c r="A61" s="141"/>
      <c r="B61" s="56" t="s">
        <v>4162</v>
      </c>
      <c r="C61" s="57" t="s">
        <v>155</v>
      </c>
      <c r="D61" s="56" t="s">
        <v>4163</v>
      </c>
      <c r="E61" s="158" t="str">
        <f>HYPERLINK("https://youtu.be/FDBCxqloXHo?t=6899","channel 1")</f>
        <v>channel 1</v>
      </c>
    </row>
    <row r="62">
      <c r="A62" s="141"/>
      <c r="B62" s="56" t="s">
        <v>2272</v>
      </c>
      <c r="C62" s="45" t="s">
        <v>225</v>
      </c>
      <c r="D62" s="56" t="s">
        <v>4161</v>
      </c>
      <c r="E62" s="11" t="str">
        <f>HYPERLINK("https://youtu.be/d1jHsS2-KmQ?t=6983","channel 2")</f>
        <v>channel 2</v>
      </c>
    </row>
    <row r="63">
      <c r="A63" s="141"/>
      <c r="B63" s="56" t="s">
        <v>3962</v>
      </c>
      <c r="C63" s="57" t="s">
        <v>302</v>
      </c>
      <c r="D63" s="56" t="s">
        <v>4163</v>
      </c>
      <c r="E63" s="158" t="str">
        <f>HYPERLINK("https://youtu.be/FDBCxqloXHo?t=7812","channel 1")</f>
        <v>channel 1</v>
      </c>
    </row>
    <row r="64">
      <c r="A64" s="141"/>
      <c r="B64" s="56" t="s">
        <v>2272</v>
      </c>
      <c r="C64" s="57" t="s">
        <v>38</v>
      </c>
      <c r="D64" s="56" t="s">
        <v>4162</v>
      </c>
      <c r="E64" s="11" t="str">
        <f>HYPERLINK("https://youtu.be/d1jHsS2-KmQ?t=7990","channel 2")</f>
        <v>channel 2</v>
      </c>
    </row>
    <row r="65">
      <c r="A65" s="141"/>
      <c r="B65" s="56" t="s">
        <v>4161</v>
      </c>
      <c r="C65" s="57" t="s">
        <v>1248</v>
      </c>
      <c r="D65" s="56" t="s">
        <v>4163</v>
      </c>
      <c r="E65" s="158" t="str">
        <f>HYPERLINK("https://youtu.be/FDBCxqloXHo?t=8761","channel 1")</f>
        <v>channel 1</v>
      </c>
    </row>
    <row r="66">
      <c r="A66" s="141"/>
      <c r="B66" s="56" t="s">
        <v>3962</v>
      </c>
      <c r="C66" s="57" t="s">
        <v>220</v>
      </c>
      <c r="D66" s="56" t="s">
        <v>4162</v>
      </c>
      <c r="E66" s="11" t="str">
        <f>HYPERLINK("https://youtu.be/d1jHsS2-KmQ?t=8864","channel 2")</f>
        <v>channel 2</v>
      </c>
    </row>
    <row r="67">
      <c r="A67" s="141"/>
      <c r="B67" s="96" t="s">
        <v>1560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4164</v>
      </c>
      <c r="C69" s="57" t="s">
        <v>7</v>
      </c>
      <c r="D69" s="56" t="s">
        <v>4165</v>
      </c>
      <c r="E69" s="158" t="str">
        <f>HYPERLINK("https://youtu.be/8LYk_DHO-fs","channel 1")</f>
        <v>channel 1</v>
      </c>
    </row>
    <row r="70">
      <c r="A70" s="141"/>
      <c r="B70" s="56" t="s">
        <v>3861</v>
      </c>
      <c r="C70" s="57" t="s">
        <v>7</v>
      </c>
      <c r="D70" s="56" t="s">
        <v>1093</v>
      </c>
      <c r="E70" s="11" t="str">
        <f>HYPERLINK("https://youtu.be/7SHPYyLpJBw","channel 2")</f>
        <v>channel 2</v>
      </c>
    </row>
    <row r="71">
      <c r="A71" s="141"/>
      <c r="B71" s="56" t="s">
        <v>1907</v>
      </c>
      <c r="C71" s="57" t="s">
        <v>187</v>
      </c>
      <c r="D71" s="56" t="s">
        <v>4164</v>
      </c>
      <c r="E71" s="158" t="str">
        <f>HYPERLINK("https://youtu.be/8LYk_DHO-fs?t=941","channel 1")</f>
        <v>channel 1</v>
      </c>
    </row>
    <row r="72">
      <c r="A72" s="141"/>
      <c r="B72" s="56" t="s">
        <v>3861</v>
      </c>
      <c r="C72" s="57" t="s">
        <v>171</v>
      </c>
      <c r="D72" s="56" t="s">
        <v>4165</v>
      </c>
      <c r="E72" s="11" t="str">
        <f>HYPERLINK("https://youtu.be/7SHPYyLpJBw?t=927","channel 2")</f>
        <v>channel 2</v>
      </c>
    </row>
    <row r="73">
      <c r="A73" s="141"/>
      <c r="B73" s="56" t="s">
        <v>1907</v>
      </c>
      <c r="C73" s="57" t="s">
        <v>158</v>
      </c>
      <c r="D73" s="56" t="s">
        <v>1093</v>
      </c>
      <c r="E73" s="158" t="str">
        <f>HYPERLINK("https://youtu.be/8LYk_DHO-fs?t=1848","channel 1")</f>
        <v>channel 1</v>
      </c>
    </row>
    <row r="74">
      <c r="A74" s="141"/>
      <c r="B74" s="56" t="s">
        <v>3861</v>
      </c>
      <c r="C74" s="57" t="s">
        <v>344</v>
      </c>
      <c r="D74" s="56" t="s">
        <v>4164</v>
      </c>
      <c r="E74" s="11" t="str">
        <f>HYPERLINK("https://youtu.be/7SHPYyLpJBw?t=1907","channel 2")</f>
        <v>channel 2</v>
      </c>
    </row>
    <row r="75">
      <c r="A75" s="141"/>
      <c r="B75" s="56" t="s">
        <v>1907</v>
      </c>
      <c r="C75" s="57" t="s">
        <v>162</v>
      </c>
      <c r="D75" s="56" t="s">
        <v>4165</v>
      </c>
      <c r="E75" s="158" t="str">
        <f>HYPERLINK("https://youtu.be/8LYk_DHO-fs?t=2830","channel 1")</f>
        <v>channel 1</v>
      </c>
    </row>
    <row r="76">
      <c r="A76" s="141"/>
      <c r="B76" s="56" t="s">
        <v>1093</v>
      </c>
      <c r="C76" s="57" t="s">
        <v>219</v>
      </c>
      <c r="D76" s="56" t="s">
        <v>4164</v>
      </c>
      <c r="E76" s="11" t="str">
        <f>HYPERLINK("https://youtu.be/7SHPYyLpJBw?t=2958","channel 2")</f>
        <v>channel 2</v>
      </c>
    </row>
    <row r="77">
      <c r="A77" s="141"/>
      <c r="B77" s="56" t="s">
        <v>1907</v>
      </c>
      <c r="C77" s="57" t="s">
        <v>335</v>
      </c>
      <c r="D77" s="56" t="s">
        <v>3861</v>
      </c>
      <c r="E77" s="158" t="str">
        <f>HYPERLINK("https://youtu.be/8LYk_DHO-fs?t=3768","channel 1")</f>
        <v>channel 1</v>
      </c>
    </row>
    <row r="78">
      <c r="A78" s="141"/>
      <c r="B78" s="56" t="s">
        <v>1093</v>
      </c>
      <c r="C78" s="57" t="s">
        <v>193</v>
      </c>
      <c r="D78" s="56" t="s">
        <v>4165</v>
      </c>
      <c r="E78" s="11" t="str">
        <f>HYPERLINK("https://youtu.be/7SHPYyLpJBw?t=3859","channel 2")</f>
        <v>channel 2</v>
      </c>
    </row>
    <row r="79">
      <c r="A79" s="141"/>
      <c r="B79" s="56" t="s">
        <v>4165</v>
      </c>
      <c r="C79" s="57" t="s">
        <v>165</v>
      </c>
      <c r="D79" s="56" t="s">
        <v>4164</v>
      </c>
      <c r="E79" s="158" t="str">
        <f>HYPERLINK("https://youtu.be/8LYk_DHO-fs?t=4820","channel 1")</f>
        <v>channel 1</v>
      </c>
    </row>
    <row r="80">
      <c r="A80" s="141"/>
      <c r="B80" s="56" t="s">
        <v>1093</v>
      </c>
      <c r="C80" s="57" t="s">
        <v>248</v>
      </c>
      <c r="D80" s="56" t="s">
        <v>3861</v>
      </c>
      <c r="E80" s="11" t="str">
        <f>HYPERLINK("https://youtu.be/7SHPYyLpJBw?t=4770","channel 2")</f>
        <v>channel 2</v>
      </c>
    </row>
    <row r="81">
      <c r="A81" s="141"/>
      <c r="B81" s="56" t="s">
        <v>4164</v>
      </c>
      <c r="C81" s="57" t="s">
        <v>442</v>
      </c>
      <c r="D81" s="56" t="s">
        <v>1907</v>
      </c>
      <c r="E81" s="158" t="str">
        <f>HYPERLINK("https://youtu.be/8LYk_DHO-fs?t=5720","channel 1")</f>
        <v>channel 1</v>
      </c>
    </row>
    <row r="82">
      <c r="A82" s="141"/>
      <c r="B82" s="56" t="s">
        <v>4165</v>
      </c>
      <c r="C82" s="57" t="s">
        <v>208</v>
      </c>
      <c r="D82" s="56" t="s">
        <v>3861</v>
      </c>
      <c r="E82" s="11" t="str">
        <f>HYPERLINK("https://youtu.be/7SHPYyLpJBw?t=5727","channel 2")</f>
        <v>channel 2</v>
      </c>
    </row>
    <row r="83">
      <c r="A83" s="141"/>
      <c r="B83" s="56" t="s">
        <v>1093</v>
      </c>
      <c r="C83" s="57" t="s">
        <v>209</v>
      </c>
      <c r="D83" s="56" t="s">
        <v>1907</v>
      </c>
      <c r="E83" s="158" t="str">
        <f>HYPERLINK("https://youtu.be/8LYk_DHO-fs?t=6646","channel 1")</f>
        <v>channel 1</v>
      </c>
    </row>
    <row r="84">
      <c r="A84" s="141"/>
      <c r="B84" s="56" t="s">
        <v>4164</v>
      </c>
      <c r="C84" s="57" t="s">
        <v>184</v>
      </c>
      <c r="D84" s="56" t="s">
        <v>3861</v>
      </c>
      <c r="E84" s="11" t="str">
        <f>HYPERLINK("https://youtu.be/7SHPYyLpJBw?t=6708","channel 2")</f>
        <v>channel 2</v>
      </c>
    </row>
    <row r="85">
      <c r="A85" s="141"/>
      <c r="B85" s="56" t="s">
        <v>4165</v>
      </c>
      <c r="C85" s="57" t="s">
        <v>193</v>
      </c>
      <c r="D85" s="56" t="s">
        <v>1907</v>
      </c>
      <c r="E85" s="158" t="str">
        <f>HYPERLINK("https://youtu.be/8LYk_DHO-fs?t=7505","channel 1")</f>
        <v>channel 1</v>
      </c>
    </row>
    <row r="86">
      <c r="A86" s="141"/>
      <c r="B86" s="56" t="s">
        <v>4164</v>
      </c>
      <c r="C86" s="57" t="s">
        <v>193</v>
      </c>
      <c r="D86" s="56" t="s">
        <v>1093</v>
      </c>
      <c r="E86" s="11" t="str">
        <f>HYPERLINK("https://youtu.be/7SHPYyLpJBw?t=7686","channel 2")</f>
        <v>channel 2</v>
      </c>
    </row>
    <row r="87">
      <c r="A87" s="141"/>
      <c r="B87" s="56" t="s">
        <v>3861</v>
      </c>
      <c r="C87" s="57" t="s">
        <v>581</v>
      </c>
      <c r="D87" s="56" t="s">
        <v>1907</v>
      </c>
      <c r="E87" s="158" t="str">
        <f>HYPERLINK("https://youtu.be/8LYk_DHO-fs?t=8404","channel 1")</f>
        <v>channel 1</v>
      </c>
    </row>
    <row r="88">
      <c r="A88" s="145"/>
      <c r="B88" s="56" t="s">
        <v>4165</v>
      </c>
      <c r="C88" s="57" t="s">
        <v>162</v>
      </c>
      <c r="D88" s="56" t="s">
        <v>1093</v>
      </c>
      <c r="E88" s="11" t="str">
        <f>HYPERLINK("https://youtu.be/7SHPYyLpJBw?t=8593","channel 2")</f>
        <v>channel 2</v>
      </c>
    </row>
    <row r="89">
      <c r="B89" s="96" t="s">
        <v>1566</v>
      </c>
      <c r="C89" s="2"/>
      <c r="D89" s="3"/>
      <c r="E89" s="161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56" t="s">
        <v>4166</v>
      </c>
      <c r="C91" s="57" t="s">
        <v>210</v>
      </c>
      <c r="D91" s="56" t="s">
        <v>4151</v>
      </c>
      <c r="E91" s="158" t="str">
        <f>HYPERLINK("https://youtu.be/c0s5EatGHIc","channel 1")</f>
        <v>channel 1</v>
      </c>
    </row>
    <row r="92">
      <c r="B92" s="56" t="s">
        <v>4045</v>
      </c>
      <c r="C92" s="57" t="s">
        <v>545</v>
      </c>
      <c r="D92" s="56" t="s">
        <v>1723</v>
      </c>
      <c r="E92" s="11" t="str">
        <f>HYPERLINK("https://youtu.be/pe78QkrrK5o","channel 2")</f>
        <v>channel 2</v>
      </c>
    </row>
    <row r="93">
      <c r="B93" s="56" t="s">
        <v>4167</v>
      </c>
      <c r="C93" s="57" t="s">
        <v>442</v>
      </c>
      <c r="D93" s="56" t="s">
        <v>4166</v>
      </c>
      <c r="E93" s="158" t="str">
        <f>HYPERLINK("https://youtu.be/c0s5EatGHIc?t=928","channel 1")</f>
        <v>channel 1</v>
      </c>
    </row>
    <row r="94">
      <c r="B94" s="56" t="s">
        <v>4045</v>
      </c>
      <c r="C94" s="57" t="s">
        <v>1107</v>
      </c>
      <c r="D94" s="56" t="s">
        <v>4151</v>
      </c>
      <c r="E94" s="11" t="str">
        <f>HYPERLINK("https://youtu.be/pe78QkrrK5o?t=964","channel 2")</f>
        <v>channel 2</v>
      </c>
    </row>
    <row r="95">
      <c r="B95" s="56" t="s">
        <v>4167</v>
      </c>
      <c r="C95" s="57" t="s">
        <v>257</v>
      </c>
      <c r="D95" s="56" t="s">
        <v>1723</v>
      </c>
      <c r="E95" s="158" t="str">
        <f>HYPERLINK("https://youtu.be/c0s5EatGHIc","channel 1")</f>
        <v>channel 1</v>
      </c>
    </row>
    <row r="96">
      <c r="B96" s="56" t="s">
        <v>4045</v>
      </c>
      <c r="C96" s="57" t="s">
        <v>290</v>
      </c>
      <c r="D96" s="56" t="s">
        <v>4166</v>
      </c>
      <c r="E96" s="11" t="str">
        <f>HYPERLINK("https://youtu.be/pe78QkrrK5o?t=1926","channel 2")</f>
        <v>channel 2</v>
      </c>
    </row>
    <row r="97">
      <c r="B97" s="56" t="s">
        <v>4167</v>
      </c>
      <c r="C97" s="57" t="s">
        <v>298</v>
      </c>
      <c r="D97" s="56" t="s">
        <v>4151</v>
      </c>
      <c r="E97" s="158" t="str">
        <f>HYPERLINK("https://youtu.be/c0s5EatGHIc","channel 1")</f>
        <v>channel 1</v>
      </c>
    </row>
    <row r="98">
      <c r="B98" s="56" t="s">
        <v>1723</v>
      </c>
      <c r="C98" s="57" t="s">
        <v>4168</v>
      </c>
      <c r="D98" s="56" t="s">
        <v>4166</v>
      </c>
      <c r="E98" s="11" t="str">
        <f>HYPERLINK("https://youtu.be/pe78QkrrK5o?t=2881","channel 2")</f>
        <v>channel 2</v>
      </c>
    </row>
    <row r="99">
      <c r="B99" s="56" t="s">
        <v>4167</v>
      </c>
      <c r="C99" s="57" t="s">
        <v>250</v>
      </c>
      <c r="D99" s="56" t="s">
        <v>4045</v>
      </c>
      <c r="E99" s="158" t="str">
        <f>HYPERLINK("https://youtu.be/c0s5EatGHIc?t=3773","channel 1")</f>
        <v>channel 1</v>
      </c>
    </row>
    <row r="100">
      <c r="B100" s="56" t="s">
        <v>1723</v>
      </c>
      <c r="C100" s="57" t="s">
        <v>44</v>
      </c>
      <c r="D100" s="56" t="s">
        <v>4151</v>
      </c>
      <c r="E100" s="11" t="str">
        <f>HYPERLINK("https://youtu.be/pe78QkrrK5o?t=3840","channel 2")</f>
        <v>channel 2</v>
      </c>
    </row>
    <row r="101">
      <c r="B101" s="56" t="s">
        <v>4151</v>
      </c>
      <c r="C101" s="57" t="s">
        <v>802</v>
      </c>
      <c r="D101" s="56" t="s">
        <v>4166</v>
      </c>
      <c r="E101" s="158" t="str">
        <f>HYPERLINK("https://youtu.be/c0s5EatGHIc?t=4761","channel 1")</f>
        <v>channel 1</v>
      </c>
    </row>
    <row r="102">
      <c r="B102" s="56" t="s">
        <v>1723</v>
      </c>
      <c r="C102" s="57" t="s">
        <v>281</v>
      </c>
      <c r="D102" s="56" t="s">
        <v>4045</v>
      </c>
      <c r="E102" s="11" t="str">
        <f>HYPERLINK("https://youtu.be/pe78QkrrK5o?t=4787","channel 2")</f>
        <v>channel 2</v>
      </c>
    </row>
    <row r="103">
      <c r="B103" s="56" t="s">
        <v>4166</v>
      </c>
      <c r="C103" s="57" t="s">
        <v>442</v>
      </c>
      <c r="D103" s="56" t="s">
        <v>4167</v>
      </c>
      <c r="E103" s="158" t="str">
        <f>HYPERLINK("https://youtu.be/c0s5EatGHIc?t=5715","channel 1")</f>
        <v>channel 1</v>
      </c>
    </row>
    <row r="104">
      <c r="B104" s="56" t="s">
        <v>4151</v>
      </c>
      <c r="C104" s="57" t="s">
        <v>23</v>
      </c>
      <c r="D104" s="56" t="s">
        <v>4045</v>
      </c>
      <c r="E104" s="11" t="str">
        <f>HYPERLINK("https://youtu.be/pe78QkrrK5o?t=5721","channel 2")</f>
        <v>channel 2</v>
      </c>
    </row>
    <row r="105">
      <c r="B105" s="56" t="s">
        <v>1723</v>
      </c>
      <c r="C105" s="57" t="s">
        <v>164</v>
      </c>
      <c r="D105" s="56" t="s">
        <v>4167</v>
      </c>
      <c r="E105" s="158" t="str">
        <f>HYPERLINK("https://youtu.be/c0s5EatGHIc?t=6701","channel 1")</f>
        <v>channel 1</v>
      </c>
    </row>
    <row r="106">
      <c r="B106" s="56" t="s">
        <v>4166</v>
      </c>
      <c r="C106" s="57" t="s">
        <v>158</v>
      </c>
      <c r="D106" s="56" t="s">
        <v>4045</v>
      </c>
      <c r="E106" s="11" t="str">
        <f>HYPERLINK("https://youtu.be/pe78QkrrK5o?t=6740","channel 2")</f>
        <v>channel 2</v>
      </c>
    </row>
    <row r="107">
      <c r="B107" s="56" t="s">
        <v>4151</v>
      </c>
      <c r="C107" s="57" t="s">
        <v>22</v>
      </c>
      <c r="D107" s="56" t="s">
        <v>4167</v>
      </c>
      <c r="E107" s="158" t="str">
        <f>HYPERLINK("https://youtu.be/c0s5EatGHIc?t=7660","channel 1")</f>
        <v>channel 1</v>
      </c>
    </row>
    <row r="108">
      <c r="B108" s="56" t="s">
        <v>4166</v>
      </c>
      <c r="C108" s="57" t="s">
        <v>225</v>
      </c>
      <c r="D108" s="56" t="s">
        <v>1723</v>
      </c>
      <c r="E108" s="11" t="str">
        <f>HYPERLINK("https://youtu.be/pe78QkrrK5o?t=7718","channel 2")</f>
        <v>channel 2</v>
      </c>
    </row>
    <row r="109">
      <c r="B109" s="56" t="s">
        <v>4045</v>
      </c>
      <c r="C109" s="57" t="s">
        <v>246</v>
      </c>
      <c r="D109" s="56" t="s">
        <v>4167</v>
      </c>
      <c r="E109" s="158" t="str">
        <f>HYPERLINK("https://youtu.be/c0s5EatGHIc?t=8593","channel 1")</f>
        <v>channel 1</v>
      </c>
    </row>
    <row r="110">
      <c r="B110" s="56" t="s">
        <v>4151</v>
      </c>
      <c r="C110" s="57" t="s">
        <v>23</v>
      </c>
      <c r="D110" s="56" t="s">
        <v>1723</v>
      </c>
      <c r="E110" s="11" t="str">
        <f>HYPERLINK("https://youtu.be/pe78QkrrK5o?t=8649","channel 2")</f>
        <v>channel 2</v>
      </c>
    </row>
    <row r="111">
      <c r="B111" s="96" t="s">
        <v>2179</v>
      </c>
      <c r="C111" s="2"/>
      <c r="D111" s="3"/>
      <c r="E111" s="161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56" t="s">
        <v>3720</v>
      </c>
      <c r="C113" s="57" t="s">
        <v>380</v>
      </c>
      <c r="D113" s="56" t="s">
        <v>3632</v>
      </c>
      <c r="E113" s="158" t="str">
        <f>HYPERLINK("https://youtu.be/5pqNkgi7HIA","channel 1")</f>
        <v>channel 1</v>
      </c>
    </row>
    <row r="114">
      <c r="B114" s="56" t="s">
        <v>4169</v>
      </c>
      <c r="C114" s="57" t="s">
        <v>302</v>
      </c>
      <c r="D114" s="56" t="s">
        <v>1429</v>
      </c>
      <c r="E114" s="11" t="str">
        <f>HYPERLINK("https://youtu.be/dSDS-4K5_FU","channel 2")</f>
        <v>channel 2</v>
      </c>
    </row>
    <row r="115">
      <c r="B115" s="56" t="s">
        <v>4170</v>
      </c>
      <c r="C115" s="57" t="s">
        <v>324</v>
      </c>
      <c r="D115" s="56" t="s">
        <v>3720</v>
      </c>
      <c r="E115" s="158" t="str">
        <f>HYPERLINK("https://youtu.be/5pqNkgi7HIA?t=997","channel 1")</f>
        <v>channel 1</v>
      </c>
    </row>
    <row r="116">
      <c r="B116" s="56" t="s">
        <v>4169</v>
      </c>
      <c r="C116" s="57" t="s">
        <v>227</v>
      </c>
      <c r="D116" s="56" t="s">
        <v>3632</v>
      </c>
      <c r="E116" s="11" t="str">
        <f>HYPERLINK("https://youtu.be/dSDS-4K5_FU?t=1079","channel 2")</f>
        <v>channel 2</v>
      </c>
    </row>
    <row r="117">
      <c r="B117" s="56" t="s">
        <v>4170</v>
      </c>
      <c r="C117" s="57" t="s">
        <v>181</v>
      </c>
      <c r="D117" s="56" t="s">
        <v>1429</v>
      </c>
      <c r="E117" s="158" t="str">
        <f>HYPERLINK("https://youtu.be/5pqNkgi7HIA?t=1979","channel 1")</f>
        <v>channel 1</v>
      </c>
    </row>
    <row r="118">
      <c r="B118" s="56" t="s">
        <v>4169</v>
      </c>
      <c r="C118" s="57" t="s">
        <v>2560</v>
      </c>
      <c r="D118" s="56" t="s">
        <v>3720</v>
      </c>
      <c r="E118" s="11" t="str">
        <f>HYPERLINK("https://youtu.be/dSDS-4K5_FU?t=1992","channel 2")</f>
        <v>channel 2</v>
      </c>
    </row>
    <row r="119">
      <c r="B119" s="56" t="s">
        <v>4170</v>
      </c>
      <c r="C119" s="57" t="s">
        <v>1510</v>
      </c>
      <c r="D119" s="56" t="s">
        <v>3632</v>
      </c>
      <c r="E119" s="158" t="str">
        <f>HYPERLINK("https://youtu.be/5pqNkgi7HIA?t=2918","channel 1")</f>
        <v>channel 1</v>
      </c>
    </row>
    <row r="120">
      <c r="B120" s="56" t="s">
        <v>1429</v>
      </c>
      <c r="C120" s="57" t="s">
        <v>203</v>
      </c>
      <c r="D120" s="56" t="s">
        <v>3720</v>
      </c>
      <c r="E120" s="11" t="str">
        <f>HYPERLINK("https://youtu.be/dSDS-4K5_FU?t=2995","channel 2")</f>
        <v>channel 2</v>
      </c>
    </row>
    <row r="121">
      <c r="B121" s="56" t="s">
        <v>4170</v>
      </c>
      <c r="C121" s="57" t="s">
        <v>1550</v>
      </c>
      <c r="D121" s="56" t="s">
        <v>4169</v>
      </c>
      <c r="E121" s="158" t="str">
        <f>HYPERLINK("https://youtu.be/5pqNkgi7HIA?t=3938","channel 1")</f>
        <v>channel 1</v>
      </c>
    </row>
    <row r="122">
      <c r="B122" s="56" t="s">
        <v>1429</v>
      </c>
      <c r="C122" s="57" t="s">
        <v>538</v>
      </c>
      <c r="D122" s="56" t="s">
        <v>3632</v>
      </c>
      <c r="E122" s="11" t="str">
        <f>HYPERLINK("https://youtu.be/dSDS-4K5_FU?t=3913","channel 2")</f>
        <v>channel 2</v>
      </c>
    </row>
    <row r="123">
      <c r="B123" s="56" t="s">
        <v>3632</v>
      </c>
      <c r="C123" s="57" t="s">
        <v>1121</v>
      </c>
      <c r="D123" s="56" t="s">
        <v>3720</v>
      </c>
      <c r="E123" s="158" t="str">
        <f>HYPERLINK("https://youtu.be/5pqNkgi7HIA?t=4979","channel 1")</f>
        <v>channel 1</v>
      </c>
    </row>
    <row r="124">
      <c r="B124" s="56" t="s">
        <v>1429</v>
      </c>
      <c r="C124" s="57" t="s">
        <v>342</v>
      </c>
      <c r="D124" s="56" t="s">
        <v>4169</v>
      </c>
      <c r="E124" s="11" t="str">
        <f>HYPERLINK("https://youtu.be/dSDS-4K5_FU?t=4905","channel 2")</f>
        <v>channel 2</v>
      </c>
    </row>
    <row r="125">
      <c r="B125" s="56" t="s">
        <v>3720</v>
      </c>
      <c r="C125" s="57" t="s">
        <v>4171</v>
      </c>
      <c r="D125" s="56" t="s">
        <v>4170</v>
      </c>
      <c r="E125" s="158" t="str">
        <f>HYPERLINK("https://youtu.be/5pqNkgi7HIA?t=5916","channel 1")</f>
        <v>channel 1</v>
      </c>
    </row>
    <row r="126">
      <c r="B126" s="56" t="s">
        <v>3632</v>
      </c>
      <c r="C126" s="57" t="s">
        <v>184</v>
      </c>
      <c r="D126" s="56" t="s">
        <v>4169</v>
      </c>
      <c r="E126" s="11" t="str">
        <f>HYPERLINK("https://youtu.be/dSDS-4K5_FU?t=5870","channel 2")</f>
        <v>channel 2</v>
      </c>
    </row>
    <row r="127">
      <c r="B127" s="56" t="s">
        <v>1429</v>
      </c>
      <c r="C127" s="57" t="s">
        <v>194</v>
      </c>
      <c r="D127" s="56" t="s">
        <v>4170</v>
      </c>
      <c r="E127" s="158" t="str">
        <f>HYPERLINK("https://youtu.be/5pqNkgi7HIA?t=6949","channel 1")</f>
        <v>channel 1</v>
      </c>
    </row>
    <row r="128">
      <c r="B128" s="56" t="s">
        <v>3720</v>
      </c>
      <c r="C128" s="57" t="s">
        <v>225</v>
      </c>
      <c r="D128" s="56" t="s">
        <v>4169</v>
      </c>
      <c r="E128" s="11" t="str">
        <f>HYPERLINK("https://youtu.be/dSDS-4K5_FU?t=6846","channel 2")</f>
        <v>channel 2</v>
      </c>
    </row>
    <row r="129">
      <c r="B129" s="56" t="s">
        <v>3632</v>
      </c>
      <c r="C129" s="57" t="s">
        <v>640</v>
      </c>
      <c r="D129" s="56" t="s">
        <v>4170</v>
      </c>
      <c r="E129" s="158" t="str">
        <f>HYPERLINK("https://youtu.be/5pqNkgi7HIA?t=7850","channel 1")</f>
        <v>channel 1</v>
      </c>
    </row>
    <row r="130">
      <c r="B130" s="56" t="s">
        <v>3720</v>
      </c>
      <c r="C130" s="57" t="s">
        <v>180</v>
      </c>
      <c r="D130" s="56" t="s">
        <v>1429</v>
      </c>
      <c r="E130" s="11" t="str">
        <f>HYPERLINK("https://youtu.be/dSDS-4K5_FU?t=7810","channel 2")</f>
        <v>channel 2</v>
      </c>
    </row>
    <row r="131">
      <c r="B131" s="56" t="s">
        <v>4169</v>
      </c>
      <c r="C131" s="57" t="s">
        <v>513</v>
      </c>
      <c r="D131" s="56" t="s">
        <v>4170</v>
      </c>
      <c r="E131" s="158" t="str">
        <f>HYPERLINK("https://youtu.be/5pqNkgi7HIA?t=8808","channel 1")</f>
        <v>channel 1</v>
      </c>
    </row>
    <row r="132">
      <c r="B132" s="56" t="s">
        <v>3632</v>
      </c>
      <c r="C132" s="57" t="s">
        <v>162</v>
      </c>
      <c r="D132" s="56" t="s">
        <v>1429</v>
      </c>
      <c r="E132" s="11" t="str">
        <f>HYPERLINK("https://youtu.be/dSDS-4K5_FU?t=8777","channel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2260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3792</v>
      </c>
      <c r="C3" s="57" t="s">
        <v>171</v>
      </c>
      <c r="D3" s="56" t="s">
        <v>2262</v>
      </c>
      <c r="E3" s="158" t="str">
        <f>HYPERLINK("https://youtu.be/JXuaVunAl8o","channel 1")</f>
        <v>channel 1</v>
      </c>
    </row>
    <row r="4">
      <c r="A4" s="141"/>
      <c r="B4" s="56" t="s">
        <v>3642</v>
      </c>
      <c r="C4" s="57" t="s">
        <v>219</v>
      </c>
      <c r="D4" s="56" t="s">
        <v>2164</v>
      </c>
      <c r="E4" s="11" t="str">
        <f>HYPERLINK("https://youtu.be/xH7GoS8GLUo","channel 2")</f>
        <v>channel 2</v>
      </c>
    </row>
    <row r="5">
      <c r="A5" s="141"/>
      <c r="B5" s="56" t="s">
        <v>4027</v>
      </c>
      <c r="C5" s="57" t="s">
        <v>292</v>
      </c>
      <c r="D5" s="56" t="s">
        <v>3792</v>
      </c>
      <c r="E5" s="158" t="str">
        <f>HYPERLINK("https://youtu.be/SjlUUbCfANM","channel 1")</f>
        <v>channel 1</v>
      </c>
    </row>
    <row r="6">
      <c r="A6" s="141"/>
      <c r="B6" s="56" t="s">
        <v>3642</v>
      </c>
      <c r="C6" s="57" t="s">
        <v>16</v>
      </c>
      <c r="D6" s="56" t="s">
        <v>2262</v>
      </c>
      <c r="E6" s="11" t="str">
        <f>HYPERLINK("https://youtu.be/smTo_JGLumg","channel 2")</f>
        <v>channel 2</v>
      </c>
    </row>
    <row r="7">
      <c r="A7" s="141"/>
      <c r="B7" s="56" t="s">
        <v>4027</v>
      </c>
      <c r="C7" s="57" t="s">
        <v>41</v>
      </c>
      <c r="D7" s="56" t="s">
        <v>2164</v>
      </c>
      <c r="E7" s="158" t="str">
        <f>HYPERLINK("https://youtu.be/cmDrB_vgVSU","channel 1")</f>
        <v>channel 1</v>
      </c>
    </row>
    <row r="8">
      <c r="A8" s="141"/>
      <c r="B8" s="56" t="s">
        <v>3642</v>
      </c>
      <c r="C8" s="57" t="s">
        <v>419</v>
      </c>
      <c r="D8" s="56" t="s">
        <v>3792</v>
      </c>
      <c r="E8" s="11" t="str">
        <f>HYPERLINK("https://youtu.be/irdNt6RpZlM","channel 2")</f>
        <v>channel 2</v>
      </c>
    </row>
    <row r="9">
      <c r="A9" s="141"/>
      <c r="B9" s="56" t="s">
        <v>4027</v>
      </c>
      <c r="C9" s="57" t="s">
        <v>193</v>
      </c>
      <c r="D9" s="56" t="s">
        <v>2262</v>
      </c>
      <c r="E9" s="158" t="str">
        <f>HYPERLINK("https://youtu.be/sROlNQuKp-4","channel 1")</f>
        <v>channel 1</v>
      </c>
    </row>
    <row r="10">
      <c r="A10" s="141"/>
      <c r="B10" s="56" t="s">
        <v>2164</v>
      </c>
      <c r="C10" s="57" t="s">
        <v>41</v>
      </c>
      <c r="D10" s="56" t="s">
        <v>3792</v>
      </c>
      <c r="E10" s="11" t="str">
        <f>HYPERLINK("https://youtu.be/RYwjsJc_oBk","channel 2")</f>
        <v>channel 2</v>
      </c>
    </row>
    <row r="11">
      <c r="A11" s="141"/>
      <c r="B11" s="56" t="s">
        <v>4027</v>
      </c>
      <c r="C11" s="57" t="s">
        <v>38</v>
      </c>
      <c r="D11" s="56" t="s">
        <v>3642</v>
      </c>
      <c r="E11" s="158" t="str">
        <f>HYPERLINK("https://youtu.be/gFmFP67r_2o","channel 1")</f>
        <v>channel 1</v>
      </c>
    </row>
    <row r="12">
      <c r="A12" s="141"/>
      <c r="B12" s="56" t="s">
        <v>2164</v>
      </c>
      <c r="C12" s="57" t="s">
        <v>225</v>
      </c>
      <c r="D12" s="56" t="s">
        <v>2262</v>
      </c>
      <c r="E12" s="11" t="str">
        <f>HYPERLINK("https://youtu.be/5Hq5pzEfVGo","channel 2")</f>
        <v>channel 2</v>
      </c>
    </row>
    <row r="13">
      <c r="A13" s="141"/>
      <c r="B13" s="56" t="s">
        <v>2262</v>
      </c>
      <c r="C13" s="57" t="s">
        <v>547</v>
      </c>
      <c r="D13" s="56" t="s">
        <v>3792</v>
      </c>
      <c r="E13" s="158" t="str">
        <f>HYPERLINK("https://youtu.be/qp3KMQMabRc","channel 1")</f>
        <v>channel 1</v>
      </c>
    </row>
    <row r="14">
      <c r="A14" s="141"/>
      <c r="B14" s="56" t="s">
        <v>2164</v>
      </c>
      <c r="C14" s="57" t="s">
        <v>651</v>
      </c>
      <c r="D14" s="56" t="s">
        <v>3642</v>
      </c>
      <c r="E14" s="11" t="str">
        <f>HYPERLINK("https://youtu.be/CZyZ1Avftkc","channel 2")</f>
        <v>channel 2</v>
      </c>
    </row>
    <row r="15">
      <c r="A15" s="141"/>
      <c r="B15" s="56" t="s">
        <v>3792</v>
      </c>
      <c r="C15" s="57" t="s">
        <v>440</v>
      </c>
      <c r="D15" s="56" t="s">
        <v>4027</v>
      </c>
      <c r="E15" s="158" t="str">
        <f>HYPERLINK("https://youtu.be/Dajq1YTcVmo","channel 1")</f>
        <v>channel 1</v>
      </c>
    </row>
    <row r="16">
      <c r="A16" s="141"/>
      <c r="B16" s="56" t="s">
        <v>2262</v>
      </c>
      <c r="C16" s="57" t="s">
        <v>196</v>
      </c>
      <c r="D16" s="56" t="s">
        <v>3642</v>
      </c>
      <c r="E16" s="11" t="str">
        <f>HYPERLINK("https://youtu.be/gvkaP2OlFnY","channel 2")</f>
        <v>channel 2</v>
      </c>
    </row>
    <row r="17">
      <c r="A17" s="141"/>
      <c r="B17" s="56" t="s">
        <v>2164</v>
      </c>
      <c r="C17" s="57" t="s">
        <v>336</v>
      </c>
      <c r="D17" s="56" t="s">
        <v>4027</v>
      </c>
      <c r="E17" s="158" t="str">
        <f>HYPERLINK("https://youtu.be/93VfSuOFSVQ","channel 1")</f>
        <v>channel 1</v>
      </c>
    </row>
    <row r="18">
      <c r="A18" s="141"/>
      <c r="B18" s="56" t="s">
        <v>3792</v>
      </c>
      <c r="C18" s="57" t="s">
        <v>357</v>
      </c>
      <c r="D18" s="56" t="s">
        <v>3642</v>
      </c>
      <c r="E18" s="11" t="str">
        <f>HYPERLINK("https://youtu.be/_dUIBokuy9U","channel 2")</f>
        <v>channel 2</v>
      </c>
    </row>
    <row r="19">
      <c r="A19" s="141"/>
      <c r="B19" s="56" t="s">
        <v>2262</v>
      </c>
      <c r="C19" s="57" t="s">
        <v>185</v>
      </c>
      <c r="D19" s="56" t="s">
        <v>4027</v>
      </c>
      <c r="E19" s="158" t="str">
        <f>HYPERLINK("https://youtu.be/7dGaYycY__0","channel 1")</f>
        <v>channel 1</v>
      </c>
    </row>
    <row r="20">
      <c r="A20" s="141"/>
      <c r="B20" s="56" t="s">
        <v>3792</v>
      </c>
      <c r="C20" s="57" t="s">
        <v>155</v>
      </c>
      <c r="D20" s="56" t="s">
        <v>2164</v>
      </c>
      <c r="E20" s="11" t="str">
        <f>HYPERLINK("https://youtu.be/P8y0XysRFsQ","channel 2")</f>
        <v>channel 2</v>
      </c>
    </row>
    <row r="21">
      <c r="A21" s="141"/>
      <c r="B21" s="56" t="s">
        <v>3642</v>
      </c>
      <c r="C21" s="57" t="s">
        <v>209</v>
      </c>
      <c r="D21" s="56" t="s">
        <v>4027</v>
      </c>
      <c r="E21" s="158" t="str">
        <f>HYPERLINK("https://youtu.be/XUcNE66aPpM","channel 1")</f>
        <v>channel 1</v>
      </c>
    </row>
    <row r="22">
      <c r="A22" s="141"/>
      <c r="B22" s="56" t="s">
        <v>2262</v>
      </c>
      <c r="C22" s="57" t="s">
        <v>208</v>
      </c>
      <c r="D22" s="56" t="s">
        <v>2164</v>
      </c>
      <c r="E22" s="11" t="str">
        <f>HYPERLINK("https://youtu.be/9qn5N48aDMg","channel 2")</f>
        <v>channel 2</v>
      </c>
    </row>
    <row r="23">
      <c r="A23" s="141"/>
      <c r="B23" s="96" t="s">
        <v>1782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4172</v>
      </c>
      <c r="C25" s="57" t="s">
        <v>193</v>
      </c>
      <c r="D25" s="56" t="s">
        <v>4173</v>
      </c>
      <c r="E25" s="158" t="str">
        <f>HYPERLINK("https://youtu.be/7cb3ylybZow","channel 1")</f>
        <v>channel 1</v>
      </c>
    </row>
    <row r="26">
      <c r="A26" s="141"/>
      <c r="B26" s="56" t="s">
        <v>4174</v>
      </c>
      <c r="C26" s="57" t="s">
        <v>344</v>
      </c>
      <c r="D26" s="56" t="s">
        <v>3167</v>
      </c>
      <c r="E26" s="11" t="str">
        <f>HYPERLINK("https://youtu.be/ztRiE4qtdpk","channel 2")</f>
        <v>channel 2</v>
      </c>
    </row>
    <row r="27">
      <c r="A27" s="141"/>
      <c r="B27" s="56" t="s">
        <v>4175</v>
      </c>
      <c r="C27" s="57" t="s">
        <v>159</v>
      </c>
      <c r="D27" s="56" t="s">
        <v>4172</v>
      </c>
      <c r="E27" s="158" t="str">
        <f>HYPERLINK("https://youtu.be/edtkc6SSlKY","channel 1")</f>
        <v>channel 1</v>
      </c>
    </row>
    <row r="28">
      <c r="A28" s="141"/>
      <c r="B28" s="56" t="s">
        <v>4174</v>
      </c>
      <c r="C28" s="57" t="s">
        <v>227</v>
      </c>
      <c r="D28" s="56" t="s">
        <v>4173</v>
      </c>
      <c r="E28" s="11" t="str">
        <f>HYPERLINK("https://youtu.be/Nujw2cOlbgY","channel 2")</f>
        <v>channel 2</v>
      </c>
    </row>
    <row r="29">
      <c r="A29" s="141"/>
      <c r="B29" s="56" t="s">
        <v>4175</v>
      </c>
      <c r="C29" s="57" t="s">
        <v>218</v>
      </c>
      <c r="D29" s="56" t="s">
        <v>3167</v>
      </c>
      <c r="E29" s="158" t="str">
        <f>HYPERLINK("https://youtu.be/aElK0G9MGNg","channel 1")</f>
        <v>channel 1</v>
      </c>
    </row>
    <row r="30">
      <c r="A30" s="141"/>
      <c r="B30" s="56" t="s">
        <v>4174</v>
      </c>
      <c r="C30" s="57" t="s">
        <v>159</v>
      </c>
      <c r="D30" s="56" t="s">
        <v>4172</v>
      </c>
      <c r="E30" s="11" t="str">
        <f>HYPERLINK("https://youtu.be/mXZLrsWFNR4","channel 2")</f>
        <v>channel 2</v>
      </c>
    </row>
    <row r="31">
      <c r="A31" s="141"/>
      <c r="B31" s="56" t="s">
        <v>4175</v>
      </c>
      <c r="C31" s="57" t="s">
        <v>301</v>
      </c>
      <c r="D31" s="56" t="s">
        <v>4173</v>
      </c>
      <c r="E31" s="158" t="str">
        <f>HYPERLINK("https://youtu.be/8KRwPDSyTBA","channel 1")</f>
        <v>channel 1</v>
      </c>
    </row>
    <row r="32">
      <c r="A32" s="141"/>
      <c r="B32" s="56" t="s">
        <v>3167</v>
      </c>
      <c r="C32" s="57" t="s">
        <v>181</v>
      </c>
      <c r="D32" s="56" t="s">
        <v>4172</v>
      </c>
      <c r="E32" s="11" t="str">
        <f>HYPERLINK("https://youtu.be/gTc6avxZ2-E","channel 2")</f>
        <v>channel 2</v>
      </c>
    </row>
    <row r="33">
      <c r="A33" s="141"/>
      <c r="B33" s="56" t="s">
        <v>4175</v>
      </c>
      <c r="C33" s="57" t="s">
        <v>194</v>
      </c>
      <c r="D33" s="56" t="s">
        <v>4174</v>
      </c>
      <c r="E33" s="158" t="str">
        <f>HYPERLINK("https://youtu.be/8gJtF50WTrs","channel 1")</f>
        <v>channel 1</v>
      </c>
    </row>
    <row r="34">
      <c r="A34" s="141"/>
      <c r="B34" s="56" t="s">
        <v>3167</v>
      </c>
      <c r="C34" s="57" t="s">
        <v>173</v>
      </c>
      <c r="D34" s="56" t="s">
        <v>4173</v>
      </c>
      <c r="E34" s="11" t="str">
        <f>HYPERLINK("https://youtu.be/_0mnPNfvBw8","channel 2")</f>
        <v>channel 2</v>
      </c>
    </row>
    <row r="35">
      <c r="A35" s="141"/>
      <c r="B35" s="56" t="s">
        <v>4173</v>
      </c>
      <c r="C35" s="57" t="s">
        <v>18</v>
      </c>
      <c r="D35" s="56" t="s">
        <v>4172</v>
      </c>
      <c r="E35" s="158" t="str">
        <f>HYPERLINK("https://youtu.be/V2XRIOzy2KY","channel 1")</f>
        <v>channel 1</v>
      </c>
    </row>
    <row r="36">
      <c r="A36" s="141"/>
      <c r="B36" s="56" t="s">
        <v>3167</v>
      </c>
      <c r="C36" s="57" t="s">
        <v>165</v>
      </c>
      <c r="D36" s="56" t="s">
        <v>4174</v>
      </c>
      <c r="E36" s="11" t="str">
        <f>HYPERLINK("https://youtu.be/yvMCiK69Auc","channel 2")</f>
        <v>channel 2</v>
      </c>
    </row>
    <row r="37">
      <c r="A37" s="141"/>
      <c r="B37" s="56" t="s">
        <v>4172</v>
      </c>
      <c r="C37" s="57" t="s">
        <v>44</v>
      </c>
      <c r="D37" s="56" t="s">
        <v>4175</v>
      </c>
      <c r="E37" s="158" t="str">
        <f>HYPERLINK("https://youtu.be/WXSnD15T5fw","channel 1")</f>
        <v>channel 1</v>
      </c>
    </row>
    <row r="38">
      <c r="A38" s="141"/>
      <c r="B38" s="56" t="s">
        <v>4173</v>
      </c>
      <c r="C38" s="57" t="s">
        <v>418</v>
      </c>
      <c r="D38" s="56" t="s">
        <v>4174</v>
      </c>
      <c r="E38" s="11" t="str">
        <f>HYPERLINK("https://youtu.be/oql5u0m95o0","channel 2")</f>
        <v>channel 2</v>
      </c>
    </row>
    <row r="39">
      <c r="A39" s="141"/>
      <c r="B39" s="56" t="s">
        <v>3167</v>
      </c>
      <c r="C39" s="45" t="s">
        <v>248</v>
      </c>
      <c r="D39" s="56" t="s">
        <v>4175</v>
      </c>
      <c r="E39" s="158" t="str">
        <f>HYPERLINK("https://youtu.be/QjqULYdk6-M","channel 1")</f>
        <v>channel 1</v>
      </c>
    </row>
    <row r="40">
      <c r="A40" s="141"/>
      <c r="B40" s="56" t="s">
        <v>4172</v>
      </c>
      <c r="C40" s="57" t="s">
        <v>44</v>
      </c>
      <c r="D40" s="56" t="s">
        <v>4174</v>
      </c>
      <c r="E40" s="11" t="str">
        <f>HYPERLINK("https://youtu.be/iaAekN1Kv8Y","channel 2")</f>
        <v>channel 2</v>
      </c>
    </row>
    <row r="41">
      <c r="A41" s="141"/>
      <c r="B41" s="56" t="s">
        <v>4173</v>
      </c>
      <c r="C41" s="57" t="s">
        <v>14</v>
      </c>
      <c r="D41" s="56" t="s">
        <v>4175</v>
      </c>
      <c r="E41" s="158" t="str">
        <f>HYPERLINK("https://youtu.be/nlFj_gnI40Y","channel 1")</f>
        <v>channel 1</v>
      </c>
    </row>
    <row r="42">
      <c r="A42" s="141"/>
      <c r="B42" s="56" t="s">
        <v>4172</v>
      </c>
      <c r="C42" s="57" t="s">
        <v>165</v>
      </c>
      <c r="D42" s="56" t="s">
        <v>3167</v>
      </c>
      <c r="E42" s="11" t="str">
        <f>HYPERLINK("https://youtu.be/GVRbHe4s2Zk","channel 2")</f>
        <v>channel 2</v>
      </c>
    </row>
    <row r="43">
      <c r="A43" s="141"/>
      <c r="B43" s="56" t="s">
        <v>4174</v>
      </c>
      <c r="C43" s="57" t="s">
        <v>16</v>
      </c>
      <c r="D43" s="56" t="s">
        <v>4175</v>
      </c>
      <c r="E43" s="158" t="str">
        <f>HYPERLINK("https://youtu.be/i1ob1_SJda8","channel 1")</f>
        <v>channel 1</v>
      </c>
    </row>
    <row r="44">
      <c r="A44" s="141"/>
      <c r="B44" s="56" t="s">
        <v>4173</v>
      </c>
      <c r="C44" s="57" t="s">
        <v>184</v>
      </c>
      <c r="D44" s="56" t="s">
        <v>3167</v>
      </c>
      <c r="E44" s="11" t="str">
        <f>HYPERLINK("https://youtu.be/-nzlYB_vrNY","channel 2")</f>
        <v>channel 2</v>
      </c>
    </row>
    <row r="45">
      <c r="A45" s="141"/>
      <c r="B45" s="96" t="s">
        <v>4176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1896</v>
      </c>
      <c r="C47" s="57" t="s">
        <v>195</v>
      </c>
      <c r="D47" s="56" t="s">
        <v>1431</v>
      </c>
      <c r="E47" s="158" t="str">
        <f>HYPERLINK("https://youtu.be/NmjM8TNNhVM","channel 1")</f>
        <v>channel 1</v>
      </c>
    </row>
    <row r="48">
      <c r="A48" s="141"/>
      <c r="B48" s="56" t="s">
        <v>3787</v>
      </c>
      <c r="C48" s="57" t="s">
        <v>158</v>
      </c>
      <c r="D48" s="56" t="s">
        <v>4056</v>
      </c>
      <c r="E48" s="11" t="str">
        <f>HYPERLINK("https://youtu.be/u-lZsKJHIMM","channel 2")</f>
        <v>channel 2</v>
      </c>
    </row>
    <row r="49">
      <c r="A49" s="141"/>
      <c r="B49" s="56" t="s">
        <v>4177</v>
      </c>
      <c r="C49" s="57" t="s">
        <v>42</v>
      </c>
      <c r="D49" s="56" t="s">
        <v>1896</v>
      </c>
      <c r="E49" s="158" t="str">
        <f>HYPERLINK("https://youtu.be/Ak4k5K5cQxo","channel 1")</f>
        <v>channel 1</v>
      </c>
    </row>
    <row r="50">
      <c r="A50" s="141"/>
      <c r="B50" s="56" t="s">
        <v>3787</v>
      </c>
      <c r="C50" s="57" t="s">
        <v>162</v>
      </c>
      <c r="D50" s="56" t="s">
        <v>1431</v>
      </c>
      <c r="E50" s="11" t="str">
        <f>HYPERLINK("https://youtu.be/DBGGU_VLg9Y","channel 2")</f>
        <v>channel 2</v>
      </c>
    </row>
    <row r="51">
      <c r="A51" s="141"/>
      <c r="B51" s="56" t="s">
        <v>4177</v>
      </c>
      <c r="C51" s="57" t="s">
        <v>162</v>
      </c>
      <c r="D51" s="56" t="s">
        <v>4056</v>
      </c>
      <c r="E51" s="158" t="str">
        <f>HYPERLINK("https://youtu.be/Y03t_z6ouCY","channel 1")</f>
        <v>channel 1</v>
      </c>
    </row>
    <row r="52">
      <c r="A52" s="141"/>
      <c r="B52" s="56" t="s">
        <v>3787</v>
      </c>
      <c r="C52" s="57" t="s">
        <v>16</v>
      </c>
      <c r="D52" s="56" t="s">
        <v>1896</v>
      </c>
      <c r="E52" s="11" t="str">
        <f>HYPERLINK("https://youtu.be/PtL4ZxJLhUY","channel 2")</f>
        <v>channel 2</v>
      </c>
    </row>
    <row r="53">
      <c r="A53" s="141"/>
      <c r="B53" s="56" t="s">
        <v>4177</v>
      </c>
      <c r="C53" s="57" t="s">
        <v>19</v>
      </c>
      <c r="D53" s="56" t="s">
        <v>1431</v>
      </c>
      <c r="E53" s="158" t="str">
        <f>HYPERLINK("https://youtu.be/GFna5ublqzo","channel 1")</f>
        <v>channel 1</v>
      </c>
    </row>
    <row r="54">
      <c r="A54" s="141"/>
      <c r="B54" s="56" t="s">
        <v>4056</v>
      </c>
      <c r="C54" s="57" t="s">
        <v>302</v>
      </c>
      <c r="D54" s="56" t="s">
        <v>1896</v>
      </c>
      <c r="E54" s="11" t="str">
        <f>HYPERLINK("https://youtu.be/GVnU1wGVDuc","channel 2")</f>
        <v>channel 2</v>
      </c>
    </row>
    <row r="55">
      <c r="A55" s="141"/>
      <c r="B55" s="56" t="s">
        <v>4177</v>
      </c>
      <c r="C55" s="57" t="s">
        <v>219</v>
      </c>
      <c r="D55" s="56" t="s">
        <v>3787</v>
      </c>
      <c r="E55" s="158" t="str">
        <f>HYPERLINK("https://youtu.be/0QVXemoSxBw","channel 1")</f>
        <v>channel 1</v>
      </c>
    </row>
    <row r="56">
      <c r="A56" s="141"/>
      <c r="B56" s="56" t="s">
        <v>4056</v>
      </c>
      <c r="C56" s="57" t="s">
        <v>181</v>
      </c>
      <c r="D56" s="56" t="s">
        <v>1431</v>
      </c>
      <c r="E56" s="11" t="str">
        <f>HYPERLINK("https://youtu.be/tfQtS_dwIq0","channel 2")</f>
        <v>channel 2</v>
      </c>
    </row>
    <row r="57">
      <c r="A57" s="141"/>
      <c r="B57" s="56" t="s">
        <v>1431</v>
      </c>
      <c r="C57" s="57" t="s">
        <v>257</v>
      </c>
      <c r="D57" s="56" t="s">
        <v>1896</v>
      </c>
      <c r="E57" s="158" t="str">
        <f>HYPERLINK("https://youtu.be/UrjoGL00_Qg","channel 1")</f>
        <v>channel 1</v>
      </c>
    </row>
    <row r="58">
      <c r="A58" s="141"/>
      <c r="B58" s="56" t="s">
        <v>4056</v>
      </c>
      <c r="C58" s="57" t="s">
        <v>158</v>
      </c>
      <c r="D58" s="56" t="s">
        <v>3787</v>
      </c>
      <c r="E58" s="11" t="str">
        <f>HYPERLINK("https://youtu.be/h0HaEdToyGE","channel 2")</f>
        <v>channel 2</v>
      </c>
    </row>
    <row r="59">
      <c r="A59" s="141"/>
      <c r="B59" s="56" t="s">
        <v>1896</v>
      </c>
      <c r="C59" s="57" t="s">
        <v>43</v>
      </c>
      <c r="D59" s="56" t="s">
        <v>4177</v>
      </c>
      <c r="E59" s="158" t="str">
        <f>HYPERLINK("https://youtu.be/n2J453aVHn4","channel 1")</f>
        <v>channel 1</v>
      </c>
    </row>
    <row r="60">
      <c r="A60" s="141"/>
      <c r="B60" s="56" t="s">
        <v>1431</v>
      </c>
      <c r="C60" s="57" t="s">
        <v>31</v>
      </c>
      <c r="D60" s="56" t="s">
        <v>3787</v>
      </c>
      <c r="E60" s="11" t="str">
        <f>HYPERLINK("https://youtu.be/zF7gfOMLDr4","channel 2")</f>
        <v>channel 2</v>
      </c>
    </row>
    <row r="61">
      <c r="A61" s="141"/>
      <c r="B61" s="56" t="s">
        <v>4056</v>
      </c>
      <c r="C61" s="57" t="s">
        <v>20</v>
      </c>
      <c r="D61" s="56" t="s">
        <v>4177</v>
      </c>
      <c r="E61" s="158" t="str">
        <f>HYPERLINK("https://youtu.be/kwRzeY-z3fs","channel 1")</f>
        <v>channel 1</v>
      </c>
    </row>
    <row r="62">
      <c r="A62" s="141"/>
      <c r="B62" s="56" t="s">
        <v>1896</v>
      </c>
      <c r="C62" s="45" t="s">
        <v>220</v>
      </c>
      <c r="D62" s="56" t="s">
        <v>3787</v>
      </c>
      <c r="E62" s="11" t="str">
        <f>HYPERLINK("https://youtu.be/sQuXq5vvCpM","channel 2")</f>
        <v>channel 2</v>
      </c>
    </row>
    <row r="63">
      <c r="A63" s="141"/>
      <c r="B63" s="56" t="s">
        <v>1431</v>
      </c>
      <c r="C63" s="57" t="s">
        <v>16</v>
      </c>
      <c r="D63" s="56" t="s">
        <v>4177</v>
      </c>
      <c r="E63" s="158" t="str">
        <f>HYPERLINK("https://youtu.be/V9gMmtLLUQI","channel 1")</f>
        <v>channel 1</v>
      </c>
    </row>
    <row r="64">
      <c r="A64" s="141"/>
      <c r="B64" s="56" t="s">
        <v>1896</v>
      </c>
      <c r="C64" s="57" t="s">
        <v>196</v>
      </c>
      <c r="D64" s="56" t="s">
        <v>4056</v>
      </c>
      <c r="E64" s="11" t="str">
        <f>HYPERLINK("https://youtu.be/FvBY2Ew4Ir0","channel 2")</f>
        <v>channel 2</v>
      </c>
    </row>
    <row r="65">
      <c r="A65" s="141"/>
      <c r="B65" s="56" t="s">
        <v>3787</v>
      </c>
      <c r="C65" s="57" t="s">
        <v>222</v>
      </c>
      <c r="D65" s="56" t="s">
        <v>4177</v>
      </c>
      <c r="E65" s="158" t="str">
        <f>HYPERLINK("https://youtu.be/x1n_AabMKJc","channel 1")</f>
        <v>channel 1</v>
      </c>
    </row>
    <row r="66">
      <c r="A66" s="141"/>
      <c r="B66" s="56" t="s">
        <v>1431</v>
      </c>
      <c r="C66" s="57" t="s">
        <v>196</v>
      </c>
      <c r="D66" s="56" t="s">
        <v>4056</v>
      </c>
      <c r="E66" s="11" t="str">
        <f>HYPERLINK("https://youtu.be/Kf9gbjv8cj8","channel 2")</f>
        <v>channel 2</v>
      </c>
    </row>
    <row r="67">
      <c r="A67" s="141"/>
      <c r="B67" s="96" t="s">
        <v>2659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4178</v>
      </c>
      <c r="C69" s="57" t="s">
        <v>176</v>
      </c>
      <c r="D69" s="56" t="s">
        <v>4179</v>
      </c>
      <c r="E69" s="158" t="str">
        <f>HYPERLINK("https://youtu.be/OFF4sWxFoss","channel 1")</f>
        <v>channel 1</v>
      </c>
    </row>
    <row r="70">
      <c r="A70" s="141"/>
      <c r="B70" s="56" t="s">
        <v>4180</v>
      </c>
      <c r="C70" s="57" t="s">
        <v>162</v>
      </c>
      <c r="D70" s="56" t="s">
        <v>2689</v>
      </c>
      <c r="E70" s="11" t="str">
        <f>HYPERLINK("https://youtu.be/EVZZN6JGPX0","channel 2")</f>
        <v>channel 2</v>
      </c>
    </row>
    <row r="71">
      <c r="A71" s="141"/>
      <c r="B71" s="56" t="s">
        <v>4181</v>
      </c>
      <c r="C71" s="57" t="s">
        <v>16</v>
      </c>
      <c r="D71" s="56" t="s">
        <v>4178</v>
      </c>
      <c r="E71" s="158" t="str">
        <f>HYPERLINK("https://youtu.be/--jE56eGFLw","channel 1")</f>
        <v>channel 1</v>
      </c>
    </row>
    <row r="72">
      <c r="A72" s="141"/>
      <c r="B72" s="56" t="s">
        <v>4180</v>
      </c>
      <c r="C72" s="57" t="s">
        <v>211</v>
      </c>
      <c r="D72" s="56" t="s">
        <v>4179</v>
      </c>
      <c r="E72" s="11" t="str">
        <f>HYPERLINK("https://youtu.be/UJj6vSbbQQU","channel 2")</f>
        <v>channel 2</v>
      </c>
    </row>
    <row r="73">
      <c r="A73" s="141"/>
      <c r="B73" s="56" t="s">
        <v>4181</v>
      </c>
      <c r="C73" s="57" t="s">
        <v>155</v>
      </c>
      <c r="D73" s="56" t="s">
        <v>2689</v>
      </c>
      <c r="E73" s="158" t="str">
        <f>HYPERLINK("https://youtu.be/6bKZwJ9WUCc","channel 1")</f>
        <v>channel 1</v>
      </c>
    </row>
    <row r="74">
      <c r="A74" s="141"/>
      <c r="B74" s="56" t="s">
        <v>4180</v>
      </c>
      <c r="C74" s="57" t="s">
        <v>23</v>
      </c>
      <c r="D74" s="56" t="s">
        <v>4178</v>
      </c>
      <c r="E74" s="11" t="str">
        <f>HYPERLINK("https://youtu.be/KNWHor5_hDY","channel 2")</f>
        <v>channel 2</v>
      </c>
    </row>
    <row r="75">
      <c r="A75" s="141"/>
      <c r="B75" s="56" t="s">
        <v>4181</v>
      </c>
      <c r="C75" s="57" t="s">
        <v>158</v>
      </c>
      <c r="D75" s="56" t="s">
        <v>4179</v>
      </c>
      <c r="E75" s="158" t="str">
        <f>HYPERLINK("https://youtu.be/7fBWcZDKn8k","channel 1")</f>
        <v>channel 1</v>
      </c>
    </row>
    <row r="76">
      <c r="A76" s="141"/>
      <c r="B76" s="56" t="s">
        <v>2689</v>
      </c>
      <c r="C76" s="57" t="s">
        <v>155</v>
      </c>
      <c r="D76" s="56" t="s">
        <v>4178</v>
      </c>
      <c r="E76" s="11" t="str">
        <f>HYPERLINK("https://youtu.be/QhxAAAl9w2Y","channel 2")</f>
        <v>channel 2</v>
      </c>
    </row>
    <row r="77">
      <c r="A77" s="141"/>
      <c r="B77" s="56" t="s">
        <v>4181</v>
      </c>
      <c r="C77" s="57" t="s">
        <v>16</v>
      </c>
      <c r="D77" s="56" t="s">
        <v>4180</v>
      </c>
      <c r="E77" s="158" t="str">
        <f>HYPERLINK("https://youtu.be/44JmGHH8ekU","channel 1")</f>
        <v>channel 1</v>
      </c>
    </row>
    <row r="78">
      <c r="A78" s="141"/>
      <c r="B78" s="56" t="s">
        <v>2689</v>
      </c>
      <c r="C78" s="57" t="s">
        <v>162</v>
      </c>
      <c r="D78" s="56" t="s">
        <v>4179</v>
      </c>
      <c r="E78" s="11" t="str">
        <f>HYPERLINK("https://youtu.be/zcO6P5HNVEs","channel 2")</f>
        <v>channel 2</v>
      </c>
    </row>
    <row r="79">
      <c r="A79" s="141"/>
      <c r="B79" s="56" t="s">
        <v>4179</v>
      </c>
      <c r="C79" s="57" t="s">
        <v>155</v>
      </c>
      <c r="D79" s="56" t="s">
        <v>4178</v>
      </c>
      <c r="E79" s="158" t="str">
        <f>HYPERLINK("https://youtu.be/rnOlevzCCz0","channel 1")</f>
        <v>channel 1</v>
      </c>
    </row>
    <row r="80">
      <c r="A80" s="141"/>
      <c r="B80" s="56" t="s">
        <v>2689</v>
      </c>
      <c r="C80" s="57" t="s">
        <v>209</v>
      </c>
      <c r="D80" s="56" t="s">
        <v>4180</v>
      </c>
      <c r="E80" s="11" t="str">
        <f>HYPERLINK("https://youtu.be/eGkCh_lV0w0","channel 2")</f>
        <v>channel 2</v>
      </c>
    </row>
    <row r="81">
      <c r="A81" s="141"/>
      <c r="B81" s="56" t="s">
        <v>4178</v>
      </c>
      <c r="C81" s="57" t="s">
        <v>194</v>
      </c>
      <c r="D81" s="56" t="s">
        <v>4181</v>
      </c>
      <c r="E81" s="158" t="str">
        <f>HYPERLINK("https://youtu.be/plLr-bi7rqY","channel 1")</f>
        <v>channel 1</v>
      </c>
    </row>
    <row r="82">
      <c r="A82" s="141"/>
      <c r="B82" s="56" t="s">
        <v>4179</v>
      </c>
      <c r="C82" s="57" t="s">
        <v>244</v>
      </c>
      <c r="D82" s="56" t="s">
        <v>4180</v>
      </c>
      <c r="E82" s="11" t="str">
        <f>HYPERLINK("https://youtu.be/2VapEOMz7MI","channel 2")</f>
        <v>channel 2</v>
      </c>
    </row>
    <row r="83">
      <c r="A83" s="141"/>
      <c r="B83" s="56" t="s">
        <v>2689</v>
      </c>
      <c r="C83" s="57" t="s">
        <v>14</v>
      </c>
      <c r="D83" s="56" t="s">
        <v>4181</v>
      </c>
      <c r="E83" s="158" t="str">
        <f>HYPERLINK("https://youtu.be/6qdh4UM4bcE","channel 1")</f>
        <v>channel 1</v>
      </c>
    </row>
    <row r="84">
      <c r="A84" s="141"/>
      <c r="B84" s="56" t="s">
        <v>4178</v>
      </c>
      <c r="C84" s="57" t="s">
        <v>7</v>
      </c>
      <c r="D84" s="56" t="s">
        <v>4180</v>
      </c>
      <c r="E84" s="11" t="str">
        <f>HYPERLINK("https://youtu.be/_vfhNLeB2ds","channel 2")</f>
        <v>channel 2</v>
      </c>
    </row>
    <row r="85">
      <c r="A85" s="141"/>
      <c r="B85" s="56" t="s">
        <v>4179</v>
      </c>
      <c r="C85" s="57" t="s">
        <v>23</v>
      </c>
      <c r="D85" s="56" t="s">
        <v>4181</v>
      </c>
      <c r="E85" s="158" t="str">
        <f>HYPERLINK("https://youtu.be/9_OKtSXsYOA","channel 1")</f>
        <v>channel 1</v>
      </c>
    </row>
    <row r="86">
      <c r="A86" s="141"/>
      <c r="B86" s="56" t="s">
        <v>4178</v>
      </c>
      <c r="C86" s="57" t="s">
        <v>162</v>
      </c>
      <c r="D86" s="56" t="s">
        <v>2689</v>
      </c>
      <c r="E86" s="11" t="str">
        <f>HYPERLINK("https://youtu.be/4QMIlmm4wx0","channel 2")</f>
        <v>channel 2</v>
      </c>
    </row>
    <row r="87">
      <c r="A87" s="141"/>
      <c r="B87" s="56" t="s">
        <v>4180</v>
      </c>
      <c r="C87" s="57" t="s">
        <v>665</v>
      </c>
      <c r="D87" s="56" t="s">
        <v>4181</v>
      </c>
      <c r="E87" s="158" t="str">
        <f>HYPERLINK("https://youtu.be/K5bd2SEjRWM","channel 1")</f>
        <v>channel 1</v>
      </c>
    </row>
    <row r="88">
      <c r="A88" s="145"/>
      <c r="B88" s="56" t="s">
        <v>4179</v>
      </c>
      <c r="C88" s="57" t="s">
        <v>7</v>
      </c>
      <c r="D88" s="56" t="s">
        <v>2689</v>
      </c>
      <c r="E88" s="11" t="str">
        <f>HYPERLINK("https://youtu.be/sk0SguQ2ouw","channel 2")</f>
        <v>channel 2</v>
      </c>
    </row>
    <row r="89">
      <c r="B89" s="96" t="s">
        <v>2756</v>
      </c>
      <c r="C89" s="2"/>
      <c r="D89" s="3"/>
      <c r="E89" s="161"/>
    </row>
    <row r="90">
      <c r="B90" s="45" t="s">
        <v>2</v>
      </c>
      <c r="C90" s="45" t="s">
        <v>3</v>
      </c>
      <c r="D90" s="45" t="s">
        <v>4</v>
      </c>
      <c r="E90" s="21" t="s">
        <v>5</v>
      </c>
    </row>
    <row r="91">
      <c r="B91" s="56" t="s">
        <v>3622</v>
      </c>
      <c r="C91" s="57" t="s">
        <v>181</v>
      </c>
      <c r="D91" s="56" t="s">
        <v>4182</v>
      </c>
      <c r="E91" s="158" t="str">
        <f>HYPERLINK("https://youtu.be/K4JeGVe1wj8","channel 1")</f>
        <v>channel 1</v>
      </c>
    </row>
    <row r="92">
      <c r="B92" s="56" t="s">
        <v>4075</v>
      </c>
      <c r="C92" s="57" t="s">
        <v>326</v>
      </c>
      <c r="D92" s="56" t="s">
        <v>4183</v>
      </c>
      <c r="E92" s="11" t="str">
        <f>HYPERLINK("https://youtu.be/Zc7oUOjVZ3c","channel 2")</f>
        <v>channel 2</v>
      </c>
    </row>
    <row r="93">
      <c r="B93" s="56" t="s">
        <v>2034</v>
      </c>
      <c r="C93" s="57" t="s">
        <v>2891</v>
      </c>
      <c r="D93" s="56" t="s">
        <v>3622</v>
      </c>
      <c r="E93" s="158" t="str">
        <f>HYPERLINK("https://youtu.be/sI249XfDgnk","channel 1")</f>
        <v>channel 1</v>
      </c>
    </row>
    <row r="94">
      <c r="B94" s="56" t="s">
        <v>4075</v>
      </c>
      <c r="C94" s="57" t="s">
        <v>163</v>
      </c>
      <c r="D94" s="56" t="s">
        <v>4182</v>
      </c>
      <c r="E94" s="11" t="str">
        <f>HYPERLINK("https://youtu.be/gSewnIGg8f8","channel 2")</f>
        <v>channel 2</v>
      </c>
    </row>
    <row r="95">
      <c r="B95" s="56" t="s">
        <v>2034</v>
      </c>
      <c r="C95" s="57" t="s">
        <v>177</v>
      </c>
      <c r="D95" s="56" t="s">
        <v>4183</v>
      </c>
      <c r="E95" s="158" t="str">
        <f>HYPERLINK("https://youtu.be/1Xnv2dLnPwc","channel 1")</f>
        <v>channel 1</v>
      </c>
    </row>
    <row r="96">
      <c r="B96" s="56" t="s">
        <v>4075</v>
      </c>
      <c r="C96" s="57" t="s">
        <v>219</v>
      </c>
      <c r="D96" s="56" t="s">
        <v>3622</v>
      </c>
      <c r="E96" s="11" t="str">
        <f>HYPERLINK("https://youtu.be/vjEHgAQEAtM","channel 2")</f>
        <v>channel 2</v>
      </c>
    </row>
    <row r="97">
      <c r="B97" s="56" t="s">
        <v>2034</v>
      </c>
      <c r="C97" s="57" t="s">
        <v>433</v>
      </c>
      <c r="D97" s="56" t="s">
        <v>4182</v>
      </c>
      <c r="E97" s="158" t="str">
        <f>HYPERLINK("https://youtu.be/qpYVeqNLQVs","channel 1")</f>
        <v>channel 1</v>
      </c>
    </row>
    <row r="98">
      <c r="B98" s="56" t="s">
        <v>4183</v>
      </c>
      <c r="C98" s="57" t="s">
        <v>547</v>
      </c>
      <c r="D98" s="56" t="s">
        <v>3622</v>
      </c>
      <c r="E98" s="11" t="str">
        <f>HYPERLINK("https://youtu.be/uLx1hyCapu8","channel 2")</f>
        <v>channel 2</v>
      </c>
    </row>
    <row r="99">
      <c r="B99" s="56" t="s">
        <v>2034</v>
      </c>
      <c r="C99" s="57" t="s">
        <v>162</v>
      </c>
      <c r="D99" s="56" t="s">
        <v>4075</v>
      </c>
      <c r="E99" s="158" t="str">
        <f>HYPERLINK("https://youtu.be/Q1BKq0igUpc","channel 1")</f>
        <v>channel 1</v>
      </c>
    </row>
    <row r="100">
      <c r="B100" s="56" t="s">
        <v>4183</v>
      </c>
      <c r="C100" s="57" t="s">
        <v>196</v>
      </c>
      <c r="D100" s="56" t="s">
        <v>4182</v>
      </c>
      <c r="E100" s="11" t="str">
        <f>HYPERLINK("https://youtu.be/KGoD5roHBIE","channel 2")</f>
        <v>channel 2</v>
      </c>
    </row>
    <row r="101">
      <c r="B101" s="56" t="s">
        <v>4182</v>
      </c>
      <c r="C101" s="57" t="s">
        <v>1245</v>
      </c>
      <c r="D101" s="56" t="s">
        <v>3622</v>
      </c>
      <c r="E101" s="158" t="str">
        <f>HYPERLINK("https://youtu.be/sW9GIcBP1cM","channel 1")</f>
        <v>channel 1</v>
      </c>
    </row>
    <row r="102">
      <c r="B102" s="56" t="s">
        <v>4183</v>
      </c>
      <c r="C102" s="57" t="s">
        <v>209</v>
      </c>
      <c r="D102" s="56" t="s">
        <v>4075</v>
      </c>
      <c r="E102" s="11" t="str">
        <f>HYPERLINK("https://youtu.be/gkbX7Q6yw8g","channel 2")</f>
        <v>channel 2</v>
      </c>
    </row>
    <row r="103">
      <c r="B103" s="56" t="s">
        <v>3622</v>
      </c>
      <c r="C103" s="57" t="s">
        <v>290</v>
      </c>
      <c r="D103" s="56" t="s">
        <v>2034</v>
      </c>
      <c r="E103" s="158" t="str">
        <f>HYPERLINK("https://youtu.be/bPXxqghqukM","channel 1")</f>
        <v>channel 1</v>
      </c>
    </row>
    <row r="104">
      <c r="B104" s="56" t="s">
        <v>4182</v>
      </c>
      <c r="C104" s="57" t="s">
        <v>220</v>
      </c>
      <c r="D104" s="56" t="s">
        <v>4075</v>
      </c>
      <c r="E104" s="11" t="str">
        <f>HYPERLINK("https://youtu.be/qu3KxfIc2as","channel 2")</f>
        <v>channel 2</v>
      </c>
    </row>
    <row r="105">
      <c r="B105" s="56" t="s">
        <v>4183</v>
      </c>
      <c r="C105" s="57" t="s">
        <v>459</v>
      </c>
      <c r="D105" s="56" t="s">
        <v>2034</v>
      </c>
      <c r="E105" s="158" t="str">
        <f>HYPERLINK("https://youtu.be/NU7DMWccMiY","channel 1")</f>
        <v>channel 1</v>
      </c>
    </row>
    <row r="106">
      <c r="B106" s="56" t="s">
        <v>3622</v>
      </c>
      <c r="C106" s="57" t="s">
        <v>289</v>
      </c>
      <c r="D106" s="56" t="s">
        <v>4075</v>
      </c>
      <c r="E106" s="11" t="str">
        <f>HYPERLINK("https://youtu.be/6opngDaihzA","channel 2")</f>
        <v>channel 2</v>
      </c>
    </row>
    <row r="107">
      <c r="B107" s="56" t="s">
        <v>4182</v>
      </c>
      <c r="C107" s="57" t="s">
        <v>185</v>
      </c>
      <c r="D107" s="56" t="s">
        <v>2034</v>
      </c>
      <c r="E107" s="158" t="str">
        <f>HYPERLINK("https://youtu.be/d8VrDSu7rOY","channel 1")</f>
        <v>channel 1</v>
      </c>
    </row>
    <row r="108">
      <c r="B108" s="56" t="s">
        <v>3622</v>
      </c>
      <c r="C108" s="57" t="s">
        <v>1947</v>
      </c>
      <c r="D108" s="56" t="s">
        <v>4183</v>
      </c>
      <c r="E108" s="11" t="str">
        <f>HYPERLINK("https://youtu.be/5X8esm6XWxk","channel 2")</f>
        <v>channel 2</v>
      </c>
    </row>
    <row r="109">
      <c r="B109" s="56" t="s">
        <v>4075</v>
      </c>
      <c r="C109" s="57" t="s">
        <v>352</v>
      </c>
      <c r="D109" s="56" t="s">
        <v>2034</v>
      </c>
      <c r="E109" s="158" t="str">
        <f>HYPERLINK("https://youtu.be/5JLZJeyK3zc","channel 1")</f>
        <v>channel 1</v>
      </c>
    </row>
    <row r="110">
      <c r="B110" s="56" t="s">
        <v>4182</v>
      </c>
      <c r="C110" s="57" t="s">
        <v>43</v>
      </c>
      <c r="D110" s="56" t="s">
        <v>4183</v>
      </c>
      <c r="E110" s="11" t="str">
        <f>HYPERLINK("https://youtu.be/4NWlQxhNzdg","channel 2")</f>
        <v>channel 2</v>
      </c>
    </row>
    <row r="111">
      <c r="B111" s="96" t="s">
        <v>2304</v>
      </c>
      <c r="C111" s="2"/>
      <c r="D111" s="3"/>
      <c r="E111" s="161"/>
    </row>
    <row r="112">
      <c r="B112" s="45" t="s">
        <v>2</v>
      </c>
      <c r="C112" s="45" t="s">
        <v>3</v>
      </c>
      <c r="D112" s="45" t="s">
        <v>4</v>
      </c>
      <c r="E112" s="21" t="s">
        <v>5</v>
      </c>
    </row>
    <row r="113">
      <c r="B113" s="56" t="s">
        <v>3932</v>
      </c>
      <c r="C113" s="57" t="s">
        <v>570</v>
      </c>
      <c r="D113" s="56" t="s">
        <v>3618</v>
      </c>
      <c r="E113" s="158" t="str">
        <f>HYPERLINK("https://youtu.be/3beiZGN0R80","channel 1")</f>
        <v>channel 1</v>
      </c>
    </row>
    <row r="114">
      <c r="B114" s="56" t="s">
        <v>4184</v>
      </c>
      <c r="C114" s="57" t="s">
        <v>713</v>
      </c>
      <c r="D114" s="56" t="s">
        <v>4185</v>
      </c>
      <c r="E114" s="11" t="str">
        <f>HYPERLINK("https://youtu.be/3-rT9VA62o4","channel 2")</f>
        <v>channel 2</v>
      </c>
    </row>
    <row r="115">
      <c r="B115" s="56" t="s">
        <v>310</v>
      </c>
      <c r="C115" s="57" t="s">
        <v>194</v>
      </c>
      <c r="D115" s="56" t="s">
        <v>3932</v>
      </c>
      <c r="E115" s="158" t="str">
        <f>HYPERLINK("https://youtu.be/CdloY1hneJU","channel 1")</f>
        <v>channel 1</v>
      </c>
    </row>
    <row r="116">
      <c r="B116" s="56" t="s">
        <v>4184</v>
      </c>
      <c r="C116" s="57" t="s">
        <v>17</v>
      </c>
      <c r="D116" s="56" t="s">
        <v>3618</v>
      </c>
      <c r="E116" s="11" t="str">
        <f>HYPERLINK("https://youtu.be/VDuGFeN3c0E","channel 2")</f>
        <v>channel 2</v>
      </c>
    </row>
    <row r="117">
      <c r="B117" s="56" t="s">
        <v>310</v>
      </c>
      <c r="C117" s="57" t="s">
        <v>426</v>
      </c>
      <c r="D117" s="56" t="s">
        <v>4185</v>
      </c>
      <c r="E117" s="158" t="str">
        <f>HYPERLINK("https://youtu.be/uKGt1Pz1AdU","channel 1")</f>
        <v>channel 1</v>
      </c>
    </row>
    <row r="118">
      <c r="B118" s="56" t="s">
        <v>4184</v>
      </c>
      <c r="C118" s="57" t="s">
        <v>219</v>
      </c>
      <c r="D118" s="56" t="s">
        <v>3932</v>
      </c>
      <c r="E118" s="11" t="str">
        <f>HYPERLINK("https://youtu.be/1dKHdQ2FNVY","channel 2")</f>
        <v>channel 2</v>
      </c>
    </row>
    <row r="119">
      <c r="B119" s="56" t="s">
        <v>310</v>
      </c>
      <c r="C119" s="57" t="s">
        <v>196</v>
      </c>
      <c r="D119" s="56" t="s">
        <v>3618</v>
      </c>
      <c r="E119" s="158" t="str">
        <f>HYPERLINK("https://youtu.be/fWWCnvTs6Ws","channel 1")</f>
        <v>channel 1</v>
      </c>
    </row>
    <row r="120">
      <c r="B120" s="56" t="s">
        <v>4185</v>
      </c>
      <c r="C120" s="57" t="s">
        <v>286</v>
      </c>
      <c r="D120" s="56" t="s">
        <v>3932</v>
      </c>
      <c r="E120" s="11" t="str">
        <f>HYPERLINK("https://youtu.be/vPOZWFyYJqE","channel 2")</f>
        <v>channel 2</v>
      </c>
    </row>
    <row r="121">
      <c r="B121" s="56" t="s">
        <v>310</v>
      </c>
      <c r="C121" s="57" t="s">
        <v>181</v>
      </c>
      <c r="D121" s="56" t="s">
        <v>4184</v>
      </c>
      <c r="E121" s="158" t="str">
        <f>HYPERLINK("https://youtu.be/-4qwB0zHRQ4","channel 1")</f>
        <v>channel 1</v>
      </c>
    </row>
    <row r="122">
      <c r="B122" s="56" t="s">
        <v>4185</v>
      </c>
      <c r="C122" s="57" t="s">
        <v>3939</v>
      </c>
      <c r="D122" s="56" t="s">
        <v>3618</v>
      </c>
      <c r="E122" s="11" t="str">
        <f>HYPERLINK("https://youtu.be/2trj0fw7eP4","channel 2")</f>
        <v>channel 2</v>
      </c>
    </row>
    <row r="123">
      <c r="B123" s="56" t="s">
        <v>3618</v>
      </c>
      <c r="C123" s="57" t="s">
        <v>502</v>
      </c>
      <c r="D123" s="56" t="s">
        <v>3932</v>
      </c>
      <c r="E123" s="158" t="str">
        <f>HYPERLINK("https://youtu.be/qBPOYYu2pRA","channel 1")</f>
        <v>channel 1</v>
      </c>
    </row>
    <row r="124">
      <c r="B124" s="56" t="s">
        <v>4185</v>
      </c>
      <c r="C124" s="57" t="s">
        <v>184</v>
      </c>
      <c r="D124" s="56" t="s">
        <v>4184</v>
      </c>
      <c r="E124" s="11" t="str">
        <f>HYPERLINK("https://youtu.be/_AmbcDK2RGg","channel 2")</f>
        <v>channel 2</v>
      </c>
    </row>
    <row r="125">
      <c r="B125" s="56" t="s">
        <v>3932</v>
      </c>
      <c r="C125" s="57" t="s">
        <v>182</v>
      </c>
      <c r="D125" s="56" t="s">
        <v>310</v>
      </c>
      <c r="E125" s="158" t="str">
        <f>HYPERLINK("https://youtu.be/6GtRBnrbg4Y","channel 1")</f>
        <v>channel 1</v>
      </c>
    </row>
    <row r="126">
      <c r="B126" s="56" t="s">
        <v>3618</v>
      </c>
      <c r="C126" s="57" t="s">
        <v>303</v>
      </c>
      <c r="D126" s="56" t="s">
        <v>4184</v>
      </c>
      <c r="E126" s="11" t="str">
        <f>HYPERLINK("https://youtu.be/7cU94iPey1o","channel 2")</f>
        <v>channel 2</v>
      </c>
    </row>
    <row r="127">
      <c r="B127" s="56" t="s">
        <v>4185</v>
      </c>
      <c r="C127" s="57" t="s">
        <v>354</v>
      </c>
      <c r="D127" s="56" t="s">
        <v>310</v>
      </c>
      <c r="E127" s="158" t="str">
        <f>HYPERLINK("https://youtu.be/zPFPcDeWG-A","channel 1")</f>
        <v>channel 1</v>
      </c>
    </row>
    <row r="128">
      <c r="B128" s="56" t="s">
        <v>3932</v>
      </c>
      <c r="C128" s="57" t="s">
        <v>185</v>
      </c>
      <c r="D128" s="56" t="s">
        <v>4184</v>
      </c>
      <c r="E128" s="11" t="str">
        <f>HYPERLINK("https://youtu.be/VCa28CGMAhA","channel 2")</f>
        <v>channel 2</v>
      </c>
    </row>
    <row r="129">
      <c r="B129" s="56" t="s">
        <v>3618</v>
      </c>
      <c r="C129" s="57" t="s">
        <v>209</v>
      </c>
      <c r="D129" s="56" t="s">
        <v>310</v>
      </c>
      <c r="E129" s="158" t="str">
        <f>HYPERLINK("https://youtu.be/O9h_qmJV5jU","channel 1")</f>
        <v>channel 1</v>
      </c>
    </row>
    <row r="130">
      <c r="B130" s="56" t="s">
        <v>3932</v>
      </c>
      <c r="C130" s="57" t="s">
        <v>4186</v>
      </c>
      <c r="D130" s="56" t="s">
        <v>4185</v>
      </c>
      <c r="E130" s="11" t="str">
        <f>HYPERLINK("https://www.youtube.com/watch?v=snFaupThJgw","channel 2")</f>
        <v>channel 2</v>
      </c>
    </row>
    <row r="131">
      <c r="B131" s="56" t="s">
        <v>4184</v>
      </c>
      <c r="C131" s="57" t="s">
        <v>155</v>
      </c>
      <c r="D131" s="56" t="s">
        <v>310</v>
      </c>
      <c r="E131" s="158" t="str">
        <f>HYPERLINK("https://youtu.be/tfsHXnSAKvQ","channel 1")</f>
        <v>channel 1</v>
      </c>
    </row>
    <row r="132">
      <c r="B132" s="56" t="s">
        <v>3618</v>
      </c>
      <c r="C132" s="57" t="s">
        <v>208</v>
      </c>
      <c r="D132" s="56" t="s">
        <v>4185</v>
      </c>
      <c r="E132" s="11" t="str">
        <f>HYPERLINK("https://www.youtube.com/watch?v=RdphBVlc7ew","channel 2")</f>
        <v>channel 2</v>
      </c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2882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3219</v>
      </c>
      <c r="C3" s="57" t="s">
        <v>23</v>
      </c>
      <c r="D3" s="56" t="s">
        <v>546</v>
      </c>
      <c r="E3" s="158" t="str">
        <f>HYPERLINK("https://youtu.be/xs7YF0VMChQ","channel 1")</f>
        <v>channel 1</v>
      </c>
    </row>
    <row r="4">
      <c r="A4" s="141"/>
      <c r="B4" s="56" t="s">
        <v>4187</v>
      </c>
      <c r="C4" s="57" t="s">
        <v>244</v>
      </c>
      <c r="D4" s="56" t="s">
        <v>287</v>
      </c>
      <c r="E4" s="11" t="str">
        <f>HYPERLINK("https://youtu.be/1JXepVJOlFI","channel 2")</f>
        <v>channel 2</v>
      </c>
    </row>
    <row r="5">
      <c r="A5" s="141"/>
      <c r="B5" s="56" t="s">
        <v>4188</v>
      </c>
      <c r="C5" s="57" t="s">
        <v>185</v>
      </c>
      <c r="D5" s="56" t="s">
        <v>3219</v>
      </c>
      <c r="E5" s="169" t="str">
        <f>HYPERLINK("https://youtu.be/q2djOKeCNa4","channel 1")</f>
        <v>channel 1</v>
      </c>
    </row>
    <row r="6">
      <c r="A6" s="141"/>
      <c r="B6" s="56" t="s">
        <v>4187</v>
      </c>
      <c r="C6" s="57" t="s">
        <v>257</v>
      </c>
      <c r="D6" s="56" t="s">
        <v>546</v>
      </c>
      <c r="E6" s="11" t="str">
        <f>HYPERLINK("https://youtu.be/x8F3lOql5kA","channel 2")</f>
        <v>channel 2</v>
      </c>
    </row>
    <row r="7">
      <c r="A7" s="141"/>
      <c r="B7" s="56" t="s">
        <v>4188</v>
      </c>
      <c r="C7" s="57" t="s">
        <v>225</v>
      </c>
      <c r="D7" s="56" t="s">
        <v>287</v>
      </c>
      <c r="E7" s="158" t="str">
        <f>HYPERLINK("https://youtu.be/hCW5HqDpucM","channel 1")</f>
        <v>channel 1</v>
      </c>
    </row>
    <row r="8">
      <c r="A8" s="141"/>
      <c r="B8" s="56" t="s">
        <v>4187</v>
      </c>
      <c r="C8" s="57" t="s">
        <v>159</v>
      </c>
      <c r="D8" s="56" t="s">
        <v>3219</v>
      </c>
      <c r="E8" s="11" t="str">
        <f>HYPERLINK("https://youtu.be/gLOQ6Kls17s","channel 2")</f>
        <v>channel 2</v>
      </c>
    </row>
    <row r="9">
      <c r="A9" s="141"/>
      <c r="B9" s="56" t="s">
        <v>4188</v>
      </c>
      <c r="C9" s="57" t="s">
        <v>7</v>
      </c>
      <c r="D9" s="56" t="s">
        <v>546</v>
      </c>
      <c r="E9" s="169" t="str">
        <f>HYPERLINK("https://youtu.be/vxNfXIkWYD0","channel 1")</f>
        <v>channel 1</v>
      </c>
    </row>
    <row r="10">
      <c r="A10" s="141"/>
      <c r="B10" s="56" t="s">
        <v>287</v>
      </c>
      <c r="C10" s="57" t="s">
        <v>14</v>
      </c>
      <c r="D10" s="56" t="s">
        <v>3219</v>
      </c>
      <c r="E10" s="11" t="str">
        <f>HYPERLINK("https://youtu.be/_oCXuFzTpzM","channel 2")</f>
        <v>channel 2</v>
      </c>
    </row>
    <row r="11">
      <c r="A11" s="141"/>
      <c r="B11" s="56" t="s">
        <v>4188</v>
      </c>
      <c r="C11" s="57" t="s">
        <v>271</v>
      </c>
      <c r="D11" s="56" t="s">
        <v>4187</v>
      </c>
      <c r="E11" s="158" t="str">
        <f>HYPERLINK("https://youtu.be/-iRNc50aMHQ","channel 1")</f>
        <v>channel 1</v>
      </c>
    </row>
    <row r="12">
      <c r="A12" s="141"/>
      <c r="B12" s="56" t="s">
        <v>287</v>
      </c>
      <c r="C12" s="57" t="s">
        <v>14</v>
      </c>
      <c r="D12" s="56" t="s">
        <v>546</v>
      </c>
      <c r="E12" s="11" t="str">
        <f>HYPERLINK("https://youtu.be/BlVzgfDyQYY","channel 2")</f>
        <v>channel 2</v>
      </c>
    </row>
    <row r="13">
      <c r="A13" s="141"/>
      <c r="B13" s="56" t="s">
        <v>546</v>
      </c>
      <c r="C13" s="57" t="s">
        <v>17</v>
      </c>
      <c r="D13" s="56" t="s">
        <v>3219</v>
      </c>
      <c r="E13" s="169" t="str">
        <f>HYPERLINK("https://youtu.be/7SvAjVv_NCA","channel 1")</f>
        <v>channel 1</v>
      </c>
    </row>
    <row r="14">
      <c r="A14" s="141"/>
      <c r="B14" s="56" t="s">
        <v>287</v>
      </c>
      <c r="C14" s="57" t="s">
        <v>2050</v>
      </c>
      <c r="D14" s="56" t="s">
        <v>4187</v>
      </c>
      <c r="E14" s="11" t="str">
        <f>HYPERLINK("https://youtu.be/9JcE4cUI-5A","channel 2")</f>
        <v>channel 2</v>
      </c>
    </row>
    <row r="15">
      <c r="A15" s="141"/>
      <c r="B15" s="56" t="s">
        <v>3219</v>
      </c>
      <c r="C15" s="57" t="s">
        <v>352</v>
      </c>
      <c r="D15" s="56" t="s">
        <v>4188</v>
      </c>
      <c r="E15" s="158" t="str">
        <f>HYPERLINK("https://youtu.be/JXVN0UAVuiY","channel 1")</f>
        <v>channel 1</v>
      </c>
    </row>
    <row r="16">
      <c r="A16" s="141"/>
      <c r="B16" s="56" t="s">
        <v>546</v>
      </c>
      <c r="C16" s="57" t="s">
        <v>18</v>
      </c>
      <c r="D16" s="56" t="s">
        <v>4187</v>
      </c>
      <c r="E16" s="11" t="str">
        <f>HYPERLINK("https://youtu.be/GifT_U61CU0","channel 2")</f>
        <v>channel 2</v>
      </c>
    </row>
    <row r="17">
      <c r="A17" s="141"/>
      <c r="B17" s="56" t="s">
        <v>287</v>
      </c>
      <c r="C17" s="57" t="s">
        <v>185</v>
      </c>
      <c r="D17" s="56" t="s">
        <v>4188</v>
      </c>
      <c r="E17" s="169" t="str">
        <f>HYPERLINK("https://youtu.be/J0Mravty90I","channel 1")</f>
        <v>channel 1</v>
      </c>
    </row>
    <row r="18">
      <c r="A18" s="141"/>
      <c r="B18" s="56" t="s">
        <v>3219</v>
      </c>
      <c r="C18" s="57" t="s">
        <v>19</v>
      </c>
      <c r="D18" s="56" t="s">
        <v>4187</v>
      </c>
      <c r="E18" s="11" t="str">
        <f>HYPERLINK("https://youtu.be/hvCTnwS_Sp4","channel 2")</f>
        <v>channel 2</v>
      </c>
    </row>
    <row r="19">
      <c r="A19" s="141"/>
      <c r="B19" s="56" t="s">
        <v>546</v>
      </c>
      <c r="C19" s="57" t="s">
        <v>193</v>
      </c>
      <c r="D19" s="56" t="s">
        <v>4188</v>
      </c>
      <c r="E19" s="158" t="str">
        <f>HYPERLINK("https://youtu.be/oC73eClZmCI","channel 1")</f>
        <v>channel 1</v>
      </c>
    </row>
    <row r="20">
      <c r="A20" s="141"/>
      <c r="B20" s="56" t="s">
        <v>3219</v>
      </c>
      <c r="C20" s="57" t="s">
        <v>16</v>
      </c>
      <c r="D20" s="56" t="s">
        <v>287</v>
      </c>
      <c r="E20" s="11" t="str">
        <f>HYPERLINK("https://youtu.be/8RqkwRV-Eyk","channel 2")</f>
        <v>channel 2</v>
      </c>
    </row>
    <row r="21">
      <c r="A21" s="141"/>
      <c r="B21" s="56" t="s">
        <v>4187</v>
      </c>
      <c r="C21" s="57" t="s">
        <v>751</v>
      </c>
      <c r="D21" s="56" t="s">
        <v>4188</v>
      </c>
      <c r="E21" s="169" t="str">
        <f>HYPERLINK("https://youtu.be/iIm0DMvTxO0","channel 1")</f>
        <v>channel 1</v>
      </c>
    </row>
    <row r="22">
      <c r="A22" s="141"/>
      <c r="B22" s="56" t="s">
        <v>546</v>
      </c>
      <c r="C22" s="57" t="s">
        <v>173</v>
      </c>
      <c r="D22" s="56" t="s">
        <v>287</v>
      </c>
      <c r="E22" s="11" t="str">
        <f>HYPERLINK("https://youtu.be/1LSzIPfNU0g","channel 2")</f>
        <v>channel 2</v>
      </c>
    </row>
    <row r="23">
      <c r="A23" s="141"/>
      <c r="B23" s="96" t="s">
        <v>4189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145</v>
      </c>
      <c r="C25" s="57" t="s">
        <v>375</v>
      </c>
      <c r="D25" s="56" t="s">
        <v>4190</v>
      </c>
      <c r="E25" s="158" t="str">
        <f>HYPERLINK("https://youtu.be/u5tWJ8_mMic","channel 1")</f>
        <v>channel 1</v>
      </c>
    </row>
    <row r="26">
      <c r="A26" s="141"/>
      <c r="B26" s="56" t="s">
        <v>3720</v>
      </c>
      <c r="C26" s="57" t="s">
        <v>354</v>
      </c>
      <c r="D26" s="56" t="s">
        <v>1983</v>
      </c>
      <c r="E26" s="11" t="str">
        <f>HYPERLINK("https://youtu.be/rgM5JUtq9wk","channel 2")</f>
        <v>channel 2</v>
      </c>
    </row>
    <row r="27">
      <c r="A27" s="141"/>
      <c r="B27" s="56" t="s">
        <v>3970</v>
      </c>
      <c r="C27" s="57" t="s">
        <v>14</v>
      </c>
      <c r="D27" s="56" t="s">
        <v>145</v>
      </c>
      <c r="E27" s="169" t="str">
        <f>HYPERLINK("https://youtu.be/jYNR-MG-FDE","channel 1")</f>
        <v>channel 1</v>
      </c>
    </row>
    <row r="28">
      <c r="A28" s="141"/>
      <c r="B28" s="56" t="s">
        <v>3720</v>
      </c>
      <c r="C28" s="57" t="s">
        <v>219</v>
      </c>
      <c r="D28" s="56" t="s">
        <v>4190</v>
      </c>
      <c r="E28" s="11" t="str">
        <f>HYPERLINK("https://youtu.be/1bosot7ijxA","channel 2")</f>
        <v>channel 2</v>
      </c>
    </row>
    <row r="29">
      <c r="A29" s="141"/>
      <c r="B29" s="56" t="s">
        <v>3970</v>
      </c>
      <c r="C29" s="57" t="s">
        <v>302</v>
      </c>
      <c r="D29" s="56" t="s">
        <v>1983</v>
      </c>
      <c r="E29" s="158" t="str">
        <f>HYPERLINK("https://youtu.be/8dNVMcPalGQ","channel 1")</f>
        <v>channel 1</v>
      </c>
    </row>
    <row r="30">
      <c r="A30" s="141"/>
      <c r="B30" s="56" t="s">
        <v>3720</v>
      </c>
      <c r="C30" s="57" t="s">
        <v>293</v>
      </c>
      <c r="D30" s="56" t="s">
        <v>145</v>
      </c>
      <c r="E30" s="11" t="str">
        <f>HYPERLINK("https://youtu.be/ZwuJO72LYpE","channel 2")</f>
        <v>channel 2</v>
      </c>
    </row>
    <row r="31">
      <c r="A31" s="141"/>
      <c r="B31" s="56" t="s">
        <v>3970</v>
      </c>
      <c r="C31" s="57" t="s">
        <v>357</v>
      </c>
      <c r="D31" s="56" t="s">
        <v>4190</v>
      </c>
      <c r="E31" s="169" t="str">
        <f>HYPERLINK("https://youtu.be/v7FjquMaZdM","channel 1")</f>
        <v>channel 1</v>
      </c>
    </row>
    <row r="32">
      <c r="A32" s="141"/>
      <c r="B32" s="56" t="s">
        <v>1983</v>
      </c>
      <c r="C32" s="57" t="s">
        <v>198</v>
      </c>
      <c r="D32" s="56" t="s">
        <v>145</v>
      </c>
      <c r="E32" s="11" t="str">
        <f>HYPERLINK("https://youtu.be/wBd0YQHnQVE","channel 2")</f>
        <v>channel 2</v>
      </c>
    </row>
    <row r="33">
      <c r="A33" s="141"/>
      <c r="B33" s="56" t="s">
        <v>3970</v>
      </c>
      <c r="C33" s="57" t="s">
        <v>194</v>
      </c>
      <c r="D33" s="56" t="s">
        <v>3720</v>
      </c>
      <c r="E33" s="158" t="str">
        <f>HYPERLINK("https://youtu.be/-6fKyjYSAgQ","channel 1")</f>
        <v>channel 1</v>
      </c>
    </row>
    <row r="34">
      <c r="A34" s="141"/>
      <c r="B34" s="56" t="s">
        <v>1983</v>
      </c>
      <c r="C34" s="57" t="s">
        <v>291</v>
      </c>
      <c r="D34" s="56" t="s">
        <v>4190</v>
      </c>
      <c r="E34" s="11" t="str">
        <f>HYPERLINK("https://youtu.be/hNRQxUgDZGA","channel 2")</f>
        <v>channel 2</v>
      </c>
    </row>
    <row r="35">
      <c r="A35" s="141"/>
      <c r="B35" s="56" t="s">
        <v>4190</v>
      </c>
      <c r="C35" s="57" t="s">
        <v>279</v>
      </c>
      <c r="D35" s="56" t="s">
        <v>145</v>
      </c>
      <c r="E35" s="169" t="str">
        <f>HYPERLINK("https://youtu.be/0QU_qB-aOgE","channel 1")</f>
        <v>channel 1</v>
      </c>
    </row>
    <row r="36">
      <c r="A36" s="141"/>
      <c r="B36" s="56" t="s">
        <v>1983</v>
      </c>
      <c r="C36" s="57" t="s">
        <v>43</v>
      </c>
      <c r="D36" s="56" t="s">
        <v>3720</v>
      </c>
      <c r="E36" s="11" t="str">
        <f>HYPERLINK("https://youtu.be/oJ_NCgVYmtM","channel 2")</f>
        <v>channel 2</v>
      </c>
    </row>
    <row r="37">
      <c r="A37" s="141"/>
      <c r="B37" s="56" t="s">
        <v>145</v>
      </c>
      <c r="C37" s="57" t="s">
        <v>181</v>
      </c>
      <c r="D37" s="56" t="s">
        <v>3970</v>
      </c>
      <c r="E37" s="158" t="str">
        <f>HYPERLINK("https://youtu.be/Xq22gGPWqj8","channel 1")</f>
        <v>channel 1</v>
      </c>
    </row>
    <row r="38">
      <c r="A38" s="141"/>
      <c r="B38" s="56" t="s">
        <v>4190</v>
      </c>
      <c r="C38" s="57" t="s">
        <v>4191</v>
      </c>
      <c r="D38" s="56" t="s">
        <v>3720</v>
      </c>
      <c r="E38" s="11" t="str">
        <f>HYPERLINK("https://youtu.be/kvMbKF8yXpg","channel 2")</f>
        <v>channel 2</v>
      </c>
    </row>
    <row r="39">
      <c r="A39" s="141"/>
      <c r="B39" s="56" t="s">
        <v>1983</v>
      </c>
      <c r="C39" s="45" t="s">
        <v>203</v>
      </c>
      <c r="D39" s="56" t="s">
        <v>3970</v>
      </c>
      <c r="E39" s="169" t="str">
        <f>HYPERLINK("https://youtu.be/rr3o3m6-2RY","channel 1")</f>
        <v>channel 1</v>
      </c>
    </row>
    <row r="40">
      <c r="A40" s="141"/>
      <c r="B40" s="56" t="s">
        <v>145</v>
      </c>
      <c r="C40" s="57" t="s">
        <v>43</v>
      </c>
      <c r="D40" s="56" t="s">
        <v>3720</v>
      </c>
      <c r="E40" s="11" t="str">
        <f>HYPERLINK("https://youtu.be/x_8mYVex2gQ","channel 2")</f>
        <v>channel 2</v>
      </c>
    </row>
    <row r="41">
      <c r="A41" s="141"/>
      <c r="B41" s="56" t="s">
        <v>4190</v>
      </c>
      <c r="C41" s="57" t="s">
        <v>155</v>
      </c>
      <c r="D41" s="56" t="s">
        <v>3970</v>
      </c>
      <c r="E41" s="158" t="str">
        <f>HYPERLINK("https://youtu.be/H9517pfECes","channel 1")</f>
        <v>channel 1</v>
      </c>
    </row>
    <row r="42">
      <c r="A42" s="141"/>
      <c r="B42" s="56" t="s">
        <v>145</v>
      </c>
      <c r="C42" s="57" t="s">
        <v>180</v>
      </c>
      <c r="D42" s="56" t="s">
        <v>1983</v>
      </c>
      <c r="E42" s="11" t="str">
        <f>HYPERLINK("https://youtu.be/rKSwtazTcv8","channel 2")</f>
        <v>channel 2</v>
      </c>
    </row>
    <row r="43">
      <c r="A43" s="141"/>
      <c r="B43" s="56" t="s">
        <v>3720</v>
      </c>
      <c r="C43" s="57" t="s">
        <v>210</v>
      </c>
      <c r="D43" s="56" t="s">
        <v>3970</v>
      </c>
      <c r="E43" s="169" t="str">
        <f>HYPERLINK("https://youtu.be/9U6OZ-mHG30","channel 1")</f>
        <v>channel 1</v>
      </c>
    </row>
    <row r="44">
      <c r="A44" s="141"/>
      <c r="B44" s="56" t="s">
        <v>4190</v>
      </c>
      <c r="C44" s="57" t="s">
        <v>171</v>
      </c>
      <c r="D44" s="56" t="s">
        <v>1983</v>
      </c>
      <c r="E44" s="11" t="str">
        <f>HYPERLINK("https://youtu.be/k_3twbUCDTQ","channel 2")</f>
        <v>channel 2</v>
      </c>
    </row>
    <row r="45">
      <c r="A45" s="141"/>
      <c r="B45" s="96" t="s">
        <v>4192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3793</v>
      </c>
      <c r="C47" s="57" t="s">
        <v>2876</v>
      </c>
      <c r="D47" s="56" t="s">
        <v>2153</v>
      </c>
      <c r="E47" s="158" t="str">
        <f>HYPERLINK("https://youtu.be/q9Hwa3pDJqY","channel 1")</f>
        <v>channel 1</v>
      </c>
    </row>
    <row r="48">
      <c r="A48" s="141"/>
      <c r="B48" s="56" t="s">
        <v>1896</v>
      </c>
      <c r="C48" s="57" t="s">
        <v>162</v>
      </c>
      <c r="D48" s="56" t="s">
        <v>2541</v>
      </c>
      <c r="E48" s="11" t="str">
        <f>HYPERLINK("https://youtu.be/F4z54xT8qdU","channel 2")</f>
        <v>channel 2</v>
      </c>
    </row>
    <row r="49">
      <c r="A49" s="141"/>
      <c r="B49" s="56" t="s">
        <v>4193</v>
      </c>
      <c r="C49" s="57" t="s">
        <v>688</v>
      </c>
      <c r="D49" s="56" t="s">
        <v>3793</v>
      </c>
      <c r="E49" s="169" t="str">
        <f>HYPERLINK("https://youtu.be/rtUB9jprqAk","channel 1")</f>
        <v>channel 1</v>
      </c>
    </row>
    <row r="50">
      <c r="A50" s="141"/>
      <c r="B50" s="56" t="s">
        <v>1896</v>
      </c>
      <c r="C50" s="57" t="s">
        <v>162</v>
      </c>
      <c r="D50" s="56" t="s">
        <v>2153</v>
      </c>
      <c r="E50" s="11" t="str">
        <f>HYPERLINK("https://youtu.be/6nAYZ9cpVcU","channel 2")</f>
        <v>channel 2</v>
      </c>
    </row>
    <row r="51">
      <c r="A51" s="141"/>
      <c r="B51" s="56" t="s">
        <v>4193</v>
      </c>
      <c r="C51" s="57" t="s">
        <v>158</v>
      </c>
      <c r="D51" s="56" t="s">
        <v>2541</v>
      </c>
      <c r="E51" s="158" t="str">
        <f>HYPERLINK("https://youtu.be/qcd931KLwYw","channel 1")</f>
        <v>channel 1</v>
      </c>
    </row>
    <row r="52">
      <c r="A52" s="141"/>
      <c r="B52" s="56" t="s">
        <v>1896</v>
      </c>
      <c r="C52" s="57" t="s">
        <v>14</v>
      </c>
      <c r="D52" s="56" t="s">
        <v>3793</v>
      </c>
      <c r="E52" s="11" t="str">
        <f>HYPERLINK("https://youtu.be/D4xfkr0JUQE","channel 2")</f>
        <v>channel 2</v>
      </c>
    </row>
    <row r="53">
      <c r="A53" s="141"/>
      <c r="B53" s="56" t="s">
        <v>4193</v>
      </c>
      <c r="C53" s="57" t="s">
        <v>517</v>
      </c>
      <c r="D53" s="56" t="s">
        <v>2153</v>
      </c>
      <c r="E53" s="158" t="str">
        <f>HYPERLINK("https://youtu.be/Af6fdYQERNE","channel 1")</f>
        <v>channel 1</v>
      </c>
    </row>
    <row r="54">
      <c r="A54" s="141"/>
      <c r="B54" s="56" t="s">
        <v>2541</v>
      </c>
      <c r="C54" s="57" t="s">
        <v>175</v>
      </c>
      <c r="D54" s="56" t="s">
        <v>3793</v>
      </c>
      <c r="E54" s="11" t="str">
        <f>HYPERLINK("https://youtu.be/CDFhxuoBq_g","channel 2")</f>
        <v>channel 2</v>
      </c>
    </row>
    <row r="55">
      <c r="A55" s="141"/>
      <c r="B55" s="56" t="s">
        <v>4193</v>
      </c>
      <c r="C55" s="57" t="s">
        <v>601</v>
      </c>
      <c r="D55" s="56" t="s">
        <v>1896</v>
      </c>
      <c r="E55" s="158" t="str">
        <f>HYPERLINK("https://youtu.be/76Sr66L3Q2M","channel 1")</f>
        <v>channel 1</v>
      </c>
    </row>
    <row r="56">
      <c r="A56" s="141"/>
      <c r="B56" s="56" t="s">
        <v>2541</v>
      </c>
      <c r="C56" s="57" t="s">
        <v>43</v>
      </c>
      <c r="D56" s="56" t="s">
        <v>2153</v>
      </c>
      <c r="E56" s="11" t="str">
        <f>HYPERLINK("https://youtu.be/d6qjcQgloxI","channel 2")</f>
        <v>channel 2</v>
      </c>
    </row>
    <row r="57">
      <c r="A57" s="141"/>
      <c r="B57" s="56" t="s">
        <v>2153</v>
      </c>
      <c r="C57" s="57" t="s">
        <v>248</v>
      </c>
      <c r="D57" s="56" t="s">
        <v>3793</v>
      </c>
      <c r="E57" s="169" t="str">
        <f>HYPERLINK("https://youtu.be/TGIo7-BG3Xg","channel 1")</f>
        <v>channel 1</v>
      </c>
    </row>
    <row r="58">
      <c r="A58" s="141"/>
      <c r="B58" s="56" t="s">
        <v>2541</v>
      </c>
      <c r="C58" s="57" t="s">
        <v>23</v>
      </c>
      <c r="D58" s="56" t="s">
        <v>1896</v>
      </c>
      <c r="E58" s="11" t="str">
        <f>HYPERLINK("https://youtu.be/4pdbROoyMoQ","channel 2")</f>
        <v>channel 2</v>
      </c>
    </row>
    <row r="59">
      <c r="A59" s="141"/>
      <c r="B59" s="56" t="s">
        <v>3793</v>
      </c>
      <c r="C59" s="57" t="s">
        <v>173</v>
      </c>
      <c r="D59" s="56" t="s">
        <v>4193</v>
      </c>
      <c r="E59" s="158" t="str">
        <f>HYPERLINK("https://youtu.be/TTIdB7cJMUo","channel 1")</f>
        <v>channel 1</v>
      </c>
    </row>
    <row r="60">
      <c r="A60" s="141"/>
      <c r="B60" s="56" t="s">
        <v>2153</v>
      </c>
      <c r="C60" s="57" t="s">
        <v>7</v>
      </c>
      <c r="D60" s="56" t="s">
        <v>1896</v>
      </c>
      <c r="E60" s="11" t="str">
        <f>HYPERLINK("https://youtu.be/PDq0vmTb-WU","channel 2")</f>
        <v>channel 2</v>
      </c>
    </row>
    <row r="61">
      <c r="A61" s="141"/>
      <c r="B61" s="56" t="s">
        <v>2541</v>
      </c>
      <c r="C61" s="57" t="s">
        <v>419</v>
      </c>
      <c r="D61" s="56" t="s">
        <v>4193</v>
      </c>
      <c r="E61" s="169" t="str">
        <f>HYPERLINK("https://youtu.be/qQ4ywXp-JnM","channel 1")</f>
        <v>channel 1</v>
      </c>
    </row>
    <row r="62">
      <c r="A62" s="141"/>
      <c r="B62" s="56" t="s">
        <v>3793</v>
      </c>
      <c r="C62" s="45" t="s">
        <v>173</v>
      </c>
      <c r="D62" s="56" t="s">
        <v>1896</v>
      </c>
      <c r="E62" s="11" t="str">
        <f>HYPERLINK("https://youtu.be/U3gWpn8GFpA","channel 2")</f>
        <v>channel 2</v>
      </c>
    </row>
    <row r="63">
      <c r="A63" s="141"/>
      <c r="B63" s="56" t="s">
        <v>2153</v>
      </c>
      <c r="C63" s="57" t="s">
        <v>193</v>
      </c>
      <c r="D63" s="56" t="s">
        <v>4193</v>
      </c>
      <c r="E63" s="158" t="str">
        <f>HYPERLINK("https://youtu.be/0p4t7UEOkEg","channel 1")</f>
        <v>channel 1</v>
      </c>
    </row>
    <row r="64">
      <c r="A64" s="141"/>
      <c r="B64" s="56" t="s">
        <v>3793</v>
      </c>
      <c r="C64" s="57" t="s">
        <v>43</v>
      </c>
      <c r="D64" s="56" t="s">
        <v>2541</v>
      </c>
      <c r="E64" s="11" t="str">
        <f>HYPERLINK("https://youtu.be/5ni6uUZabI0","channel 2")</f>
        <v>channel 2</v>
      </c>
    </row>
    <row r="65">
      <c r="A65" s="141"/>
      <c r="B65" s="56" t="s">
        <v>1896</v>
      </c>
      <c r="C65" s="57" t="s">
        <v>394</v>
      </c>
      <c r="D65" s="56" t="s">
        <v>4193</v>
      </c>
      <c r="E65" s="169" t="str">
        <f>HYPERLINK("https://youtu.be/CBVJK1YJTpY","channel 1")</f>
        <v>channel 1</v>
      </c>
    </row>
    <row r="66">
      <c r="A66" s="141"/>
      <c r="B66" s="56" t="s">
        <v>2153</v>
      </c>
      <c r="C66" s="57" t="s">
        <v>16</v>
      </c>
      <c r="D66" s="56" t="s">
        <v>2541</v>
      </c>
      <c r="E66" s="11" t="str">
        <f>HYPERLINK("https://youtu.be/Go71Q6qsPhc","channel 2")</f>
        <v>channel 2</v>
      </c>
    </row>
    <row r="67">
      <c r="A67" s="141"/>
      <c r="B67" s="96" t="s">
        <v>3011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3847</v>
      </c>
      <c r="C69" s="57" t="s">
        <v>24</v>
      </c>
      <c r="D69" s="56" t="s">
        <v>1548</v>
      </c>
      <c r="E69" s="158" t="str">
        <f>HYPERLINK("https://youtu.be/iZX0tvt79ds","channel 1")</f>
        <v>channel 1</v>
      </c>
    </row>
    <row r="70">
      <c r="A70" s="141"/>
      <c r="B70" s="56" t="s">
        <v>4194</v>
      </c>
      <c r="C70" s="57" t="s">
        <v>162</v>
      </c>
      <c r="D70" s="56" t="s">
        <v>2239</v>
      </c>
      <c r="E70" s="11" t="str">
        <f>HYPERLINK("https://youtu.be/owyheOM6A38","channel 2")</f>
        <v>channel 2</v>
      </c>
    </row>
    <row r="71">
      <c r="A71" s="141"/>
      <c r="B71" s="56" t="s">
        <v>4195</v>
      </c>
      <c r="C71" s="57" t="s">
        <v>477</v>
      </c>
      <c r="D71" s="56" t="s">
        <v>3847</v>
      </c>
      <c r="E71" s="169" t="str">
        <f>HYPERLINK("https://youtu.be/Spdoth2Px2c","channel 1")</f>
        <v>channel 1</v>
      </c>
    </row>
    <row r="72">
      <c r="A72" s="141"/>
      <c r="B72" s="56" t="s">
        <v>4194</v>
      </c>
      <c r="C72" s="57" t="s">
        <v>176</v>
      </c>
      <c r="D72" s="56" t="s">
        <v>1548</v>
      </c>
      <c r="E72" s="11" t="str">
        <f>HYPERLINK("https://youtu.be/e3fvFiDtgio","channel 2")</f>
        <v>channel 2</v>
      </c>
    </row>
    <row r="73">
      <c r="A73" s="141"/>
      <c r="B73" s="56" t="s">
        <v>4195</v>
      </c>
      <c r="C73" s="57" t="s">
        <v>182</v>
      </c>
      <c r="D73" s="56" t="s">
        <v>2239</v>
      </c>
      <c r="E73" s="169" t="str">
        <f>HYPERLINK("https://youtu.be/mIy1y0EK4SI","channel 1")</f>
        <v>channel 1</v>
      </c>
    </row>
    <row r="74">
      <c r="A74" s="141"/>
      <c r="B74" s="56" t="s">
        <v>4194</v>
      </c>
      <c r="C74" s="57" t="s">
        <v>281</v>
      </c>
      <c r="D74" s="56" t="s">
        <v>3847</v>
      </c>
      <c r="E74" s="11" t="str">
        <f>HYPERLINK("https://youtu.be/VzRuFR_Z82I","channel 2")</f>
        <v>channel 2</v>
      </c>
    </row>
    <row r="75">
      <c r="A75" s="141"/>
      <c r="B75" s="56" t="s">
        <v>4195</v>
      </c>
      <c r="C75" s="57" t="s">
        <v>38</v>
      </c>
      <c r="D75" s="56" t="s">
        <v>1548</v>
      </c>
      <c r="E75" s="169" t="str">
        <f>HYPERLINK("https://youtu.be/xyO4e7C6wx0","channel 1")</f>
        <v>channel 1</v>
      </c>
    </row>
    <row r="76">
      <c r="A76" s="141"/>
      <c r="B76" s="56" t="s">
        <v>2239</v>
      </c>
      <c r="C76" s="57" t="s">
        <v>250</v>
      </c>
      <c r="D76" s="56" t="s">
        <v>3847</v>
      </c>
      <c r="E76" s="11" t="str">
        <f>HYPERLINK("https://youtu.be/N2yHUfnQ22Q","channel 2")</f>
        <v>channel 2</v>
      </c>
    </row>
    <row r="77">
      <c r="A77" s="141"/>
      <c r="B77" s="56" t="s">
        <v>4195</v>
      </c>
      <c r="C77" s="57" t="s">
        <v>218</v>
      </c>
      <c r="D77" s="56" t="s">
        <v>4194</v>
      </c>
      <c r="E77" s="158" t="str">
        <f>HYPERLINK("https://youtu.be/KHML8BcSChc","channel 1")</f>
        <v>channel 1</v>
      </c>
    </row>
    <row r="78">
      <c r="A78" s="141"/>
      <c r="B78" s="56" t="s">
        <v>2239</v>
      </c>
      <c r="C78" s="57" t="s">
        <v>220</v>
      </c>
      <c r="D78" s="56" t="s">
        <v>1548</v>
      </c>
      <c r="E78" s="11" t="str">
        <f>HYPERLINK("https://youtu.be/f0xMUP1Mgqw","channel 2")</f>
        <v>channel 2</v>
      </c>
    </row>
    <row r="79">
      <c r="A79" s="141"/>
      <c r="B79" s="56" t="s">
        <v>1548</v>
      </c>
      <c r="C79" s="57" t="s">
        <v>216</v>
      </c>
      <c r="D79" s="56" t="s">
        <v>3847</v>
      </c>
      <c r="E79" s="169" t="str">
        <f>HYPERLINK("https://youtu.be/HdBYhThKqjU","channel 1")</f>
        <v>channel 1</v>
      </c>
    </row>
    <row r="80">
      <c r="A80" s="141"/>
      <c r="B80" s="56" t="s">
        <v>2239</v>
      </c>
      <c r="C80" s="57" t="s">
        <v>227</v>
      </c>
      <c r="D80" s="56" t="s">
        <v>4194</v>
      </c>
      <c r="E80" s="11" t="str">
        <f>HYPERLINK("https://youtu.be/H1HdFkgtMd0","channel 2")</f>
        <v>channel 2</v>
      </c>
    </row>
    <row r="81">
      <c r="A81" s="141"/>
      <c r="B81" s="56" t="s">
        <v>3847</v>
      </c>
      <c r="C81" s="57" t="s">
        <v>425</v>
      </c>
      <c r="D81" s="56" t="s">
        <v>4195</v>
      </c>
      <c r="E81" s="158" t="str">
        <f>HYPERLINK("https://youtu.be/rvEvvvmDxuI","channel 1")</f>
        <v>channel 1</v>
      </c>
    </row>
    <row r="82">
      <c r="A82" s="141"/>
      <c r="B82" s="56" t="s">
        <v>1548</v>
      </c>
      <c r="C82" s="57" t="s">
        <v>248</v>
      </c>
      <c r="D82" s="56" t="s">
        <v>4194</v>
      </c>
      <c r="E82" s="11" t="str">
        <f>HYPERLINK("https://youtu.be/JqP6gywiw5s","channel 2")</f>
        <v>channel 2</v>
      </c>
    </row>
    <row r="83">
      <c r="A83" s="141"/>
      <c r="B83" s="56" t="s">
        <v>2239</v>
      </c>
      <c r="C83" s="57" t="s">
        <v>325</v>
      </c>
      <c r="D83" s="56" t="s">
        <v>4195</v>
      </c>
      <c r="E83" s="158" t="str">
        <f>HYPERLINK("https://youtu.be/72OpRF_Qf7Y","channel 1")</f>
        <v>channel 1</v>
      </c>
    </row>
    <row r="84">
      <c r="A84" s="141"/>
      <c r="B84" s="56" t="s">
        <v>3847</v>
      </c>
      <c r="C84" s="57" t="s">
        <v>210</v>
      </c>
      <c r="D84" s="56" t="s">
        <v>4194</v>
      </c>
      <c r="E84" s="11" t="str">
        <f>HYPERLINK("https://youtu.be/-GYnLCqDU1s","channel 2")</f>
        <v>channel 2</v>
      </c>
    </row>
    <row r="85">
      <c r="A85" s="141"/>
      <c r="B85" s="56" t="s">
        <v>1548</v>
      </c>
      <c r="C85" s="57" t="s">
        <v>193</v>
      </c>
      <c r="D85" s="56" t="s">
        <v>4195</v>
      </c>
      <c r="E85" s="158" t="str">
        <f>HYPERLINK("https://youtu.be/y3aH8JGOOI0","channel 1")</f>
        <v>channel 1</v>
      </c>
    </row>
    <row r="86">
      <c r="A86" s="141"/>
      <c r="B86" s="56" t="s">
        <v>3847</v>
      </c>
      <c r="C86" s="57" t="s">
        <v>291</v>
      </c>
      <c r="D86" s="56" t="s">
        <v>2239</v>
      </c>
      <c r="E86" s="11" t="str">
        <f>HYPERLINK("https://youtu.be/IUHjLLpVDy0","channel 2")</f>
        <v>channel 2</v>
      </c>
    </row>
    <row r="87">
      <c r="A87" s="141"/>
      <c r="B87" s="56" t="s">
        <v>4194</v>
      </c>
      <c r="C87" s="57" t="s">
        <v>187</v>
      </c>
      <c r="D87" s="56" t="s">
        <v>4195</v>
      </c>
      <c r="E87" s="158" t="str">
        <f>HYPERLINK("https://youtu.be/e1I9y3nB7d4","channel 1")</f>
        <v>channel 1</v>
      </c>
    </row>
    <row r="88">
      <c r="A88" s="145"/>
      <c r="B88" s="56" t="s">
        <v>1548</v>
      </c>
      <c r="C88" s="57" t="s">
        <v>545</v>
      </c>
      <c r="D88" s="56" t="s">
        <v>2239</v>
      </c>
      <c r="E88" s="11" t="str">
        <f>HYPERLINK("https://youtu.be/g1KPX_tdLls","channel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70"/>
      <c r="B1" s="96" t="s">
        <v>2471</v>
      </c>
      <c r="C1" s="2"/>
      <c r="D1" s="3"/>
      <c r="E1" s="157"/>
    </row>
    <row r="2">
      <c r="A2" s="141"/>
      <c r="B2" s="45" t="s">
        <v>2</v>
      </c>
      <c r="C2" s="45" t="s">
        <v>3</v>
      </c>
      <c r="D2" s="45" t="s">
        <v>4</v>
      </c>
      <c r="E2" s="6" t="s">
        <v>5</v>
      </c>
    </row>
    <row r="3">
      <c r="A3" s="141"/>
      <c r="B3" s="56" t="s">
        <v>3954</v>
      </c>
      <c r="C3" s="57" t="s">
        <v>979</v>
      </c>
      <c r="D3" s="56" t="s">
        <v>3826</v>
      </c>
      <c r="E3" s="158" t="str">
        <f>HYPERLINK("https://youtu.be/Eb3xLGu7KHc","channel 1")</f>
        <v>channel 1</v>
      </c>
    </row>
    <row r="4">
      <c r="A4" s="141"/>
      <c r="B4" s="56" t="s">
        <v>1906</v>
      </c>
      <c r="C4" s="57" t="s">
        <v>248</v>
      </c>
      <c r="D4" s="56" t="s">
        <v>3271</v>
      </c>
      <c r="E4" s="11" t="str">
        <f>HYPERLINK("https://youtu.be/zFDijpJbuQg","channel 2")</f>
        <v>channel 2</v>
      </c>
    </row>
    <row r="5">
      <c r="A5" s="141"/>
      <c r="B5" s="56" t="s">
        <v>3720</v>
      </c>
      <c r="C5" s="57" t="s">
        <v>19</v>
      </c>
      <c r="D5" s="56" t="s">
        <v>3954</v>
      </c>
      <c r="E5" s="169" t="str">
        <f>HYPERLINK("https://youtu.be/dxPSYdx4Slw","channel 1")</f>
        <v>channel 1</v>
      </c>
    </row>
    <row r="6">
      <c r="A6" s="141"/>
      <c r="B6" s="56" t="s">
        <v>1906</v>
      </c>
      <c r="C6" s="57" t="s">
        <v>545</v>
      </c>
      <c r="D6" s="56" t="s">
        <v>3826</v>
      </c>
      <c r="E6" s="11" t="str">
        <f>HYPERLINK("https://youtu.be/T8YE8TYhd4Y","channel 2")</f>
        <v>channel 2</v>
      </c>
    </row>
    <row r="7">
      <c r="A7" s="141"/>
      <c r="B7" s="56" t="s">
        <v>3720</v>
      </c>
      <c r="C7" s="57" t="s">
        <v>1107</v>
      </c>
      <c r="D7" s="56" t="s">
        <v>3271</v>
      </c>
      <c r="E7" s="158" t="str">
        <f>HYPERLINK("https://youtu.be/inbyx4FL3Gc","channel 1")</f>
        <v>channel 1</v>
      </c>
    </row>
    <row r="8">
      <c r="A8" s="141"/>
      <c r="B8" s="56" t="s">
        <v>1906</v>
      </c>
      <c r="C8" s="57" t="s">
        <v>16</v>
      </c>
      <c r="D8" s="56" t="s">
        <v>3954</v>
      </c>
      <c r="E8" s="11" t="str">
        <f>HYPERLINK("https://youtu.be/sOoBYA8hlik","channel 2")</f>
        <v>channel 2</v>
      </c>
    </row>
    <row r="9">
      <c r="A9" s="141"/>
      <c r="B9" s="56" t="s">
        <v>3720</v>
      </c>
      <c r="C9" s="57" t="s">
        <v>225</v>
      </c>
      <c r="D9" s="56" t="s">
        <v>3826</v>
      </c>
      <c r="E9" s="169" t="str">
        <f>HYPERLINK("https://youtu.be/hlfGMJUSqbU","channel 1")</f>
        <v>channel 1</v>
      </c>
    </row>
    <row r="10">
      <c r="A10" s="141"/>
      <c r="B10" s="56" t="s">
        <v>3271</v>
      </c>
      <c r="C10" s="57" t="s">
        <v>357</v>
      </c>
      <c r="D10" s="56" t="s">
        <v>3954</v>
      </c>
      <c r="E10" s="11" t="str">
        <f>HYPERLINK("https://youtu.be/n-LiT0AL3Yw","channel 2")</f>
        <v>channel 2</v>
      </c>
    </row>
    <row r="11">
      <c r="A11" s="141"/>
      <c r="B11" s="56" t="s">
        <v>3720</v>
      </c>
      <c r="C11" s="57" t="s">
        <v>251</v>
      </c>
      <c r="D11" s="56" t="s">
        <v>1906</v>
      </c>
      <c r="E11" s="158" t="str">
        <f>HYPERLINK("https://youtu.be/3xMobFjmhbI","channel 1")</f>
        <v>channel 1</v>
      </c>
    </row>
    <row r="12">
      <c r="A12" s="141"/>
      <c r="B12" s="56" t="s">
        <v>3271</v>
      </c>
      <c r="C12" s="57" t="s">
        <v>16</v>
      </c>
      <c r="D12" s="56" t="s">
        <v>3826</v>
      </c>
      <c r="E12" s="11" t="str">
        <f>HYPERLINK("https://youtu.be/LwBI8MXS0PY","channel 2")</f>
        <v>channel 2</v>
      </c>
    </row>
    <row r="13">
      <c r="A13" s="141"/>
      <c r="B13" s="56" t="s">
        <v>3826</v>
      </c>
      <c r="C13" s="57" t="s">
        <v>665</v>
      </c>
      <c r="D13" s="56" t="s">
        <v>3954</v>
      </c>
      <c r="E13" s="169" t="str">
        <f>HYPERLINK("https://youtu.be/55UbqimGty8","channel 1")</f>
        <v>channel 1</v>
      </c>
    </row>
    <row r="14">
      <c r="A14" s="141"/>
      <c r="B14" s="56" t="s">
        <v>3271</v>
      </c>
      <c r="C14" s="57" t="s">
        <v>271</v>
      </c>
      <c r="D14" s="56" t="s">
        <v>1906</v>
      </c>
      <c r="E14" s="11" t="str">
        <f>HYPERLINK("https://youtu.be/5d2r3f9kikI","channel 2")</f>
        <v>channel 2</v>
      </c>
    </row>
    <row r="15">
      <c r="A15" s="141"/>
      <c r="B15" s="56" t="s">
        <v>3954</v>
      </c>
      <c r="C15" s="57" t="s">
        <v>165</v>
      </c>
      <c r="D15" s="56" t="s">
        <v>3720</v>
      </c>
      <c r="E15" s="158" t="str">
        <f>HYPERLINK("https://youtu.be/3IHC2C0-cK8","channel 1")</f>
        <v>channel 1</v>
      </c>
    </row>
    <row r="16">
      <c r="A16" s="141"/>
      <c r="B16" s="56" t="s">
        <v>3826</v>
      </c>
      <c r="C16" s="57" t="s">
        <v>219</v>
      </c>
      <c r="D16" s="56" t="s">
        <v>1906</v>
      </c>
      <c r="E16" s="11" t="str">
        <f>HYPERLINK("https://youtu.be/GLUTCxnhDzw","channel 2")</f>
        <v>channel 2</v>
      </c>
    </row>
    <row r="17">
      <c r="A17" s="141"/>
      <c r="B17" s="56" t="s">
        <v>3271</v>
      </c>
      <c r="C17" s="57" t="s">
        <v>278</v>
      </c>
      <c r="D17" s="56" t="s">
        <v>3720</v>
      </c>
      <c r="E17" s="169" t="str">
        <f>HYPERLINK("https://youtu.be/EqWavO2hEbg","channel 1")</f>
        <v>channel 1</v>
      </c>
    </row>
    <row r="18">
      <c r="A18" s="141"/>
      <c r="B18" s="56" t="s">
        <v>3954</v>
      </c>
      <c r="C18" s="57" t="s">
        <v>534</v>
      </c>
      <c r="D18" s="56" t="s">
        <v>1906</v>
      </c>
      <c r="E18" s="11" t="str">
        <f>HYPERLINK("https://youtu.be/3bdiqQQjYd0","channel 2")</f>
        <v>channel 2</v>
      </c>
    </row>
    <row r="19">
      <c r="A19" s="141"/>
      <c r="B19" s="56" t="s">
        <v>3826</v>
      </c>
      <c r="C19" s="57" t="s">
        <v>24</v>
      </c>
      <c r="D19" s="56" t="s">
        <v>3720</v>
      </c>
      <c r="E19" s="158" t="str">
        <f>HYPERLINK("https://youtu.be/pzLxX2VL8Ls","channel 1")</f>
        <v>channel 1</v>
      </c>
    </row>
    <row r="20">
      <c r="A20" s="141"/>
      <c r="B20" s="56" t="s">
        <v>3954</v>
      </c>
      <c r="C20" s="57" t="s">
        <v>327</v>
      </c>
      <c r="D20" s="56" t="s">
        <v>3271</v>
      </c>
      <c r="E20" s="11" t="str">
        <f>HYPERLINK("https://youtu.be/3IOqGSmER10","channel 2")</f>
        <v>channel 2</v>
      </c>
    </row>
    <row r="21">
      <c r="A21" s="141"/>
      <c r="B21" s="56" t="s">
        <v>1906</v>
      </c>
      <c r="C21" s="57" t="s">
        <v>165</v>
      </c>
      <c r="D21" s="56" t="s">
        <v>3720</v>
      </c>
      <c r="E21" s="169" t="str">
        <f>HYPERLINK("https://youtu.be/Hwq_uEuLudU","channel 1")</f>
        <v>channel 1</v>
      </c>
    </row>
    <row r="22">
      <c r="A22" s="141"/>
      <c r="B22" s="56" t="s">
        <v>3826</v>
      </c>
      <c r="C22" s="57" t="s">
        <v>281</v>
      </c>
      <c r="D22" s="56" t="s">
        <v>3271</v>
      </c>
      <c r="E22" s="11" t="str">
        <f>HYPERLINK("https://youtu.be/repCSTdhi60","channel 2")</f>
        <v>channel 2</v>
      </c>
    </row>
    <row r="23">
      <c r="A23" s="141"/>
      <c r="B23" s="96" t="s">
        <v>2266</v>
      </c>
      <c r="C23" s="2"/>
      <c r="D23" s="3"/>
      <c r="E23" s="157"/>
    </row>
    <row r="24">
      <c r="A24" s="141"/>
      <c r="B24" s="45" t="s">
        <v>2</v>
      </c>
      <c r="C24" s="45" t="s">
        <v>3</v>
      </c>
      <c r="D24" s="45" t="s">
        <v>4</v>
      </c>
      <c r="E24" s="6" t="s">
        <v>5</v>
      </c>
    </row>
    <row r="25">
      <c r="A25" s="141"/>
      <c r="B25" s="56" t="s">
        <v>3970</v>
      </c>
      <c r="C25" s="57" t="s">
        <v>180</v>
      </c>
      <c r="D25" s="56" t="s">
        <v>2351</v>
      </c>
      <c r="E25" s="158" t="str">
        <f>HYPERLINK("https://youtu.be/0AzgtYSoqyI","channel 1")</f>
        <v>channel 1</v>
      </c>
    </row>
    <row r="26">
      <c r="A26" s="141"/>
      <c r="B26" s="56" t="s">
        <v>973</v>
      </c>
      <c r="C26" s="57" t="s">
        <v>181</v>
      </c>
      <c r="D26" s="56" t="s">
        <v>3711</v>
      </c>
      <c r="E26" s="11" t="str">
        <f>HYPERLINK("https://youtu.be/XPxDGOcg8k8","channel 2")</f>
        <v>channel 2</v>
      </c>
    </row>
    <row r="27">
      <c r="A27" s="141"/>
      <c r="B27" s="56" t="s">
        <v>4196</v>
      </c>
      <c r="C27" s="57" t="s">
        <v>362</v>
      </c>
      <c r="D27" s="56" t="s">
        <v>3970</v>
      </c>
      <c r="E27" s="169" t="str">
        <f>HYPERLINK("https://youtu.be/vXRbDgp5hZg","channel 1")</f>
        <v>channel 1</v>
      </c>
    </row>
    <row r="28">
      <c r="A28" s="141"/>
      <c r="B28" s="56" t="s">
        <v>973</v>
      </c>
      <c r="C28" s="57" t="s">
        <v>237</v>
      </c>
      <c r="D28" s="56" t="s">
        <v>2351</v>
      </c>
      <c r="E28" s="11" t="str">
        <f>HYPERLINK("https://youtu.be/WAK4TBHKAR8","channel 2")</f>
        <v>channel 2</v>
      </c>
    </row>
    <row r="29">
      <c r="A29" s="141"/>
      <c r="B29" s="56" t="s">
        <v>4196</v>
      </c>
      <c r="C29" s="57" t="s">
        <v>244</v>
      </c>
      <c r="D29" s="56" t="s">
        <v>3711</v>
      </c>
      <c r="E29" s="158" t="str">
        <f>HYPERLINK("https://youtu.be/UjfBuU2njn0","channel 1")</f>
        <v>channel 1</v>
      </c>
    </row>
    <row r="30">
      <c r="A30" s="141"/>
      <c r="B30" s="56" t="s">
        <v>973</v>
      </c>
      <c r="C30" s="57" t="s">
        <v>43</v>
      </c>
      <c r="D30" s="56" t="s">
        <v>3970</v>
      </c>
      <c r="E30" s="11" t="str">
        <f>HYPERLINK("https://youtu.be/YRZyWDwqbkQ","channel 2")</f>
        <v>channel 2</v>
      </c>
    </row>
    <row r="31">
      <c r="A31" s="141"/>
      <c r="B31" s="56" t="s">
        <v>4196</v>
      </c>
      <c r="C31" s="57" t="s">
        <v>16</v>
      </c>
      <c r="D31" s="56" t="s">
        <v>2351</v>
      </c>
      <c r="E31" s="169" t="str">
        <f>HYPERLINK("https://youtu.be/yITs3NwWavM","channel 1")</f>
        <v>channel 1</v>
      </c>
    </row>
    <row r="32">
      <c r="A32" s="141"/>
      <c r="B32" s="56" t="s">
        <v>3711</v>
      </c>
      <c r="C32" s="57" t="s">
        <v>464</v>
      </c>
      <c r="D32" s="56" t="s">
        <v>3970</v>
      </c>
      <c r="E32" s="11" t="str">
        <f>HYPERLINK("https://youtu.be/6v-S5VJyys0","channel 2")</f>
        <v>channel 2</v>
      </c>
    </row>
    <row r="33">
      <c r="A33" s="141"/>
      <c r="B33" s="56" t="s">
        <v>4196</v>
      </c>
      <c r="C33" s="57" t="s">
        <v>198</v>
      </c>
      <c r="D33" s="56" t="s">
        <v>973</v>
      </c>
      <c r="E33" s="158" t="str">
        <f>HYPERLINK("https://youtu.be/vofsrwrYFSQ","channel 1")</f>
        <v>channel 1</v>
      </c>
    </row>
    <row r="34">
      <c r="A34" s="141"/>
      <c r="B34" s="56" t="s">
        <v>3711</v>
      </c>
      <c r="C34" s="57" t="s">
        <v>582</v>
      </c>
      <c r="D34" s="56" t="s">
        <v>2351</v>
      </c>
      <c r="E34" s="11" t="str">
        <f>HYPERLINK("https://youtu.be/WcbNmzLMlPY","channel 2")</f>
        <v>channel 2</v>
      </c>
    </row>
    <row r="35">
      <c r="A35" s="141"/>
      <c r="B35" s="56" t="s">
        <v>2351</v>
      </c>
      <c r="C35" s="57" t="s">
        <v>14</v>
      </c>
      <c r="D35" s="56" t="s">
        <v>3970</v>
      </c>
      <c r="E35" s="169" t="str">
        <f>HYPERLINK("https://youtu.be/-ehbp0J1YNo","channel 1")</f>
        <v>channel 1</v>
      </c>
    </row>
    <row r="36">
      <c r="A36" s="141"/>
      <c r="B36" s="56" t="s">
        <v>3711</v>
      </c>
      <c r="C36" s="57" t="s">
        <v>193</v>
      </c>
      <c r="D36" s="56" t="s">
        <v>973</v>
      </c>
      <c r="E36" s="11" t="str">
        <f>HYPERLINK("https://youtu.be/LLat60KODEk","channel 2")</f>
        <v>channel 2</v>
      </c>
    </row>
    <row r="37">
      <c r="A37" s="141"/>
      <c r="B37" s="56" t="s">
        <v>3970</v>
      </c>
      <c r="C37" s="57" t="s">
        <v>774</v>
      </c>
      <c r="D37" s="56" t="s">
        <v>4196</v>
      </c>
      <c r="E37" s="158" t="str">
        <f>HYPERLINK("https://youtu.be/nlAVhaFzp5s","channel 1")</f>
        <v>channel 1</v>
      </c>
    </row>
    <row r="38">
      <c r="A38" s="141"/>
      <c r="B38" s="56" t="s">
        <v>2351</v>
      </c>
      <c r="C38" s="57" t="s">
        <v>14</v>
      </c>
      <c r="D38" s="56" t="s">
        <v>973</v>
      </c>
      <c r="E38" s="11" t="str">
        <f>HYPERLINK("https://youtu.be/8kiskZyKcfQ","channel 2")</f>
        <v>channel 2</v>
      </c>
    </row>
    <row r="39">
      <c r="A39" s="141"/>
      <c r="B39" s="56" t="s">
        <v>3711</v>
      </c>
      <c r="C39" s="45" t="s">
        <v>1846</v>
      </c>
      <c r="D39" s="56" t="s">
        <v>4196</v>
      </c>
      <c r="E39" s="169" t="str">
        <f>HYPERLINK("https://youtu.be/5RT6G9c167A","channel 1")</f>
        <v>channel 1</v>
      </c>
    </row>
    <row r="40">
      <c r="A40" s="141"/>
      <c r="B40" s="56" t="s">
        <v>3970</v>
      </c>
      <c r="C40" s="57" t="s">
        <v>244</v>
      </c>
      <c r="D40" s="56" t="s">
        <v>973</v>
      </c>
      <c r="E40" s="11" t="str">
        <f>HYPERLINK("https://youtu.be/HBnNFGsm7QQ","channel 2")</f>
        <v>channel 2</v>
      </c>
    </row>
    <row r="41">
      <c r="A41" s="141"/>
      <c r="B41" s="56" t="s">
        <v>2351</v>
      </c>
      <c r="C41" s="57" t="s">
        <v>177</v>
      </c>
      <c r="D41" s="56" t="s">
        <v>4196</v>
      </c>
      <c r="E41" s="158" t="str">
        <f>HYPERLINK("https://youtu.be/5-zdldYPotE","channel 1")</f>
        <v>channel 1</v>
      </c>
    </row>
    <row r="42">
      <c r="A42" s="141"/>
      <c r="B42" s="56" t="s">
        <v>3970</v>
      </c>
      <c r="C42" s="57" t="s">
        <v>440</v>
      </c>
      <c r="D42" s="56" t="s">
        <v>3711</v>
      </c>
      <c r="E42" s="11" t="str">
        <f>HYPERLINK("https://youtu.be/OsG3aB8IlLA","channel 2")</f>
        <v>channel 2</v>
      </c>
    </row>
    <row r="43">
      <c r="A43" s="141"/>
      <c r="B43" s="56" t="s">
        <v>973</v>
      </c>
      <c r="C43" s="57" t="s">
        <v>324</v>
      </c>
      <c r="D43" s="56" t="s">
        <v>4196</v>
      </c>
      <c r="E43" s="169" t="str">
        <f>HYPERLINK("https://youtu.be/yJ8zNmrk6qQ","channel 1")</f>
        <v>channel 1</v>
      </c>
    </row>
    <row r="44">
      <c r="A44" s="141"/>
      <c r="B44" s="56" t="s">
        <v>2351</v>
      </c>
      <c r="C44" s="57" t="s">
        <v>23</v>
      </c>
      <c r="D44" s="56" t="s">
        <v>3711</v>
      </c>
      <c r="E44" s="11" t="str">
        <f>HYPERLINK("https://youtu.be/mX7YnrM-qEU","channel 2")</f>
        <v>channel 2</v>
      </c>
    </row>
    <row r="45">
      <c r="A45" s="141"/>
      <c r="B45" s="96" t="s">
        <v>2152</v>
      </c>
      <c r="C45" s="2"/>
      <c r="D45" s="3"/>
      <c r="E45" s="157"/>
    </row>
    <row r="46">
      <c r="A46" s="141"/>
      <c r="B46" s="45" t="s">
        <v>2</v>
      </c>
      <c r="C46" s="45" t="s">
        <v>3</v>
      </c>
      <c r="D46" s="45" t="s">
        <v>4</v>
      </c>
      <c r="E46" s="6" t="s">
        <v>5</v>
      </c>
    </row>
    <row r="47">
      <c r="A47" s="141"/>
      <c r="B47" s="56" t="s">
        <v>4197</v>
      </c>
      <c r="C47" s="57" t="s">
        <v>219</v>
      </c>
      <c r="D47" s="56" t="s">
        <v>4198</v>
      </c>
      <c r="E47" s="158" t="str">
        <f>HYPERLINK("https://youtu.be/E05zQcbDHhs","channel 1")</f>
        <v>channel 1</v>
      </c>
    </row>
    <row r="48">
      <c r="A48" s="141"/>
      <c r="B48" s="56" t="s">
        <v>3862</v>
      </c>
      <c r="C48" s="57" t="s">
        <v>7</v>
      </c>
      <c r="D48" s="56" t="s">
        <v>2215</v>
      </c>
      <c r="E48" s="11" t="str">
        <f>HYPERLINK("https://youtu.be/WJSOKNVtt74","channel 2")</f>
        <v>channel 2</v>
      </c>
    </row>
    <row r="49">
      <c r="A49" s="141"/>
      <c r="B49" s="56" t="s">
        <v>1202</v>
      </c>
      <c r="C49" s="57" t="s">
        <v>18</v>
      </c>
      <c r="D49" s="56" t="s">
        <v>4197</v>
      </c>
      <c r="E49" s="169" t="str">
        <f>HYPERLINK("https://youtu.be/zu-eStCsM5U","channel 1")</f>
        <v>channel 1</v>
      </c>
    </row>
    <row r="50">
      <c r="A50" s="141"/>
      <c r="B50" s="56" t="s">
        <v>3862</v>
      </c>
      <c r="C50" s="57" t="s">
        <v>14</v>
      </c>
      <c r="D50" s="56" t="s">
        <v>4198</v>
      </c>
      <c r="E50" s="11" t="str">
        <f>HYPERLINK("https://youtu.be/rcLm1iiWJaM","channel 2")</f>
        <v>channel 2</v>
      </c>
    </row>
    <row r="51">
      <c r="A51" s="141"/>
      <c r="B51" s="56" t="s">
        <v>1202</v>
      </c>
      <c r="C51" s="57" t="s">
        <v>18</v>
      </c>
      <c r="D51" s="56" t="s">
        <v>2215</v>
      </c>
      <c r="E51" s="158" t="str">
        <f>HYPERLINK("https://youtu.be/jZTbNAgMwuk","channel 1")</f>
        <v>channel 1</v>
      </c>
    </row>
    <row r="52">
      <c r="A52" s="141"/>
      <c r="B52" s="56" t="s">
        <v>3862</v>
      </c>
      <c r="C52" s="57" t="s">
        <v>464</v>
      </c>
      <c r="D52" s="56" t="s">
        <v>4197</v>
      </c>
      <c r="E52" s="11" t="str">
        <f>HYPERLINK("https://youtu.be/Ve5Wqw_gWUQ","channel 2")</f>
        <v>channel 2</v>
      </c>
    </row>
    <row r="53">
      <c r="A53" s="141"/>
      <c r="B53" s="56" t="s">
        <v>1202</v>
      </c>
      <c r="C53" s="57" t="s">
        <v>394</v>
      </c>
      <c r="D53" s="56" t="s">
        <v>4198</v>
      </c>
      <c r="E53" s="169" t="str">
        <f>HYPERLINK("https://youtu.be/4BUn4RFPL8s","channel 1")</f>
        <v>channel 1</v>
      </c>
    </row>
    <row r="54">
      <c r="A54" s="141"/>
      <c r="B54" s="56" t="s">
        <v>2215</v>
      </c>
      <c r="C54" s="57" t="s">
        <v>256</v>
      </c>
      <c r="D54" s="56" t="s">
        <v>4197</v>
      </c>
      <c r="E54" s="11" t="str">
        <f>HYPERLINK("https://youtu.be/J9S7mgFsKSc","channel 2")</f>
        <v>channel 2</v>
      </c>
    </row>
    <row r="55">
      <c r="A55" s="141"/>
      <c r="B55" s="56" t="s">
        <v>1202</v>
      </c>
      <c r="C55" s="57" t="s">
        <v>245</v>
      </c>
      <c r="D55" s="56" t="s">
        <v>3862</v>
      </c>
      <c r="E55" s="158" t="str">
        <f>HYPERLINK("https://youtu.be/XdTjCOfGCXY","channel 1")</f>
        <v>channel 1</v>
      </c>
    </row>
    <row r="56">
      <c r="A56" s="141"/>
      <c r="B56" s="56" t="s">
        <v>2215</v>
      </c>
      <c r="C56" s="57" t="s">
        <v>185</v>
      </c>
      <c r="D56" s="56" t="s">
        <v>4198</v>
      </c>
      <c r="E56" s="11" t="str">
        <f>HYPERLINK("https://youtu.be/pYO4Xeh7Pvg","channel 2")</f>
        <v>channel 2</v>
      </c>
    </row>
    <row r="57">
      <c r="A57" s="141"/>
      <c r="B57" s="56" t="s">
        <v>4198</v>
      </c>
      <c r="C57" s="57" t="s">
        <v>222</v>
      </c>
      <c r="D57" s="56" t="s">
        <v>4197</v>
      </c>
      <c r="E57" s="169" t="str">
        <f>HYPERLINK("https://youtu.be/nRT3PnoGQBU","channel 1")</f>
        <v>channel 1</v>
      </c>
    </row>
    <row r="58">
      <c r="A58" s="141"/>
      <c r="B58" s="56" t="s">
        <v>2215</v>
      </c>
      <c r="C58" s="57" t="s">
        <v>1227</v>
      </c>
      <c r="D58" s="56" t="s">
        <v>3862</v>
      </c>
      <c r="E58" s="11" t="str">
        <f>HYPERLINK("https://youtu.be/XiPIxPzuGL8","channel 2")</f>
        <v>channel 2</v>
      </c>
    </row>
    <row r="59">
      <c r="A59" s="141"/>
      <c r="B59" s="56" t="s">
        <v>4197</v>
      </c>
      <c r="C59" s="57" t="s">
        <v>16</v>
      </c>
      <c r="D59" s="56" t="s">
        <v>1202</v>
      </c>
      <c r="E59" s="158" t="str">
        <f>HYPERLINK("https://youtu.be/L77qvNQtAAg","channel 1")</f>
        <v>channel 1</v>
      </c>
    </row>
    <row r="60">
      <c r="A60" s="141"/>
      <c r="B60" s="56" t="s">
        <v>4198</v>
      </c>
      <c r="C60" s="57" t="s">
        <v>210</v>
      </c>
      <c r="D60" s="56" t="s">
        <v>3862</v>
      </c>
      <c r="E60" s="11" t="str">
        <f>HYPERLINK("https://youtu.be/kevLflmemPs","channel 2")</f>
        <v>channel 2</v>
      </c>
    </row>
    <row r="61">
      <c r="A61" s="141"/>
      <c r="B61" s="56" t="s">
        <v>2215</v>
      </c>
      <c r="C61" s="57" t="s">
        <v>155</v>
      </c>
      <c r="D61" s="56" t="s">
        <v>1202</v>
      </c>
      <c r="E61" s="169" t="str">
        <f>HYPERLINK("https://youtu.be/Y1RG4P1omhM","channel 1")</f>
        <v>channel 1</v>
      </c>
    </row>
    <row r="62">
      <c r="A62" s="141"/>
      <c r="B62" s="56" t="s">
        <v>4197</v>
      </c>
      <c r="C62" s="45" t="s">
        <v>549</v>
      </c>
      <c r="D62" s="56" t="s">
        <v>3862</v>
      </c>
      <c r="E62" s="11" t="str">
        <f>HYPERLINK("https://youtu.be/azxmsKzMW8I","channel 2")</f>
        <v>channel 2</v>
      </c>
    </row>
    <row r="63">
      <c r="A63" s="141"/>
      <c r="B63" s="56" t="s">
        <v>4198</v>
      </c>
      <c r="C63" s="57" t="s">
        <v>761</v>
      </c>
      <c r="D63" s="56" t="s">
        <v>1202</v>
      </c>
      <c r="E63" s="158" t="str">
        <f>HYPERLINK("https://youtu.be/aFbAN7IxYmg","channel 1")</f>
        <v>channel 1</v>
      </c>
    </row>
    <row r="64">
      <c r="A64" s="141"/>
      <c r="B64" s="56" t="s">
        <v>4197</v>
      </c>
      <c r="C64" s="57" t="s">
        <v>158</v>
      </c>
      <c r="D64" s="56" t="s">
        <v>2215</v>
      </c>
      <c r="E64" s="11" t="str">
        <f>HYPERLINK("https://youtu.be/OFlBWVpNPvk","channel 2")</f>
        <v>channel 2</v>
      </c>
    </row>
    <row r="65">
      <c r="A65" s="141"/>
      <c r="B65" s="56" t="s">
        <v>3862</v>
      </c>
      <c r="C65" s="57" t="s">
        <v>248</v>
      </c>
      <c r="D65" s="56" t="s">
        <v>1202</v>
      </c>
      <c r="E65" s="169" t="str">
        <f>HYPERLINK("https://youtu.be/JCB3nTWQGI8","channel 1")</f>
        <v>channel 1</v>
      </c>
    </row>
    <row r="66">
      <c r="A66" s="141"/>
      <c r="B66" s="56" t="s">
        <v>4198</v>
      </c>
      <c r="C66" s="57" t="s">
        <v>16</v>
      </c>
      <c r="D66" s="56" t="s">
        <v>2215</v>
      </c>
      <c r="E66" s="11" t="str">
        <f>HYPERLINK("https://youtu.be/WQQrxFpB80Q","channel 2")</f>
        <v>channel 2</v>
      </c>
    </row>
    <row r="67">
      <c r="A67" s="141"/>
      <c r="B67" s="96" t="s">
        <v>3011</v>
      </c>
      <c r="C67" s="2"/>
      <c r="D67" s="3"/>
      <c r="E67" s="161"/>
    </row>
    <row r="68">
      <c r="A68" s="141"/>
      <c r="B68" s="45" t="s">
        <v>2</v>
      </c>
      <c r="C68" s="45" t="s">
        <v>3</v>
      </c>
      <c r="D68" s="45" t="s">
        <v>4</v>
      </c>
      <c r="E68" s="21" t="s">
        <v>5</v>
      </c>
    </row>
    <row r="69">
      <c r="A69" s="141"/>
      <c r="B69" s="56" t="s">
        <v>4199</v>
      </c>
      <c r="C69" s="57" t="s">
        <v>176</v>
      </c>
      <c r="D69" s="56" t="s">
        <v>3343</v>
      </c>
      <c r="E69" s="158" t="str">
        <f>HYPERLINK("https://youtu.be/PHZyoX7g_aA","channel 1")</f>
        <v>channel 1</v>
      </c>
    </row>
    <row r="70">
      <c r="A70" s="141"/>
      <c r="B70" s="56" t="s">
        <v>3238</v>
      </c>
      <c r="C70" s="57" t="s">
        <v>229</v>
      </c>
      <c r="D70" s="56" t="s">
        <v>1974</v>
      </c>
      <c r="E70" s="11" t="str">
        <f>HYPERLINK("https://youtu.be/8c2-MaLlrZ0","channel 2")</f>
        <v>channel 2</v>
      </c>
    </row>
    <row r="71">
      <c r="A71" s="141"/>
      <c r="B71" s="56" t="s">
        <v>4200</v>
      </c>
      <c r="C71" s="57" t="s">
        <v>464</v>
      </c>
      <c r="D71" s="56" t="s">
        <v>4199</v>
      </c>
      <c r="E71" s="169" t="str">
        <f>HYPERLINK("https://youtu.be/OHMRqn9FIYk","channel 1")</f>
        <v>channel 1</v>
      </c>
    </row>
    <row r="72">
      <c r="A72" s="141"/>
      <c r="B72" s="56" t="s">
        <v>3238</v>
      </c>
      <c r="C72" s="57" t="s">
        <v>335</v>
      </c>
      <c r="D72" s="56" t="s">
        <v>3343</v>
      </c>
      <c r="E72" s="11" t="str">
        <f>HYPERLINK("https://youtu.be/7AKaRNgD0hs","channel 2")</f>
        <v>channel 2</v>
      </c>
    </row>
    <row r="73">
      <c r="A73" s="141"/>
      <c r="B73" s="56" t="s">
        <v>4200</v>
      </c>
      <c r="C73" s="57" t="s">
        <v>464</v>
      </c>
      <c r="D73" s="56" t="s">
        <v>1974</v>
      </c>
      <c r="E73" s="158" t="str">
        <f>HYPERLINK("https://youtu.be/C2iiNR7XUaA","channel 1")</f>
        <v>channel 1</v>
      </c>
    </row>
    <row r="74">
      <c r="A74" s="141"/>
      <c r="B74" s="56" t="s">
        <v>3238</v>
      </c>
      <c r="C74" s="57" t="s">
        <v>177</v>
      </c>
      <c r="D74" s="56" t="s">
        <v>4199</v>
      </c>
      <c r="E74" s="11" t="str">
        <f>HYPERLINK("https://youtu.be/lfJCKR0t690","channel 2")</f>
        <v>channel 2</v>
      </c>
    </row>
    <row r="75">
      <c r="A75" s="141"/>
      <c r="B75" s="56" t="s">
        <v>4200</v>
      </c>
      <c r="C75" s="57" t="s">
        <v>4201</v>
      </c>
      <c r="D75" s="56" t="s">
        <v>3343</v>
      </c>
      <c r="E75" s="169" t="str">
        <f>HYPERLINK("https://youtu.be/EZdoL16kwx8","channel 1")</f>
        <v>channel 1</v>
      </c>
    </row>
    <row r="76">
      <c r="A76" s="141"/>
      <c r="B76" s="56" t="s">
        <v>1974</v>
      </c>
      <c r="C76" s="57" t="s">
        <v>425</v>
      </c>
      <c r="D76" s="56" t="s">
        <v>4199</v>
      </c>
      <c r="E76" s="11" t="str">
        <f>HYPERLINK("https://youtu.be/O7jgxMN3iHw","channel 2")</f>
        <v>channel 2</v>
      </c>
    </row>
    <row r="77">
      <c r="A77" s="141"/>
      <c r="B77" s="56" t="s">
        <v>4200</v>
      </c>
      <c r="C77" s="57" t="s">
        <v>14</v>
      </c>
      <c r="D77" s="56" t="s">
        <v>3238</v>
      </c>
      <c r="E77" s="158" t="str">
        <f>HYPERLINK("https://youtu.be/gVXuVDw3Lys","channel 1")</f>
        <v>channel 1</v>
      </c>
    </row>
    <row r="78">
      <c r="A78" s="141"/>
      <c r="B78" s="56" t="s">
        <v>1974</v>
      </c>
      <c r="C78" s="57" t="s">
        <v>219</v>
      </c>
      <c r="D78" s="56" t="s">
        <v>3343</v>
      </c>
      <c r="E78" s="11" t="str">
        <f>HYPERLINK("https://youtu.be/hLYI1KCVTEQ","channel 2")</f>
        <v>channel 2</v>
      </c>
    </row>
    <row r="79">
      <c r="A79" s="141"/>
      <c r="B79" s="56" t="s">
        <v>3343</v>
      </c>
      <c r="C79" s="57" t="s">
        <v>271</v>
      </c>
      <c r="D79" s="56" t="s">
        <v>4199</v>
      </c>
      <c r="E79" s="169" t="str">
        <f>HYPERLINK("https://youtu.be/k7IupYWIk-s","channel 1")</f>
        <v>channel 1</v>
      </c>
    </row>
    <row r="80">
      <c r="A80" s="141"/>
      <c r="B80" s="56" t="s">
        <v>1974</v>
      </c>
      <c r="C80" s="57" t="s">
        <v>513</v>
      </c>
      <c r="D80" s="56" t="s">
        <v>3238</v>
      </c>
      <c r="E80" s="11" t="str">
        <f>HYPERLINK("https://youtu.be/fQOi14Wz1O4","channel 2")</f>
        <v>channel 2</v>
      </c>
    </row>
    <row r="81">
      <c r="A81" s="141"/>
      <c r="B81" s="56" t="s">
        <v>4199</v>
      </c>
      <c r="C81" s="57" t="s">
        <v>155</v>
      </c>
      <c r="D81" s="56" t="s">
        <v>4200</v>
      </c>
      <c r="E81" s="158" t="str">
        <f>HYPERLINK("https://youtu.be/u-Q_BMhN8Ug","channel 1")</f>
        <v>channel 1</v>
      </c>
    </row>
    <row r="82">
      <c r="A82" s="141"/>
      <c r="B82" s="56" t="s">
        <v>3343</v>
      </c>
      <c r="C82" s="57" t="s">
        <v>271</v>
      </c>
      <c r="D82" s="56" t="s">
        <v>3238</v>
      </c>
      <c r="E82" s="11" t="str">
        <f>HYPERLINK("https://youtu.be/sSECt23M0x8","channel 2")</f>
        <v>channel 2</v>
      </c>
    </row>
    <row r="83">
      <c r="A83" s="141"/>
      <c r="B83" s="56" t="s">
        <v>1974</v>
      </c>
      <c r="C83" s="57" t="s">
        <v>218</v>
      </c>
      <c r="D83" s="56" t="s">
        <v>4200</v>
      </c>
      <c r="E83" s="169" t="str">
        <f>HYPERLINK("https://youtu.be/PO27LMRsr8M","channel 1")</f>
        <v>channel 1</v>
      </c>
    </row>
    <row r="84">
      <c r="A84" s="141"/>
      <c r="B84" s="56" t="s">
        <v>4199</v>
      </c>
      <c r="C84" s="57" t="s">
        <v>161</v>
      </c>
      <c r="D84" s="56" t="s">
        <v>3238</v>
      </c>
      <c r="E84" s="11" t="str">
        <f>HYPERLINK("https://youtu.be/EG3AmZx8fTs","channel 2")</f>
        <v>channel 2</v>
      </c>
    </row>
    <row r="85">
      <c r="A85" s="141"/>
      <c r="B85" s="56" t="s">
        <v>3343</v>
      </c>
      <c r="C85" s="57" t="s">
        <v>750</v>
      </c>
      <c r="D85" s="56" t="s">
        <v>4200</v>
      </c>
      <c r="E85" s="158" t="str">
        <f>HYPERLINK("https://youtu.be/mk975sZh0WM","channel 1")</f>
        <v>channel 1</v>
      </c>
    </row>
    <row r="86">
      <c r="A86" s="141"/>
      <c r="B86" s="56" t="s">
        <v>4199</v>
      </c>
      <c r="C86" s="57" t="s">
        <v>18</v>
      </c>
      <c r="D86" s="56" t="s">
        <v>1974</v>
      </c>
      <c r="E86" s="11" t="str">
        <f>HYPERLINK("https://youtu.be/Z23CbutlLUw","channel 2")</f>
        <v>channel 2</v>
      </c>
    </row>
    <row r="87">
      <c r="A87" s="141"/>
      <c r="B87" s="56" t="s">
        <v>3238</v>
      </c>
      <c r="C87" s="57" t="s">
        <v>225</v>
      </c>
      <c r="D87" s="56" t="s">
        <v>4200</v>
      </c>
      <c r="E87" s="169" t="str">
        <f>HYPERLINK("https://youtu.be/JGQKOaXTCWw","channel 1")</f>
        <v>channel 1</v>
      </c>
    </row>
    <row r="88">
      <c r="A88" s="145"/>
      <c r="B88" s="56" t="s">
        <v>3343</v>
      </c>
      <c r="C88" s="57" t="s">
        <v>31</v>
      </c>
      <c r="D88" s="56" t="s">
        <v>1974</v>
      </c>
      <c r="E88" s="11" t="str">
        <f>HYPERLINK("https://youtu.be/nug7XymJ778","channel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2260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3644</v>
      </c>
      <c r="C3" s="57" t="s">
        <v>442</v>
      </c>
      <c r="D3" s="56" t="s">
        <v>3182</v>
      </c>
      <c r="E3" s="158" t="str">
        <f>HYPERLINK("https://youtu.be/ur5ago5ZPEk","channel 1")</f>
        <v>channel 1</v>
      </c>
    </row>
    <row r="4">
      <c r="B4" s="56" t="s">
        <v>2798</v>
      </c>
      <c r="C4" s="175" t="s">
        <v>668</v>
      </c>
      <c r="D4" s="56" t="s">
        <v>3632</v>
      </c>
      <c r="E4" s="176" t="s">
        <v>13</v>
      </c>
    </row>
    <row r="5">
      <c r="B5" s="56" t="s">
        <v>1514</v>
      </c>
      <c r="C5" s="57" t="s">
        <v>14</v>
      </c>
      <c r="D5" s="56" t="s">
        <v>3644</v>
      </c>
      <c r="E5" s="158" t="str">
        <f>HYPERLINK("https://youtu.be/XLHKJnBEQSk","channel 1")</f>
        <v>channel 1</v>
      </c>
    </row>
    <row r="6">
      <c r="B6" s="56" t="s">
        <v>2798</v>
      </c>
      <c r="C6" s="175" t="s">
        <v>668</v>
      </c>
      <c r="D6" s="56" t="s">
        <v>3182</v>
      </c>
      <c r="E6" s="176" t="s">
        <v>13</v>
      </c>
    </row>
    <row r="7">
      <c r="B7" s="56" t="s">
        <v>1514</v>
      </c>
      <c r="C7" s="57" t="s">
        <v>18</v>
      </c>
      <c r="D7" s="56" t="s">
        <v>3632</v>
      </c>
      <c r="E7" s="158" t="str">
        <f>HYPERLINK("https://youtu.be/NV9gq_q4p7c","channel 1")</f>
        <v>channel 1</v>
      </c>
    </row>
    <row r="8">
      <c r="B8" s="56" t="s">
        <v>2798</v>
      </c>
      <c r="C8" s="175" t="s">
        <v>668</v>
      </c>
      <c r="D8" s="56" t="s">
        <v>3644</v>
      </c>
      <c r="E8" s="176" t="s">
        <v>13</v>
      </c>
    </row>
    <row r="9">
      <c r="B9" s="56" t="s">
        <v>1514</v>
      </c>
      <c r="C9" s="57" t="s">
        <v>195</v>
      </c>
      <c r="D9" s="56" t="s">
        <v>3182</v>
      </c>
      <c r="E9" s="158" t="str">
        <f>HYPERLINK("https://youtu.be/4dYv9t_WvVU","channel 1")</f>
        <v>channel 1</v>
      </c>
    </row>
    <row r="10">
      <c r="B10" s="56" t="s">
        <v>3632</v>
      </c>
      <c r="C10" s="57" t="s">
        <v>165</v>
      </c>
      <c r="D10" s="56" t="s">
        <v>3644</v>
      </c>
      <c r="E10" s="139" t="str">
        <f>HYPERLINK("https://youtu.be/tvr3KFDaNHw","channel 2")</f>
        <v>channel 2</v>
      </c>
    </row>
    <row r="11">
      <c r="B11" s="56" t="s">
        <v>1514</v>
      </c>
      <c r="C11" s="175" t="s">
        <v>668</v>
      </c>
      <c r="D11" s="56" t="s">
        <v>2798</v>
      </c>
      <c r="E11" s="164" t="s">
        <v>9</v>
      </c>
    </row>
    <row r="12">
      <c r="B12" s="56" t="s">
        <v>3632</v>
      </c>
      <c r="C12" s="57" t="s">
        <v>166</v>
      </c>
      <c r="D12" s="56" t="s">
        <v>3182</v>
      </c>
      <c r="E12" s="139" t="str">
        <f>HYPERLINK("https://youtu.be/8aTKp9Xu1Ls","channel 2")</f>
        <v>channel 2</v>
      </c>
    </row>
    <row r="13">
      <c r="B13" s="56" t="s">
        <v>3182</v>
      </c>
      <c r="C13" s="57" t="s">
        <v>208</v>
      </c>
      <c r="D13" s="56" t="s">
        <v>3644</v>
      </c>
      <c r="E13" s="158" t="str">
        <f>HYPERLINK("https://youtu.be/5y385hRb8dU","channel 1")</f>
        <v>channel 1</v>
      </c>
    </row>
    <row r="14">
      <c r="B14" s="56" t="s">
        <v>3632</v>
      </c>
      <c r="C14" s="175" t="s">
        <v>668</v>
      </c>
      <c r="D14" s="56" t="s">
        <v>2798</v>
      </c>
      <c r="E14" s="176" t="s">
        <v>13</v>
      </c>
    </row>
    <row r="15">
      <c r="B15" s="56" t="s">
        <v>3644</v>
      </c>
      <c r="C15" s="57" t="s">
        <v>290</v>
      </c>
      <c r="D15" s="56" t="s">
        <v>1514</v>
      </c>
      <c r="E15" s="158" t="str">
        <f>HYPERLINK("https://youtu.be/oJSpEnPWEjU","channel 1")</f>
        <v>channel 1</v>
      </c>
    </row>
    <row r="16">
      <c r="B16" s="56" t="s">
        <v>3182</v>
      </c>
      <c r="C16" s="175" t="s">
        <v>668</v>
      </c>
      <c r="D16" s="56" t="s">
        <v>2798</v>
      </c>
      <c r="E16" s="176" t="s">
        <v>13</v>
      </c>
    </row>
    <row r="17">
      <c r="B17" s="56" t="s">
        <v>3632</v>
      </c>
      <c r="C17" s="57" t="s">
        <v>209</v>
      </c>
      <c r="D17" s="56" t="s">
        <v>1514</v>
      </c>
      <c r="E17" s="158" t="str">
        <f>HYPERLINK("https://youtu.be/0_p9s51irVA","channel 1")</f>
        <v>channel 1</v>
      </c>
    </row>
    <row r="18">
      <c r="B18" s="56" t="s">
        <v>3644</v>
      </c>
      <c r="C18" s="175" t="s">
        <v>668</v>
      </c>
      <c r="D18" s="56" t="s">
        <v>2798</v>
      </c>
      <c r="E18" s="176" t="s">
        <v>13</v>
      </c>
    </row>
    <row r="19">
      <c r="B19" s="56" t="s">
        <v>3182</v>
      </c>
      <c r="C19" s="57" t="s">
        <v>248</v>
      </c>
      <c r="D19" s="56" t="s">
        <v>1514</v>
      </c>
      <c r="E19" s="158" t="str">
        <f>HYPERLINK("https://www.youtube.com/watch?v=kFTJ_Js7n8Y","channel 1")</f>
        <v>channel 1</v>
      </c>
    </row>
    <row r="20">
      <c r="B20" s="56" t="s">
        <v>3644</v>
      </c>
      <c r="C20" s="57" t="s">
        <v>7</v>
      </c>
      <c r="D20" s="56" t="s">
        <v>3632</v>
      </c>
      <c r="E20" s="139" t="str">
        <f>HYPERLINK("https://youtu.be/V3XE-JgnKjo","channel 2")</f>
        <v>channel 2</v>
      </c>
    </row>
    <row r="21">
      <c r="B21" s="56" t="s">
        <v>2798</v>
      </c>
      <c r="C21" s="175" t="s">
        <v>668</v>
      </c>
      <c r="D21" s="56" t="s">
        <v>1514</v>
      </c>
      <c r="E21" s="164" t="s">
        <v>9</v>
      </c>
    </row>
    <row r="22">
      <c r="B22" s="56" t="s">
        <v>3182</v>
      </c>
      <c r="C22" s="57" t="s">
        <v>225</v>
      </c>
      <c r="D22" s="56" t="s">
        <v>3632</v>
      </c>
      <c r="E22" s="139" t="str">
        <f>HYPERLINK("https://youtu.be/yWlPl9w7vnI","channel 2")</f>
        <v>channel 2</v>
      </c>
    </row>
    <row r="23">
      <c r="B23" s="173" t="s">
        <v>4202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56" t="s">
        <v>3840</v>
      </c>
      <c r="C25" s="57" t="s">
        <v>250</v>
      </c>
      <c r="D25" s="56" t="s">
        <v>2689</v>
      </c>
      <c r="E25" s="158" t="str">
        <f>HYPERLINK("https://youtu.be/Kj0-hfaWCbI","channel 1")</f>
        <v>channel 1</v>
      </c>
    </row>
    <row r="26">
      <c r="B26" s="56" t="s">
        <v>3452</v>
      </c>
      <c r="C26" s="57" t="s">
        <v>225</v>
      </c>
      <c r="D26" s="56" t="s">
        <v>4203</v>
      </c>
      <c r="E26" s="139" t="str">
        <f>HYPERLINK("https://youtu.be/KDprXAbu9UE","channel 2")</f>
        <v>channel 2</v>
      </c>
    </row>
    <row r="27">
      <c r="B27" s="56" t="s">
        <v>4204</v>
      </c>
      <c r="C27" s="57" t="s">
        <v>177</v>
      </c>
      <c r="D27" s="56" t="s">
        <v>3840</v>
      </c>
      <c r="E27" s="158" t="str">
        <f>HYPERLINK("https://youtu.be/S3N8KDLY_qc","channel 1")</f>
        <v>channel 1</v>
      </c>
    </row>
    <row r="28">
      <c r="B28" s="56" t="s">
        <v>3452</v>
      </c>
      <c r="C28" s="57" t="s">
        <v>181</v>
      </c>
      <c r="D28" s="56" t="s">
        <v>2689</v>
      </c>
      <c r="E28" s="139" t="str">
        <f>HYPERLINK("https://youtu.be/p20YvOE7xRI","channel 2")</f>
        <v>channel 2</v>
      </c>
    </row>
    <row r="29">
      <c r="B29" s="56" t="s">
        <v>4204</v>
      </c>
      <c r="C29" s="57" t="s">
        <v>245</v>
      </c>
      <c r="D29" s="56" t="s">
        <v>4203</v>
      </c>
      <c r="E29" s="158" t="str">
        <f>HYPERLINK("https://youtu.be/9KBULKAiGCY","channel 1")</f>
        <v>channel 1</v>
      </c>
    </row>
    <row r="30">
      <c r="B30" s="56" t="s">
        <v>3452</v>
      </c>
      <c r="C30" s="57" t="s">
        <v>166</v>
      </c>
      <c r="D30" s="56" t="s">
        <v>3840</v>
      </c>
      <c r="E30" s="139" t="str">
        <f>HYPERLINK("https://youtu.be/ZNCzPMK7emQ","channel 2")</f>
        <v>channel 2</v>
      </c>
    </row>
    <row r="31">
      <c r="B31" s="56" t="s">
        <v>4204</v>
      </c>
      <c r="C31" s="57" t="s">
        <v>14</v>
      </c>
      <c r="D31" s="56" t="s">
        <v>2689</v>
      </c>
      <c r="E31" s="158" t="str">
        <f>HYPERLINK("https://youtu.be/ACbPOEvfpSs","channel 1")</f>
        <v>channel 1</v>
      </c>
    </row>
    <row r="32">
      <c r="B32" s="56" t="s">
        <v>4203</v>
      </c>
      <c r="C32" s="57" t="s">
        <v>426</v>
      </c>
      <c r="D32" s="56" t="s">
        <v>3840</v>
      </c>
      <c r="E32" s="139" t="str">
        <f>HYPERLINK("https://youtu.be/awVlb8jCHbw","channel 2")</f>
        <v>channel 2</v>
      </c>
    </row>
    <row r="33">
      <c r="B33" s="56" t="s">
        <v>4204</v>
      </c>
      <c r="C33" s="57" t="s">
        <v>4205</v>
      </c>
      <c r="D33" s="56" t="s">
        <v>3452</v>
      </c>
      <c r="E33" s="158" t="str">
        <f>HYPERLINK("https://youtu.be/g1J6lt9v7Lk","channel 1")</f>
        <v>channel 1</v>
      </c>
    </row>
    <row r="34">
      <c r="B34" s="56" t="s">
        <v>4203</v>
      </c>
      <c r="C34" s="57" t="s">
        <v>301</v>
      </c>
      <c r="D34" s="56" t="s">
        <v>2689</v>
      </c>
      <c r="E34" s="139" t="str">
        <f>HYPERLINK("https://youtu.be/5uguTrnGGaw","channel 2")</f>
        <v>channel 2</v>
      </c>
    </row>
    <row r="35">
      <c r="B35" s="56" t="s">
        <v>2689</v>
      </c>
      <c r="C35" s="57" t="s">
        <v>195</v>
      </c>
      <c r="D35" s="56" t="s">
        <v>3840</v>
      </c>
      <c r="E35" s="158" t="str">
        <f>HYPERLINK("https://youtu.be/m6TKW1WQlAk","channel 1")</f>
        <v>channel 1</v>
      </c>
    </row>
    <row r="36">
      <c r="B36" s="56" t="s">
        <v>4203</v>
      </c>
      <c r="C36" s="57" t="s">
        <v>41</v>
      </c>
      <c r="D36" s="56" t="s">
        <v>3452</v>
      </c>
      <c r="E36" s="139" t="str">
        <f>HYPERLINK("https://youtu.be/u-AI3_SzCXc","channel 2")</f>
        <v>channel 2</v>
      </c>
    </row>
    <row r="37">
      <c r="B37" s="56" t="s">
        <v>3840</v>
      </c>
      <c r="C37" s="57" t="s">
        <v>227</v>
      </c>
      <c r="D37" s="56" t="s">
        <v>4204</v>
      </c>
      <c r="E37" s="158" t="str">
        <f>HYPERLINK("https://youtu.be/sRFj9lZ-_n8","channel 1")</f>
        <v>channel 1</v>
      </c>
    </row>
    <row r="38">
      <c r="B38" s="56" t="s">
        <v>2689</v>
      </c>
      <c r="C38" s="57" t="s">
        <v>37</v>
      </c>
      <c r="D38" s="56" t="s">
        <v>3452</v>
      </c>
      <c r="E38" s="139" t="str">
        <f>HYPERLINK("https://youtu.be/W8eOiBfBa2w","channel 2")</f>
        <v>channel 2</v>
      </c>
    </row>
    <row r="39">
      <c r="B39" s="56" t="s">
        <v>4203</v>
      </c>
      <c r="C39" s="45" t="s">
        <v>545</v>
      </c>
      <c r="D39" s="56" t="s">
        <v>4204</v>
      </c>
      <c r="E39" s="158" t="str">
        <f>HYPERLINK("https://youtu.be/ZQRKQFyDZLo","channel 1")</f>
        <v>channel 1</v>
      </c>
    </row>
    <row r="40">
      <c r="B40" s="56" t="s">
        <v>3840</v>
      </c>
      <c r="C40" s="57" t="s">
        <v>222</v>
      </c>
      <c r="D40" s="56" t="s">
        <v>3452</v>
      </c>
      <c r="E40" s="139" t="str">
        <f>HYPERLINK("https://youtu.be/ox9czmGcyY8","channel 2")</f>
        <v>channel 2</v>
      </c>
    </row>
    <row r="41">
      <c r="B41" s="56" t="s">
        <v>2689</v>
      </c>
      <c r="C41" s="57" t="s">
        <v>209</v>
      </c>
      <c r="D41" s="56" t="s">
        <v>4204</v>
      </c>
      <c r="E41" s="158" t="str">
        <f>HYPERLINK("https://youtu.be/mNjQlThKSyc","channel 1")</f>
        <v>channel 1</v>
      </c>
    </row>
    <row r="42">
      <c r="B42" s="56" t="s">
        <v>3840</v>
      </c>
      <c r="C42" s="57" t="s">
        <v>209</v>
      </c>
      <c r="D42" s="56" t="s">
        <v>4203</v>
      </c>
      <c r="E42" s="139" t="str">
        <f>HYPERLINK("https://youtu.be/0nUm6yvkYmI","channel 2")</f>
        <v>channel 2</v>
      </c>
    </row>
    <row r="43">
      <c r="B43" s="56" t="s">
        <v>3452</v>
      </c>
      <c r="C43" s="57" t="s">
        <v>16</v>
      </c>
      <c r="D43" s="56" t="s">
        <v>4204</v>
      </c>
      <c r="E43" s="158" t="str">
        <f>HYPERLINK("https://youtu.be/YoptR8z7V2w","channel 1")</f>
        <v>channel 1</v>
      </c>
    </row>
    <row r="44">
      <c r="B44" s="56" t="s">
        <v>2689</v>
      </c>
      <c r="C44" s="57" t="s">
        <v>193</v>
      </c>
      <c r="D44" s="56" t="s">
        <v>4203</v>
      </c>
      <c r="E44" s="139" t="str">
        <f>HYPERLINK("https://youtu.be/2FU7IY1oGzA","channel 2")</f>
        <v>channel 2</v>
      </c>
    </row>
    <row r="45">
      <c r="B45" s="173" t="s">
        <v>2417</v>
      </c>
      <c r="C45" s="37"/>
      <c r="D45" s="37"/>
      <c r="E45" s="38"/>
    </row>
    <row r="46">
      <c r="B46" s="174" t="s">
        <v>2</v>
      </c>
      <c r="C46" s="109" t="s">
        <v>3</v>
      </c>
      <c r="D46" s="29" t="s">
        <v>4</v>
      </c>
      <c r="E46" s="29" t="s">
        <v>5</v>
      </c>
    </row>
    <row r="47">
      <c r="B47" s="56" t="s">
        <v>3717</v>
      </c>
      <c r="C47" s="57" t="s">
        <v>219</v>
      </c>
      <c r="D47" s="56" t="s">
        <v>873</v>
      </c>
      <c r="E47" s="158" t="str">
        <f>HYPERLINK("https://youtu.be/WKw1tRWV1fU","channel 1")</f>
        <v>channel 1</v>
      </c>
    </row>
    <row r="48">
      <c r="B48" s="56" t="s">
        <v>4206</v>
      </c>
      <c r="C48" s="57" t="s">
        <v>24</v>
      </c>
      <c r="D48" s="56" t="s">
        <v>4207</v>
      </c>
      <c r="E48" s="139" t="str">
        <f>HYPERLINK("https://youtu.be/a-qNZvRzhY4","channel 2")</f>
        <v>channel 2</v>
      </c>
    </row>
    <row r="49">
      <c r="B49" s="56" t="s">
        <v>3699</v>
      </c>
      <c r="C49" s="57" t="s">
        <v>193</v>
      </c>
      <c r="D49" s="56" t="s">
        <v>3717</v>
      </c>
      <c r="E49" s="158" t="str">
        <f>HYPERLINK("https://youtu.be/GvQmKTzZFTE","channel 1")</f>
        <v>channel 1</v>
      </c>
    </row>
    <row r="50">
      <c r="B50" s="56" t="s">
        <v>4206</v>
      </c>
      <c r="C50" s="57" t="s">
        <v>181</v>
      </c>
      <c r="D50" s="56" t="s">
        <v>873</v>
      </c>
      <c r="E50" s="139" t="str">
        <f>HYPERLINK("https://youtu.be/oeyqgU9KV4M","channel 2")</f>
        <v>channel 2</v>
      </c>
    </row>
    <row r="51">
      <c r="B51" s="56" t="s">
        <v>3699</v>
      </c>
      <c r="C51" s="57" t="s">
        <v>425</v>
      </c>
      <c r="D51" s="56" t="s">
        <v>4207</v>
      </c>
      <c r="E51" s="158" t="str">
        <f>HYPERLINK("https://youtu.be/r5CpvjQ3eaA","channel 1")</f>
        <v>channel 1</v>
      </c>
    </row>
    <row r="52">
      <c r="B52" s="56" t="s">
        <v>4206</v>
      </c>
      <c r="C52" s="57" t="s">
        <v>163</v>
      </c>
      <c r="D52" s="56" t="s">
        <v>3717</v>
      </c>
      <c r="E52" s="139" t="str">
        <f>HYPERLINK("https://youtu.be/6KTIar8n854","channel 2")</f>
        <v>channel 2</v>
      </c>
    </row>
    <row r="53">
      <c r="B53" s="56" t="s">
        <v>3699</v>
      </c>
      <c r="C53" s="57" t="s">
        <v>193</v>
      </c>
      <c r="D53" s="56" t="s">
        <v>873</v>
      </c>
      <c r="E53" s="158" t="str">
        <f>HYPERLINK("https://youtu.be/YaG7vcruIU4","channel 1")</f>
        <v>channel 1</v>
      </c>
    </row>
    <row r="54">
      <c r="B54" s="56" t="s">
        <v>4207</v>
      </c>
      <c r="C54" s="57" t="s">
        <v>490</v>
      </c>
      <c r="D54" s="56" t="s">
        <v>3717</v>
      </c>
      <c r="E54" s="139" t="str">
        <f>HYPERLINK("https://youtu.be/W8B3zjpnWQk","channel 2")</f>
        <v>channel 2</v>
      </c>
    </row>
    <row r="55">
      <c r="B55" s="56" t="s">
        <v>3699</v>
      </c>
      <c r="C55" s="57" t="s">
        <v>574</v>
      </c>
      <c r="D55" s="56" t="s">
        <v>4206</v>
      </c>
      <c r="E55" s="158" t="str">
        <f>HYPERLINK("https://youtu.be/PEJsgTN9QP4","channel 1")</f>
        <v>channel 1</v>
      </c>
    </row>
    <row r="56">
      <c r="B56" s="56" t="s">
        <v>4207</v>
      </c>
      <c r="C56" s="57" t="s">
        <v>155</v>
      </c>
      <c r="D56" s="56" t="s">
        <v>873</v>
      </c>
      <c r="E56" s="139" t="str">
        <f>HYPERLINK("https://youtu.be/LeZ9YrO7TAw","channel 2")</f>
        <v>channel 2</v>
      </c>
    </row>
    <row r="57">
      <c r="B57" s="56" t="s">
        <v>873</v>
      </c>
      <c r="C57" s="57" t="s">
        <v>314</v>
      </c>
      <c r="D57" s="56" t="s">
        <v>3717</v>
      </c>
      <c r="E57" s="158" t="str">
        <f>HYPERLINK("https://youtu.be/IKvrk0derG8","channel 1")</f>
        <v>channel 1</v>
      </c>
    </row>
    <row r="58">
      <c r="B58" s="56" t="s">
        <v>4207</v>
      </c>
      <c r="C58" s="57" t="s">
        <v>4208</v>
      </c>
      <c r="D58" s="56" t="s">
        <v>4206</v>
      </c>
      <c r="E58" s="139" t="str">
        <f>HYPERLINK("https://youtu.be/e9v7M0edkhs","channel 2")</f>
        <v>channel 2</v>
      </c>
    </row>
    <row r="59">
      <c r="B59" s="56" t="s">
        <v>3717</v>
      </c>
      <c r="C59" s="57" t="s">
        <v>42</v>
      </c>
      <c r="D59" s="56" t="s">
        <v>3699</v>
      </c>
      <c r="E59" s="158" t="str">
        <f>HYPERLINK("https://youtu.be/WYJP_Ss-XIk","channel 1")</f>
        <v>channel 1</v>
      </c>
    </row>
    <row r="60">
      <c r="B60" s="56" t="s">
        <v>873</v>
      </c>
      <c r="C60" s="57" t="s">
        <v>1120</v>
      </c>
      <c r="D60" s="56" t="s">
        <v>4206</v>
      </c>
      <c r="E60" s="139" t="str">
        <f>HYPERLINK("https://youtu.be/J2dKZ8pdBkI","channel 2")</f>
        <v>channel 2</v>
      </c>
    </row>
    <row r="61">
      <c r="B61" s="56" t="s">
        <v>4207</v>
      </c>
      <c r="C61" s="57" t="s">
        <v>2692</v>
      </c>
      <c r="D61" s="56" t="s">
        <v>3699</v>
      </c>
      <c r="E61" s="158" t="str">
        <f>HYPERLINK("https://youtu.be/jitGlNXfvGE","channel 1")</f>
        <v>channel 1</v>
      </c>
    </row>
    <row r="62">
      <c r="B62" s="56" t="s">
        <v>3717</v>
      </c>
      <c r="C62" s="45" t="s">
        <v>211</v>
      </c>
      <c r="D62" s="56" t="s">
        <v>4206</v>
      </c>
      <c r="E62" s="139" t="str">
        <f>HYPERLINK("https://youtu.be/Sis3DEH5W5g","channel 2")</f>
        <v>channel 2</v>
      </c>
    </row>
    <row r="63">
      <c r="B63" s="56" t="s">
        <v>873</v>
      </c>
      <c r="C63" s="57" t="s">
        <v>344</v>
      </c>
      <c r="D63" s="56" t="s">
        <v>3699</v>
      </c>
      <c r="E63" s="158" t="str">
        <f>HYPERLINK("https://youtu.be/u_PeompwBmw","channel 1")</f>
        <v>channel 1</v>
      </c>
    </row>
    <row r="64">
      <c r="B64" s="56" t="s">
        <v>3717</v>
      </c>
      <c r="C64" s="57" t="s">
        <v>38</v>
      </c>
      <c r="D64" s="56" t="s">
        <v>4207</v>
      </c>
      <c r="E64" s="139" t="str">
        <f>HYPERLINK("https://youtu.be/02KQK_zHB4o","channel 2")</f>
        <v>channel 2</v>
      </c>
    </row>
    <row r="65">
      <c r="B65" s="56" t="s">
        <v>4206</v>
      </c>
      <c r="C65" s="57" t="s">
        <v>17</v>
      </c>
      <c r="D65" s="56" t="s">
        <v>3699</v>
      </c>
      <c r="E65" s="158" t="str">
        <f>HYPERLINK("https://youtu.be/ca85iCpk4O0","channel 1")</f>
        <v>channel 1</v>
      </c>
    </row>
    <row r="66">
      <c r="B66" s="56" t="s">
        <v>873</v>
      </c>
      <c r="C66" s="57" t="s">
        <v>160</v>
      </c>
      <c r="D66" s="56" t="s">
        <v>4207</v>
      </c>
      <c r="E66" s="139" t="str">
        <f>HYPERLINK("https://youtu.be/fwrAO3tANiE","channel 2")</f>
        <v>channel 2</v>
      </c>
    </row>
    <row r="67">
      <c r="B67" s="177" t="s">
        <v>3011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56" t="s">
        <v>4209</v>
      </c>
      <c r="C69" s="57" t="s">
        <v>193</v>
      </c>
      <c r="D69" s="56" t="s">
        <v>2645</v>
      </c>
      <c r="E69" s="158" t="str">
        <f>HYPERLINK("https://youtu.be/MnocMf0Nz8A","channel 1")</f>
        <v>channel 1</v>
      </c>
    </row>
    <row r="70">
      <c r="B70" s="56" t="s">
        <v>4210</v>
      </c>
      <c r="C70" s="57" t="s">
        <v>222</v>
      </c>
      <c r="D70" s="56" t="s">
        <v>4211</v>
      </c>
      <c r="E70" s="139" t="str">
        <f>HYPERLINK("https://youtu.be/jbwB9G3x5j8","channel 2")</f>
        <v>channel 2</v>
      </c>
    </row>
    <row r="71">
      <c r="B71" s="56" t="s">
        <v>3796</v>
      </c>
      <c r="C71" s="57" t="s">
        <v>281</v>
      </c>
      <c r="D71" s="56" t="s">
        <v>4209</v>
      </c>
      <c r="E71" s="158" t="str">
        <f>HYPERLINK("https://youtu.be/9x8RSvFVPY8","channel 1")</f>
        <v>channel 1</v>
      </c>
    </row>
    <row r="72">
      <c r="B72" s="56" t="s">
        <v>4210</v>
      </c>
      <c r="C72" s="57" t="s">
        <v>582</v>
      </c>
      <c r="D72" s="56" t="s">
        <v>2645</v>
      </c>
      <c r="E72" s="139" t="str">
        <f>HYPERLINK("https://youtu.be/IZ64FgQebEY","channel 2")</f>
        <v>channel 2</v>
      </c>
    </row>
    <row r="73">
      <c r="B73" s="56" t="s">
        <v>3796</v>
      </c>
      <c r="C73" s="57" t="s">
        <v>298</v>
      </c>
      <c r="D73" s="56" t="s">
        <v>4211</v>
      </c>
      <c r="E73" s="158" t="str">
        <f>HYPERLINK("https://youtu.be/xjo16Ivdx6Y","channel 1")</f>
        <v>channel 1</v>
      </c>
    </row>
    <row r="74">
      <c r="B74" s="56" t="s">
        <v>4210</v>
      </c>
      <c r="C74" s="57" t="s">
        <v>184</v>
      </c>
      <c r="D74" s="56" t="s">
        <v>4209</v>
      </c>
      <c r="E74" s="139" t="str">
        <f>HYPERLINK("https://youtu.be/GWLjpr31eKY","channel 2")</f>
        <v>channel 2</v>
      </c>
    </row>
    <row r="75">
      <c r="B75" s="56" t="s">
        <v>3796</v>
      </c>
      <c r="C75" s="57" t="s">
        <v>16</v>
      </c>
      <c r="D75" s="56" t="s">
        <v>2645</v>
      </c>
      <c r="E75" s="158" t="str">
        <f>HYPERLINK("https://youtu.be/yZqK2rGSsrs","channel 1")</f>
        <v>channel 1</v>
      </c>
    </row>
    <row r="76">
      <c r="B76" s="56" t="s">
        <v>4211</v>
      </c>
      <c r="C76" s="57" t="s">
        <v>324</v>
      </c>
      <c r="D76" s="56" t="s">
        <v>4209</v>
      </c>
      <c r="E76" s="139" t="str">
        <f>HYPERLINK("https://youtu.be/FPPcAUdbPQU","channel 2")</f>
        <v>channel 2</v>
      </c>
    </row>
    <row r="77">
      <c r="B77" s="56" t="s">
        <v>3796</v>
      </c>
      <c r="C77" s="57" t="s">
        <v>165</v>
      </c>
      <c r="D77" s="56" t="s">
        <v>4210</v>
      </c>
      <c r="E77" s="158" t="str">
        <f>HYPERLINK("https://youtu.be/4G7lhDiJ1K4","channel 1")</f>
        <v>channel 1</v>
      </c>
    </row>
    <row r="78">
      <c r="B78" s="56" t="s">
        <v>4211</v>
      </c>
      <c r="C78" s="57" t="s">
        <v>357</v>
      </c>
      <c r="D78" s="56" t="s">
        <v>2645</v>
      </c>
      <c r="E78" s="139" t="str">
        <f>HYPERLINK("https://youtu.be/Q1Qpf4cmU40","channel 2")</f>
        <v>channel 2</v>
      </c>
    </row>
    <row r="79">
      <c r="B79" s="56" t="s">
        <v>2645</v>
      </c>
      <c r="C79" s="57" t="s">
        <v>17</v>
      </c>
      <c r="D79" s="56" t="s">
        <v>4209</v>
      </c>
      <c r="E79" s="158" t="str">
        <f>HYPERLINK("https://youtu.be/RnKwHX3gKlA","channel 1")</f>
        <v>channel 1</v>
      </c>
    </row>
    <row r="80">
      <c r="B80" s="56" t="s">
        <v>4211</v>
      </c>
      <c r="C80" s="57" t="s">
        <v>433</v>
      </c>
      <c r="D80" s="56" t="s">
        <v>4210</v>
      </c>
      <c r="E80" s="139" t="str">
        <f>HYPERLINK("https://youtu.be/tPZfC1ZfLhM","channel 2")</f>
        <v>channel 2</v>
      </c>
    </row>
    <row r="81">
      <c r="B81" s="56" t="s">
        <v>4209</v>
      </c>
      <c r="C81" s="57" t="s">
        <v>38</v>
      </c>
      <c r="D81" s="56" t="s">
        <v>3796</v>
      </c>
      <c r="E81" s="158" t="str">
        <f>HYPERLINK("https://youtu.be/NNb1RjuAl8U","channel 1")</f>
        <v>channel 1</v>
      </c>
    </row>
    <row r="82">
      <c r="B82" s="56" t="s">
        <v>2645</v>
      </c>
      <c r="C82" s="57" t="s">
        <v>36</v>
      </c>
      <c r="D82" s="56" t="s">
        <v>4210</v>
      </c>
      <c r="E82" s="139" t="str">
        <f>HYPERLINK("https://youtu.be/zHDoYUgGFqw","channel 2")</f>
        <v>channel 2</v>
      </c>
    </row>
    <row r="83">
      <c r="B83" s="56" t="s">
        <v>4211</v>
      </c>
      <c r="C83" s="57" t="s">
        <v>756</v>
      </c>
      <c r="D83" s="56" t="s">
        <v>3796</v>
      </c>
      <c r="E83" s="158" t="str">
        <f>HYPERLINK("https://youtu.be/z6V2emUSyg0","channel 1")</f>
        <v>channel 1</v>
      </c>
    </row>
    <row r="84">
      <c r="B84" s="56" t="s">
        <v>4209</v>
      </c>
      <c r="C84" s="57" t="s">
        <v>549</v>
      </c>
      <c r="D84" s="56" t="s">
        <v>4210</v>
      </c>
      <c r="E84" s="139" t="str">
        <f>HYPERLINK("https://youtu.be/9XPVIxZ3f4w","channel 2")</f>
        <v>channel 2</v>
      </c>
    </row>
    <row r="85">
      <c r="B85" s="56" t="s">
        <v>2645</v>
      </c>
      <c r="C85" s="57" t="s">
        <v>161</v>
      </c>
      <c r="D85" s="56" t="s">
        <v>3796</v>
      </c>
      <c r="E85" s="158" t="str">
        <f>HYPERLINK("https://youtu.be/fU46L6m_jxs","channel 1")</f>
        <v>channel 1</v>
      </c>
    </row>
    <row r="86">
      <c r="B86" s="56" t="s">
        <v>4209</v>
      </c>
      <c r="C86" s="57" t="s">
        <v>20</v>
      </c>
      <c r="D86" s="56" t="s">
        <v>4211</v>
      </c>
      <c r="E86" s="139" t="str">
        <f>HYPERLINK("https://youtu.be/C3JJgz1nI7w","channel 2")</f>
        <v>channel 2</v>
      </c>
    </row>
    <row r="87">
      <c r="B87" s="56" t="s">
        <v>4210</v>
      </c>
      <c r="C87" s="57" t="s">
        <v>554</v>
      </c>
      <c r="D87" s="56" t="s">
        <v>3796</v>
      </c>
      <c r="E87" s="158" t="str">
        <f>HYPERLINK("https://youtu.be/pUn7TBQMInI","channel 1")</f>
        <v>channel 1</v>
      </c>
    </row>
    <row r="88">
      <c r="B88" s="56" t="s">
        <v>2645</v>
      </c>
      <c r="C88" s="57" t="s">
        <v>344</v>
      </c>
      <c r="D88" s="56" t="s">
        <v>4211</v>
      </c>
      <c r="E88" s="139" t="str">
        <f>HYPERLINK("https://youtu.be/Lp5xPGdLpHU","channel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1777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3917</v>
      </c>
      <c r="C3" s="57" t="s">
        <v>185</v>
      </c>
      <c r="D3" s="56" t="s">
        <v>4212</v>
      </c>
      <c r="E3" s="158" t="str">
        <f>HYPERLINK("https://youtu.be/h3FxEFnepS4","channel 1")</f>
        <v>channel 1</v>
      </c>
    </row>
    <row r="4">
      <c r="B4" s="56" t="s">
        <v>4213</v>
      </c>
      <c r="C4" s="57" t="s">
        <v>205</v>
      </c>
      <c r="D4" s="56" t="s">
        <v>4214</v>
      </c>
      <c r="E4" s="139" t="str">
        <f>HYPERLINK("https://youtu.be/KP8UCf4HoRE","channel 2")</f>
        <v>channel 2</v>
      </c>
    </row>
    <row r="5">
      <c r="B5" s="56" t="s">
        <v>4215</v>
      </c>
      <c r="C5" s="57" t="s">
        <v>464</v>
      </c>
      <c r="D5" s="56" t="s">
        <v>3917</v>
      </c>
      <c r="E5" s="158" t="str">
        <f>HYPERLINK("https://youtu.be/_95uhmHU298","channel 1")</f>
        <v>channel 1</v>
      </c>
    </row>
    <row r="6">
      <c r="B6" s="56" t="s">
        <v>4213</v>
      </c>
      <c r="C6" s="57" t="s">
        <v>43</v>
      </c>
      <c r="D6" s="56" t="s">
        <v>4212</v>
      </c>
      <c r="E6" s="139" t="str">
        <f>HYPERLINK("https://youtu.be/OCJdR8san2g","channel 2")</f>
        <v>channel 2</v>
      </c>
    </row>
    <row r="7">
      <c r="B7" s="56" t="s">
        <v>4215</v>
      </c>
      <c r="C7" s="57" t="s">
        <v>538</v>
      </c>
      <c r="D7" s="56" t="s">
        <v>4214</v>
      </c>
      <c r="E7" s="158" t="str">
        <f>HYPERLINK("https://youtu.be/-ykKLQGIBuM","channel 1")</f>
        <v>channel 1</v>
      </c>
    </row>
    <row r="8">
      <c r="B8" s="56" t="s">
        <v>4213</v>
      </c>
      <c r="C8" s="57" t="s">
        <v>23</v>
      </c>
      <c r="D8" s="56" t="s">
        <v>3917</v>
      </c>
      <c r="E8" s="139" t="str">
        <f>HYPERLINK("https://youtu.be/twLaDsbLLbA","channel 2")</f>
        <v>channel 2</v>
      </c>
    </row>
    <row r="9">
      <c r="B9" s="56" t="s">
        <v>4215</v>
      </c>
      <c r="C9" s="57" t="s">
        <v>638</v>
      </c>
      <c r="D9" s="56" t="s">
        <v>4212</v>
      </c>
      <c r="E9" s="158" t="str">
        <f>HYPERLINK("https://youtu.be/Fr5Uw9AqVCk","channel 1")</f>
        <v>channel 1</v>
      </c>
    </row>
    <row r="10">
      <c r="B10" s="56" t="s">
        <v>4214</v>
      </c>
      <c r="C10" s="57" t="s">
        <v>4216</v>
      </c>
      <c r="D10" s="56" t="s">
        <v>3917</v>
      </c>
      <c r="E10" s="139" t="str">
        <f>HYPERLINK("https://youtu.be/Yz04OqBchOA","channel 2")</f>
        <v>channel 2</v>
      </c>
    </row>
    <row r="11">
      <c r="B11" s="56" t="s">
        <v>4215</v>
      </c>
      <c r="C11" s="57" t="s">
        <v>1153</v>
      </c>
      <c r="D11" s="56" t="s">
        <v>4213</v>
      </c>
      <c r="E11" s="158" t="str">
        <f>HYPERLINK("https://youtu.be/dXJ-Jozm4pE","channel 1")</f>
        <v>channel 1</v>
      </c>
    </row>
    <row r="12">
      <c r="B12" s="56" t="s">
        <v>4214</v>
      </c>
      <c r="C12" s="57" t="s">
        <v>574</v>
      </c>
      <c r="D12" s="56" t="s">
        <v>4212</v>
      </c>
      <c r="E12" s="139" t="str">
        <f>HYPERLINK("https://youtu.be/YSbABwP1CIU","channel 2")</f>
        <v>channel 2</v>
      </c>
    </row>
    <row r="13">
      <c r="B13" s="56" t="s">
        <v>4212</v>
      </c>
      <c r="C13" s="57" t="s">
        <v>185</v>
      </c>
      <c r="D13" s="56" t="s">
        <v>3917</v>
      </c>
      <c r="E13" s="158" t="str">
        <f>HYPERLINK("https://youtu.be/3GP4vMf5QrI","channel 1")</f>
        <v>channel 1</v>
      </c>
    </row>
    <row r="14">
      <c r="B14" s="56" t="s">
        <v>4214</v>
      </c>
      <c r="C14" s="57" t="s">
        <v>4217</v>
      </c>
      <c r="D14" s="56" t="s">
        <v>4213</v>
      </c>
      <c r="E14" s="139" t="str">
        <f>HYPERLINK("https://youtu.be/vWUUBw-TeeQ","channel 2")</f>
        <v>channel 2</v>
      </c>
    </row>
    <row r="15">
      <c r="B15" s="56" t="s">
        <v>3917</v>
      </c>
      <c r="C15" s="57" t="s">
        <v>1079</v>
      </c>
      <c r="D15" s="56" t="s">
        <v>4215</v>
      </c>
      <c r="E15" s="158" t="str">
        <f>HYPERLINK("https://youtu.be/003SQjtMpYo","channel 1")</f>
        <v>channel 1</v>
      </c>
    </row>
    <row r="16">
      <c r="B16" s="56" t="s">
        <v>4212</v>
      </c>
      <c r="C16" s="57" t="s">
        <v>4218</v>
      </c>
      <c r="D16" s="56" t="s">
        <v>4213</v>
      </c>
      <c r="E16" s="139" t="str">
        <f>HYPERLINK("https://www.youtube.com/watch?v=OCJdR8san2g","channel 2")</f>
        <v>channel 2</v>
      </c>
    </row>
    <row r="17">
      <c r="B17" s="56" t="s">
        <v>4214</v>
      </c>
      <c r="C17" s="57" t="s">
        <v>24</v>
      </c>
      <c r="D17" s="56" t="s">
        <v>4215</v>
      </c>
      <c r="E17" s="158" t="str">
        <f>HYPERLINK("https://youtu.be/NOlbN5tU3A8","channel 1")</f>
        <v>channel 1</v>
      </c>
    </row>
    <row r="18">
      <c r="B18" s="56" t="s">
        <v>3917</v>
      </c>
      <c r="C18" s="57" t="s">
        <v>507</v>
      </c>
      <c r="D18" s="56" t="s">
        <v>4213</v>
      </c>
      <c r="E18" s="139" t="str">
        <f>HYPERLINK("https://youtu.be/IQlNQGF2fZY","channel 2")</f>
        <v>channel 2</v>
      </c>
    </row>
    <row r="19">
      <c r="B19" s="56" t="s">
        <v>4212</v>
      </c>
      <c r="C19" s="57" t="s">
        <v>34</v>
      </c>
      <c r="D19" s="56" t="s">
        <v>4215</v>
      </c>
      <c r="E19" s="158" t="str">
        <f>HYPERLINK("https://youtu.be/3dzzzmTYW3A","channel 1")</f>
        <v>channel 1</v>
      </c>
    </row>
    <row r="20">
      <c r="B20" s="56" t="s">
        <v>3917</v>
      </c>
      <c r="C20" s="57" t="s">
        <v>257</v>
      </c>
      <c r="D20" s="56" t="s">
        <v>4214</v>
      </c>
      <c r="E20" s="139" t="str">
        <f>HYPERLINK("https://youtu.be/ZYxlJWrC5JI","channel 2")</f>
        <v>channel 2</v>
      </c>
    </row>
    <row r="21">
      <c r="B21" s="56" t="s">
        <v>4213</v>
      </c>
      <c r="C21" s="57" t="s">
        <v>11</v>
      </c>
      <c r="D21" s="56" t="s">
        <v>4215</v>
      </c>
      <c r="E21" s="158" t="str">
        <f>HYPERLINK("https://youtu.be/NbxYyXY5Ytg","channel 1")</f>
        <v>channel 1</v>
      </c>
    </row>
    <row r="22">
      <c r="B22" s="56" t="s">
        <v>4212</v>
      </c>
      <c r="C22" s="57" t="s">
        <v>302</v>
      </c>
      <c r="D22" s="56" t="s">
        <v>4214</v>
      </c>
      <c r="E22" s="139" t="str">
        <f>HYPERLINK("https://youtu.be/Sa_QY6erlPc","channel 2")</f>
        <v>channel 2</v>
      </c>
    </row>
    <row r="23">
      <c r="B23" s="173" t="s">
        <v>2207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56" t="s">
        <v>4219</v>
      </c>
      <c r="C25" s="57" t="s">
        <v>4220</v>
      </c>
      <c r="D25" s="56" t="s">
        <v>4221</v>
      </c>
      <c r="E25" s="158" t="str">
        <f>HYPERLINK("https://youtu.be/7NQJoVMRLqE","channel 1")</f>
        <v>channel 1</v>
      </c>
    </row>
    <row r="26">
      <c r="B26" s="56" t="s">
        <v>4222</v>
      </c>
      <c r="C26" s="57" t="s">
        <v>225</v>
      </c>
      <c r="D26" s="56" t="s">
        <v>4223</v>
      </c>
      <c r="E26" s="139" t="str">
        <f>HYPERLINK("https://youtu.be/Skac6LMjg3w","channel 2")</f>
        <v>channel 2</v>
      </c>
    </row>
    <row r="27">
      <c r="B27" s="56" t="s">
        <v>3778</v>
      </c>
      <c r="C27" s="57" t="s">
        <v>251</v>
      </c>
      <c r="D27" s="56" t="s">
        <v>4219</v>
      </c>
      <c r="E27" s="158" t="str">
        <f>HYPERLINK("https://youtu.be/rI6VrfmYk3I","channel 1")</f>
        <v>channel 1</v>
      </c>
    </row>
    <row r="28">
      <c r="B28" s="56" t="s">
        <v>4222</v>
      </c>
      <c r="C28" s="57" t="s">
        <v>582</v>
      </c>
      <c r="D28" s="56" t="s">
        <v>4221</v>
      </c>
      <c r="E28" s="139" t="str">
        <f>HYPERLINK("https://youtu.be/dTlz7_U609M","channel 2")</f>
        <v>channel 2</v>
      </c>
    </row>
    <row r="29">
      <c r="B29" s="56" t="s">
        <v>3778</v>
      </c>
      <c r="C29" s="57" t="s">
        <v>408</v>
      </c>
      <c r="D29" s="56" t="s">
        <v>4223</v>
      </c>
      <c r="E29" s="158" t="str">
        <f>HYPERLINK("https://youtu.be/4ZSG31rXOig","channel 1")</f>
        <v>channel 1</v>
      </c>
    </row>
    <row r="30">
      <c r="B30" s="56" t="s">
        <v>4222</v>
      </c>
      <c r="C30" s="57" t="s">
        <v>750</v>
      </c>
      <c r="D30" s="56" t="s">
        <v>4219</v>
      </c>
      <c r="E30" s="139" t="str">
        <f>HYPERLINK("https://youtu.be/0Hm6T3zZxdg","channel 2")</f>
        <v>channel 2</v>
      </c>
    </row>
    <row r="31">
      <c r="B31" s="56" t="s">
        <v>3778</v>
      </c>
      <c r="C31" s="57" t="s">
        <v>1041</v>
      </c>
      <c r="D31" s="56" t="s">
        <v>4221</v>
      </c>
      <c r="E31" s="158" t="str">
        <f>HYPERLINK("https://youtu.be/izYsJxtNN3c","channel 1")</f>
        <v>channel 1</v>
      </c>
    </row>
    <row r="32">
      <c r="B32" s="56" t="s">
        <v>4223</v>
      </c>
      <c r="C32" s="57" t="s">
        <v>185</v>
      </c>
      <c r="D32" s="56" t="s">
        <v>4219</v>
      </c>
      <c r="E32" s="139" t="str">
        <f>HYPERLINK("https://youtu.be/OeRsu99q_Dw","channel 2")</f>
        <v>channel 2</v>
      </c>
    </row>
    <row r="33">
      <c r="B33" s="56" t="s">
        <v>3778</v>
      </c>
      <c r="C33" s="57" t="s">
        <v>418</v>
      </c>
      <c r="D33" s="56" t="s">
        <v>4222</v>
      </c>
      <c r="E33" s="158" t="str">
        <f>HYPERLINK("https://youtu.be/2MUtpvsPkUI","channel 1")</f>
        <v>channel 1</v>
      </c>
    </row>
    <row r="34">
      <c r="B34" s="56" t="s">
        <v>4223</v>
      </c>
      <c r="C34" s="57" t="s">
        <v>425</v>
      </c>
      <c r="D34" s="56" t="s">
        <v>4221</v>
      </c>
      <c r="E34" s="139" t="str">
        <f>HYPERLINK("https://youtu.be/AVmbSyNjOTU","channel 2")</f>
        <v>channel 2</v>
      </c>
    </row>
    <row r="35">
      <c r="B35" s="56" t="s">
        <v>4221</v>
      </c>
      <c r="C35" s="57" t="s">
        <v>181</v>
      </c>
      <c r="D35" s="56" t="s">
        <v>4219</v>
      </c>
      <c r="E35" s="158" t="str">
        <f>HYPERLINK("https://youtu.be/qwbDS2yyUUQ","channel 1")</f>
        <v>channel 1</v>
      </c>
    </row>
    <row r="36">
      <c r="B36" s="56" t="s">
        <v>4223</v>
      </c>
      <c r="C36" s="57" t="s">
        <v>177</v>
      </c>
      <c r="D36" s="56" t="s">
        <v>4222</v>
      </c>
      <c r="E36" s="139" t="str">
        <f>HYPERLINK("https://youtu.be/9o2o-oKbyUM","channel 2")</f>
        <v>channel 2</v>
      </c>
    </row>
    <row r="37">
      <c r="B37" s="56" t="s">
        <v>4219</v>
      </c>
      <c r="C37" s="57" t="s">
        <v>173</v>
      </c>
      <c r="D37" s="56" t="s">
        <v>3778</v>
      </c>
      <c r="E37" s="158" t="str">
        <f>HYPERLINK("https://youtu.be/i5rwaFoKToc","channel 1")</f>
        <v>channel 1</v>
      </c>
    </row>
    <row r="38">
      <c r="B38" s="56" t="s">
        <v>4221</v>
      </c>
      <c r="C38" s="57" t="s">
        <v>4224</v>
      </c>
      <c r="D38" s="56" t="s">
        <v>4222</v>
      </c>
      <c r="E38" s="139" t="str">
        <f>HYPERLINK("https://youtu.be/UR2CRXp2gtI","channel 2")</f>
        <v>channel 2</v>
      </c>
    </row>
    <row r="39">
      <c r="B39" s="56" t="s">
        <v>4223</v>
      </c>
      <c r="C39" s="45" t="s">
        <v>17</v>
      </c>
      <c r="D39" s="56" t="s">
        <v>3778</v>
      </c>
      <c r="E39" s="158" t="str">
        <f>HYPERLINK("https://youtu.be/TXkY1ajKLD8","channel 1")</f>
        <v>channel 1</v>
      </c>
    </row>
    <row r="40">
      <c r="B40" s="56" t="s">
        <v>4219</v>
      </c>
      <c r="C40" s="57" t="s">
        <v>281</v>
      </c>
      <c r="D40" s="56" t="s">
        <v>4222</v>
      </c>
      <c r="E40" s="139" t="str">
        <f>HYPERLINK("https://youtu.be/IsMgDkvMJ4I","channel 2")</f>
        <v>channel 2</v>
      </c>
    </row>
    <row r="41">
      <c r="B41" s="56" t="s">
        <v>4221</v>
      </c>
      <c r="C41" s="57" t="s">
        <v>651</v>
      </c>
      <c r="D41" s="56" t="s">
        <v>3778</v>
      </c>
      <c r="E41" s="158" t="str">
        <f>HYPERLINK("https://youtu.be/SK9oiAU8qZE","channel 1")</f>
        <v>channel 1</v>
      </c>
    </row>
    <row r="42">
      <c r="B42" s="56" t="s">
        <v>4219</v>
      </c>
      <c r="C42" s="57" t="s">
        <v>507</v>
      </c>
      <c r="D42" s="56" t="s">
        <v>4223</v>
      </c>
      <c r="E42" s="139" t="str">
        <f>HYPERLINK("https://youtu.be/ZrCFgfTgmcM","channel 2")</f>
        <v>channel 2</v>
      </c>
    </row>
    <row r="43">
      <c r="B43" s="56" t="s">
        <v>4222</v>
      </c>
      <c r="C43" s="57" t="s">
        <v>1427</v>
      </c>
      <c r="D43" s="56" t="s">
        <v>3778</v>
      </c>
      <c r="E43" s="158" t="str">
        <f>HYPERLINK("https://youtu.be/zcSjljqOivE","channel 1")</f>
        <v>channel 1</v>
      </c>
    </row>
    <row r="44">
      <c r="B44" s="56" t="s">
        <v>4221</v>
      </c>
      <c r="C44" s="57" t="s">
        <v>4225</v>
      </c>
      <c r="D44" s="56" t="s">
        <v>4223</v>
      </c>
      <c r="E44" s="139" t="str">
        <f>HYPERLINK("https://youtu.be/z_PY4kkx3us","channel 2")</f>
        <v>channel 2</v>
      </c>
    </row>
    <row r="45">
      <c r="B45" s="173" t="s">
        <v>3300</v>
      </c>
      <c r="C45" s="37"/>
      <c r="D45" s="37"/>
      <c r="E45" s="38"/>
    </row>
    <row r="46">
      <c r="B46" s="174" t="s">
        <v>2</v>
      </c>
      <c r="C46" s="109" t="s">
        <v>3</v>
      </c>
      <c r="D46" s="29" t="s">
        <v>4</v>
      </c>
      <c r="E46" s="29" t="s">
        <v>5</v>
      </c>
    </row>
    <row r="47">
      <c r="B47" s="56" t="s">
        <v>4226</v>
      </c>
      <c r="C47" s="57" t="s">
        <v>181</v>
      </c>
      <c r="D47" s="56" t="s">
        <v>4093</v>
      </c>
      <c r="E47" s="158" t="str">
        <f>HYPERLINK("https://youtu.be/WwFoJ1ThR9U","channel 1")</f>
        <v>channel 1</v>
      </c>
    </row>
    <row r="48">
      <c r="B48" s="56" t="s">
        <v>4227</v>
      </c>
      <c r="C48" s="57" t="s">
        <v>849</v>
      </c>
      <c r="D48" s="56" t="s">
        <v>4228</v>
      </c>
      <c r="E48" s="139" t="str">
        <f>HYPERLINK("https://youtu.be/pDQQZ29Jl20","channel 2")</f>
        <v>channel 2</v>
      </c>
    </row>
    <row r="49">
      <c r="B49" s="56" t="s">
        <v>4229</v>
      </c>
      <c r="C49" s="57" t="s">
        <v>239</v>
      </c>
      <c r="D49" s="56" t="s">
        <v>4226</v>
      </c>
      <c r="E49" s="158" t="str">
        <f>HYPERLINK("https://youtu.be/hF4AsLRJBJM","channel 1")</f>
        <v>channel 1</v>
      </c>
    </row>
    <row r="50">
      <c r="B50" s="56" t="s">
        <v>4227</v>
      </c>
      <c r="C50" s="57" t="s">
        <v>4230</v>
      </c>
      <c r="D50" s="56" t="s">
        <v>4093</v>
      </c>
      <c r="E50" s="139" t="str">
        <f>HYPERLINK("https://youtu.be/rdgl2DbMnOA","channel 2")</f>
        <v>channel 2</v>
      </c>
    </row>
    <row r="51">
      <c r="B51" s="56" t="s">
        <v>4229</v>
      </c>
      <c r="C51" s="57" t="s">
        <v>545</v>
      </c>
      <c r="D51" s="56" t="s">
        <v>4228</v>
      </c>
      <c r="E51" s="158" t="str">
        <f>HYPERLINK("https://youtu.be/eyp9kwvbtNo","channel 1")</f>
        <v>channel 1</v>
      </c>
    </row>
    <row r="52">
      <c r="B52" s="56" t="s">
        <v>4227</v>
      </c>
      <c r="C52" s="57" t="s">
        <v>23</v>
      </c>
      <c r="D52" s="56" t="s">
        <v>4226</v>
      </c>
      <c r="E52" s="139" t="str">
        <f>HYPERLINK("https://www.youtube.com/watch?v=4dOBTQKAkRE","channel 2")</f>
        <v>channel 2</v>
      </c>
    </row>
    <row r="53">
      <c r="B53" s="56" t="s">
        <v>4229</v>
      </c>
      <c r="C53" s="57" t="s">
        <v>41</v>
      </c>
      <c r="D53" s="56" t="s">
        <v>4093</v>
      </c>
      <c r="E53" s="158" t="str">
        <f>HYPERLINK("https://youtu.be/aKsAN3pFLns","channel 1")</f>
        <v>channel 1</v>
      </c>
    </row>
    <row r="54">
      <c r="B54" s="56" t="s">
        <v>4228</v>
      </c>
      <c r="C54" s="57" t="s">
        <v>620</v>
      </c>
      <c r="D54" s="56" t="s">
        <v>4226</v>
      </c>
      <c r="E54" s="139" t="str">
        <f>HYPERLINK("https://youtu.be/TFyTH80dCJg","channel 2")</f>
        <v>channel 2</v>
      </c>
    </row>
    <row r="55">
      <c r="B55" s="56" t="s">
        <v>4229</v>
      </c>
      <c r="C55" s="57" t="s">
        <v>173</v>
      </c>
      <c r="D55" s="56" t="s">
        <v>4227</v>
      </c>
      <c r="E55" s="158" t="str">
        <f>HYPERLINK("https://youtu.be/vMMMYXzAXns","channel 1")</f>
        <v>channel 1</v>
      </c>
    </row>
    <row r="56">
      <c r="B56" s="56" t="s">
        <v>4228</v>
      </c>
      <c r="C56" s="57" t="s">
        <v>433</v>
      </c>
      <c r="D56" s="56" t="s">
        <v>4093</v>
      </c>
      <c r="E56" s="139" t="str">
        <f>HYPERLINK("https://youtu.be/7WuSgwDbH8c","channel 2")</f>
        <v>channel 2</v>
      </c>
    </row>
    <row r="57">
      <c r="B57" s="56" t="s">
        <v>4093</v>
      </c>
      <c r="C57" s="57" t="s">
        <v>1208</v>
      </c>
      <c r="D57" s="56" t="s">
        <v>4226</v>
      </c>
      <c r="E57" s="158" t="str">
        <f>HYPERLINK("https://youtu.be/Mlyy7eJ_nSk","channel 1")</f>
        <v>channel 1</v>
      </c>
    </row>
    <row r="58">
      <c r="B58" s="56" t="s">
        <v>4228</v>
      </c>
      <c r="C58" s="57" t="s">
        <v>176</v>
      </c>
      <c r="D58" s="56" t="s">
        <v>4227</v>
      </c>
      <c r="E58" s="139" t="str">
        <f>HYPERLINK("https://youtu.be/GNho1DGS28A","channel 2")</f>
        <v>channel 2</v>
      </c>
    </row>
    <row r="59">
      <c r="B59" s="56" t="s">
        <v>4226</v>
      </c>
      <c r="C59" s="57" t="s">
        <v>7</v>
      </c>
      <c r="D59" s="56" t="s">
        <v>4229</v>
      </c>
      <c r="E59" s="158" t="str">
        <f>HYPERLINK("https://youtu.be/nUozYLNv5a0","channel 1")</f>
        <v>channel 1</v>
      </c>
    </row>
    <row r="60">
      <c r="B60" s="56" t="s">
        <v>4093</v>
      </c>
      <c r="C60" s="57" t="s">
        <v>159</v>
      </c>
      <c r="D60" s="56" t="s">
        <v>4227</v>
      </c>
      <c r="E60" s="139" t="str">
        <f>HYPERLINK("https://youtu.be/4diwiuubV8E","channel 2")</f>
        <v>channel 2</v>
      </c>
    </row>
    <row r="61">
      <c r="B61" s="56" t="s">
        <v>4228</v>
      </c>
      <c r="C61" s="57" t="s">
        <v>279</v>
      </c>
      <c r="D61" s="56" t="s">
        <v>4229</v>
      </c>
      <c r="E61" s="158" t="str">
        <f>HYPERLINK("https://youtu.be/OMJ4FZKkxYM","channel 1")</f>
        <v>channel 1</v>
      </c>
    </row>
    <row r="62">
      <c r="B62" s="56" t="s">
        <v>4226</v>
      </c>
      <c r="C62" s="45" t="s">
        <v>209</v>
      </c>
      <c r="D62" s="56" t="s">
        <v>4227</v>
      </c>
      <c r="E62" s="139" t="str">
        <f>HYPERLINK("https://youtu.be/MDlXUl0GvHw","channel 2")</f>
        <v>channel 2</v>
      </c>
    </row>
    <row r="63">
      <c r="B63" s="56" t="s">
        <v>4093</v>
      </c>
      <c r="C63" s="57" t="s">
        <v>301</v>
      </c>
      <c r="D63" s="56" t="s">
        <v>4229</v>
      </c>
      <c r="E63" s="158" t="str">
        <f>HYPERLINK("https://youtu.be/s9KZe6sGDBA","channel 1")</f>
        <v>channel 1</v>
      </c>
    </row>
    <row r="64">
      <c r="B64" s="56" t="s">
        <v>4226</v>
      </c>
      <c r="C64" s="57" t="s">
        <v>196</v>
      </c>
      <c r="D64" s="56" t="s">
        <v>4228</v>
      </c>
      <c r="E64" s="139" t="str">
        <f>HYPERLINK("https://youtu.be/8qqOuK8_aqI","channel 2")</f>
        <v>channel 2</v>
      </c>
    </row>
    <row r="65">
      <c r="B65" s="56" t="s">
        <v>4227</v>
      </c>
      <c r="C65" s="57" t="s">
        <v>4205</v>
      </c>
      <c r="D65" s="56" t="s">
        <v>4229</v>
      </c>
      <c r="E65" s="158" t="str">
        <f>HYPERLINK("https://youtu.be/oeB20UoAXck","channel 1")</f>
        <v>channel 1</v>
      </c>
    </row>
    <row r="66">
      <c r="B66" s="56" t="s">
        <v>4093</v>
      </c>
      <c r="C66" s="57" t="s">
        <v>19</v>
      </c>
      <c r="D66" s="56" t="s">
        <v>4228</v>
      </c>
      <c r="E66" s="139" t="str">
        <f>HYPERLINK("https://youtu.be/ObOz7_v1x8M","channel 2")</f>
        <v>channel 2</v>
      </c>
    </row>
    <row r="67">
      <c r="B67" s="178" t="s">
        <v>4231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56" t="s">
        <v>4232</v>
      </c>
      <c r="C69" s="57" t="s">
        <v>404</v>
      </c>
      <c r="D69" s="56" t="s">
        <v>4233</v>
      </c>
      <c r="E69" s="158" t="str">
        <f>HYPERLINK("https://youtu.be/2OnODwTKe8M","channel 1")</f>
        <v>channel 1</v>
      </c>
    </row>
    <row r="70">
      <c r="B70" s="56" t="s">
        <v>4234</v>
      </c>
      <c r="C70" s="57" t="s">
        <v>762</v>
      </c>
      <c r="D70" s="56" t="s">
        <v>3462</v>
      </c>
      <c r="E70" s="139" t="str">
        <f>HYPERLINK("https://youtu.be/eg65NV3lCOU","channel 2")</f>
        <v>channel 2</v>
      </c>
    </row>
    <row r="71">
      <c r="B71" s="56" t="s">
        <v>4235</v>
      </c>
      <c r="C71" s="57" t="s">
        <v>225</v>
      </c>
      <c r="D71" s="56" t="s">
        <v>4232</v>
      </c>
      <c r="E71" s="158" t="str">
        <f>HYPERLINK("https://youtu.be/99eOq07XA1c","channel 1")</f>
        <v>channel 1</v>
      </c>
    </row>
    <row r="72">
      <c r="B72" s="56" t="s">
        <v>4234</v>
      </c>
      <c r="C72" s="57" t="s">
        <v>211</v>
      </c>
      <c r="D72" s="56" t="s">
        <v>4233</v>
      </c>
      <c r="E72" s="139" t="str">
        <f>HYPERLINK("https://youtu.be/4P8qds5oIx0","channel 2")</f>
        <v>channel 2</v>
      </c>
    </row>
    <row r="73">
      <c r="B73" s="56" t="s">
        <v>4235</v>
      </c>
      <c r="C73" s="57" t="s">
        <v>212</v>
      </c>
      <c r="D73" s="56" t="s">
        <v>3462</v>
      </c>
      <c r="E73" s="158" t="str">
        <f>HYPERLINK("https://youtu.be/M1rK6V60hEI","channel 1")</f>
        <v>channel 1</v>
      </c>
    </row>
    <row r="74">
      <c r="B74" s="56" t="s">
        <v>4234</v>
      </c>
      <c r="C74" s="57" t="s">
        <v>4236</v>
      </c>
      <c r="D74" s="56" t="s">
        <v>4232</v>
      </c>
      <c r="E74" s="139" t="str">
        <f>HYPERLINK("https://youtu.be/9QFhSpRFqj4","channel 2")</f>
        <v>channel 2</v>
      </c>
    </row>
    <row r="75">
      <c r="B75" s="56" t="s">
        <v>4235</v>
      </c>
      <c r="C75" s="57" t="s">
        <v>517</v>
      </c>
      <c r="D75" s="56" t="s">
        <v>4233</v>
      </c>
      <c r="E75" s="158" t="str">
        <f>HYPERLINK("https://youtu.be/-PxjCJBQ5ug","channel 1")</f>
        <v>channel 1</v>
      </c>
    </row>
    <row r="76">
      <c r="B76" s="56" t="s">
        <v>3462</v>
      </c>
      <c r="C76" s="57" t="s">
        <v>1472</v>
      </c>
      <c r="D76" s="56" t="s">
        <v>4232</v>
      </c>
      <c r="E76" s="139" t="str">
        <f>HYPERLINK("https://youtu.be/VEl7Bzq0uBo","channel 2")</f>
        <v>channel 2</v>
      </c>
    </row>
    <row r="77">
      <c r="B77" s="56" t="s">
        <v>4235</v>
      </c>
      <c r="C77" s="57" t="s">
        <v>7</v>
      </c>
      <c r="D77" s="56" t="s">
        <v>4234</v>
      </c>
      <c r="E77" s="158" t="str">
        <f>HYPERLINK("https://youtu.be/qmVLr_OqUXo","channel 1")</f>
        <v>channel 1</v>
      </c>
    </row>
    <row r="78">
      <c r="B78" s="56" t="s">
        <v>3462</v>
      </c>
      <c r="C78" s="57" t="s">
        <v>185</v>
      </c>
      <c r="D78" s="56" t="s">
        <v>4233</v>
      </c>
      <c r="E78" s="139" t="str">
        <f>HYPERLINK("https://youtu.be/6gazT1_-zg8","channel 2")</f>
        <v>channel 2</v>
      </c>
    </row>
    <row r="79">
      <c r="B79" s="56" t="s">
        <v>4233</v>
      </c>
      <c r="C79" s="57" t="s">
        <v>173</v>
      </c>
      <c r="D79" s="56" t="s">
        <v>4232</v>
      </c>
      <c r="E79" s="158" t="str">
        <f>HYPERLINK("https://youtu.be/-kZdENxiNmo","channel 1")</f>
        <v>channel 1</v>
      </c>
    </row>
    <row r="80">
      <c r="B80" s="56" t="s">
        <v>3462</v>
      </c>
      <c r="C80" s="57" t="s">
        <v>195</v>
      </c>
      <c r="D80" s="56" t="s">
        <v>4234</v>
      </c>
      <c r="E80" s="139" t="str">
        <f>HYPERLINK("https://youtu.be/OFrP-RZqgRs","channel 2")</f>
        <v>channel 2</v>
      </c>
    </row>
    <row r="81">
      <c r="B81" s="56" t="s">
        <v>4232</v>
      </c>
      <c r="C81" s="57" t="s">
        <v>225</v>
      </c>
      <c r="D81" s="56" t="s">
        <v>4235</v>
      </c>
      <c r="E81" s="158" t="str">
        <f>HYPERLINK("https://youtu.be/WmgzzTYvveU","channel 1")</f>
        <v>channel 1</v>
      </c>
    </row>
    <row r="82">
      <c r="B82" s="56" t="s">
        <v>4233</v>
      </c>
      <c r="C82" s="57" t="s">
        <v>279</v>
      </c>
      <c r="D82" s="56" t="s">
        <v>4234</v>
      </c>
      <c r="E82" s="139" t="str">
        <f>HYPERLINK("https://youtu.be/cvXEKApM8CY","channel 2")</f>
        <v>channel 2</v>
      </c>
    </row>
    <row r="83">
      <c r="B83" s="56" t="s">
        <v>3462</v>
      </c>
      <c r="C83" s="57" t="s">
        <v>193</v>
      </c>
      <c r="D83" s="56" t="s">
        <v>4235</v>
      </c>
      <c r="E83" s="158" t="str">
        <f>HYPERLINK("https://youtu.be/Ikc2xILA_zU","channel 1")</f>
        <v>channel 1</v>
      </c>
    </row>
    <row r="84">
      <c r="B84" s="56" t="s">
        <v>4232</v>
      </c>
      <c r="C84" s="57" t="s">
        <v>17</v>
      </c>
      <c r="D84" s="56" t="s">
        <v>4234</v>
      </c>
      <c r="E84" s="139" t="str">
        <f>HYPERLINK("https://www.youtube.com/watch?v=THBuC_RNTjQ&amp;feature=youtu.be","channel 2")</f>
        <v>channel 2</v>
      </c>
    </row>
    <row r="85">
      <c r="B85" s="56" t="s">
        <v>4233</v>
      </c>
      <c r="C85" s="57" t="s">
        <v>566</v>
      </c>
      <c r="D85" s="56" t="s">
        <v>4235</v>
      </c>
      <c r="E85" s="158" t="str">
        <f>HYPERLINK("https://youtu.be/vn2V9ubLJ14","channel 1")</f>
        <v>channel 1</v>
      </c>
    </row>
    <row r="86">
      <c r="B86" s="56" t="s">
        <v>4232</v>
      </c>
      <c r="C86" s="57" t="s">
        <v>163</v>
      </c>
      <c r="D86" s="56" t="s">
        <v>3462</v>
      </c>
      <c r="E86" s="139" t="str">
        <f>HYPERLINK("https://youtu.be/ZIbLqLBIIvE","channel 2")</f>
        <v>channel 2</v>
      </c>
    </row>
    <row r="87">
      <c r="B87" s="56" t="s">
        <v>4234</v>
      </c>
      <c r="C87" s="57" t="s">
        <v>362</v>
      </c>
      <c r="D87" s="56" t="s">
        <v>4235</v>
      </c>
      <c r="E87" s="158" t="str">
        <f>HYPERLINK("https://youtu.be/Z_AHFbbu2_c","channel 1")</f>
        <v>channel 1</v>
      </c>
    </row>
    <row r="88">
      <c r="B88" s="56" t="s">
        <v>4233</v>
      </c>
      <c r="C88" s="57" t="s">
        <v>182</v>
      </c>
      <c r="D88" s="56" t="s">
        <v>3462</v>
      </c>
      <c r="E88" s="139" t="str">
        <f>HYPERLINK("https://youtu.be/6wDyHoCI9Kg","channel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1777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4079</v>
      </c>
      <c r="C3" s="57" t="s">
        <v>344</v>
      </c>
      <c r="D3" s="56" t="s">
        <v>4237</v>
      </c>
      <c r="E3" s="158" t="str">
        <f>HYPERLINK("https://youtu.be/bhTyVbsvZ58","channel 1")</f>
        <v>channel 1</v>
      </c>
    </row>
    <row r="4">
      <c r="B4" s="56" t="s">
        <v>3582</v>
      </c>
      <c r="C4" s="57" t="s">
        <v>1079</v>
      </c>
      <c r="D4" s="56" t="s">
        <v>3563</v>
      </c>
      <c r="E4" s="139" t="str">
        <f>HYPERLINK("https://youtu.be/-wN2LWqSkxo","channel 2")</f>
        <v>channel 2</v>
      </c>
    </row>
    <row r="5">
      <c r="B5" s="56" t="s">
        <v>4238</v>
      </c>
      <c r="C5" s="57" t="s">
        <v>290</v>
      </c>
      <c r="D5" s="56" t="s">
        <v>4079</v>
      </c>
      <c r="E5" s="158" t="str">
        <f>HYPERLINK("https://youtu.be/63dlhQD7llg","channel 1")</f>
        <v>channel 1</v>
      </c>
    </row>
    <row r="6">
      <c r="B6" s="56" t="s">
        <v>3582</v>
      </c>
      <c r="C6" s="57" t="s">
        <v>166</v>
      </c>
      <c r="D6" s="56" t="s">
        <v>4237</v>
      </c>
      <c r="E6" s="139" t="str">
        <f>HYPERLINK("https://youtu.be/kNvNViwNnv0","channel 2")</f>
        <v>channel 2</v>
      </c>
    </row>
    <row r="7">
      <c r="B7" s="56" t="s">
        <v>4238</v>
      </c>
      <c r="C7" s="57" t="s">
        <v>302</v>
      </c>
      <c r="D7" s="56" t="s">
        <v>3563</v>
      </c>
      <c r="E7" s="158" t="str">
        <f>HYPERLINK("https://youtu.be/M6xsu6t1aj4","channel 1")</f>
        <v>channel 1</v>
      </c>
    </row>
    <row r="8">
      <c r="B8" s="56" t="s">
        <v>3582</v>
      </c>
      <c r="C8" s="57" t="s">
        <v>250</v>
      </c>
      <c r="D8" s="56" t="s">
        <v>4079</v>
      </c>
      <c r="E8" s="139" t="str">
        <f>HYPERLINK("https://youtu.be/d_QBqE3YMGI","channel 2")</f>
        <v>channel 2</v>
      </c>
    </row>
    <row r="9">
      <c r="B9" s="56" t="s">
        <v>4238</v>
      </c>
      <c r="C9" s="57" t="s">
        <v>161</v>
      </c>
      <c r="D9" s="56" t="s">
        <v>4237</v>
      </c>
      <c r="E9" s="158" t="str">
        <f>HYPERLINK("https://youtu.be/Ts8ETghsvL8","channel 1")</f>
        <v>channel 1</v>
      </c>
    </row>
    <row r="10">
      <c r="B10" s="56" t="s">
        <v>3563</v>
      </c>
      <c r="C10" s="57" t="s">
        <v>37</v>
      </c>
      <c r="D10" s="56" t="s">
        <v>4079</v>
      </c>
      <c r="E10" s="139" t="str">
        <f>HYPERLINK("https://youtu.be/Fxju3r5uvBI","channel 2")</f>
        <v>channel 2</v>
      </c>
    </row>
    <row r="11">
      <c r="B11" s="56" t="s">
        <v>4238</v>
      </c>
      <c r="C11" s="57" t="s">
        <v>233</v>
      </c>
      <c r="D11" s="56" t="s">
        <v>3582</v>
      </c>
      <c r="E11" s="158" t="str">
        <f>HYPERLINK("https://youtu.be/gvvXZ4jWotM","channel 1")</f>
        <v>channel 1</v>
      </c>
    </row>
    <row r="12">
      <c r="B12" s="56" t="s">
        <v>3563</v>
      </c>
      <c r="C12" s="57" t="s">
        <v>196</v>
      </c>
      <c r="D12" s="56" t="s">
        <v>4237</v>
      </c>
      <c r="E12" s="139" t="str">
        <f>HYPERLINK("https://youtu.be/turM7QGux5w","channel 2")</f>
        <v>channel 2</v>
      </c>
    </row>
    <row r="13">
      <c r="B13" s="56" t="s">
        <v>4237</v>
      </c>
      <c r="C13" s="57" t="s">
        <v>454</v>
      </c>
      <c r="D13" s="56" t="s">
        <v>4079</v>
      </c>
      <c r="E13" s="158" t="str">
        <f>HYPERLINK("https://youtu.be/ofSAV5rI154","channel 1")</f>
        <v>channel 1</v>
      </c>
    </row>
    <row r="14">
      <c r="B14" s="56" t="s">
        <v>3563</v>
      </c>
      <c r="C14" s="57" t="s">
        <v>41</v>
      </c>
      <c r="D14" s="56" t="s">
        <v>3582</v>
      </c>
      <c r="E14" s="139" t="str">
        <f>HYPERLINK("https://youtu.be/qX9w6Ny4OvM","channel 2")</f>
        <v>channel 2</v>
      </c>
    </row>
    <row r="15">
      <c r="B15" s="56" t="s">
        <v>4079</v>
      </c>
      <c r="C15" s="57" t="s">
        <v>279</v>
      </c>
      <c r="D15" s="56" t="s">
        <v>4238</v>
      </c>
      <c r="E15" s="158" t="str">
        <f>HYPERLINK("https://youtu.be/T4y_TGxI1Oc","channel 1")</f>
        <v>channel 1</v>
      </c>
    </row>
    <row r="16">
      <c r="B16" s="56" t="s">
        <v>4237</v>
      </c>
      <c r="C16" s="57" t="s">
        <v>665</v>
      </c>
      <c r="D16" s="56" t="s">
        <v>3582</v>
      </c>
      <c r="E16" s="139" t="str">
        <f>HYPERLINK("https://youtu.be/gEyAmX57O9g","channel 2")</f>
        <v>channel 2</v>
      </c>
    </row>
    <row r="17">
      <c r="B17" s="56" t="s">
        <v>3563</v>
      </c>
      <c r="C17" s="57" t="s">
        <v>418</v>
      </c>
      <c r="D17" s="56" t="s">
        <v>4238</v>
      </c>
      <c r="E17" s="158" t="str">
        <f>HYPERLINK("https://youtu.be/chP9NnwLu9Y","channel 1")</f>
        <v>channel 1</v>
      </c>
    </row>
    <row r="18">
      <c r="B18" s="56" t="s">
        <v>4079</v>
      </c>
      <c r="C18" s="57" t="s">
        <v>27</v>
      </c>
      <c r="D18" s="56" t="s">
        <v>3582</v>
      </c>
      <c r="E18" s="139" t="str">
        <f>HYPERLINK("https://youtu.be/qnQRPSeIneg","channel 2")</f>
        <v>channel 2</v>
      </c>
    </row>
    <row r="19">
      <c r="B19" s="56" t="s">
        <v>4237</v>
      </c>
      <c r="C19" s="57" t="s">
        <v>610</v>
      </c>
      <c r="D19" s="56" t="s">
        <v>4238</v>
      </c>
      <c r="E19" s="158" t="str">
        <f>HYPERLINK("https://youtu.be/S8PxotFDQig","channel 1")</f>
        <v>channel 1</v>
      </c>
    </row>
    <row r="20">
      <c r="B20" s="56" t="s">
        <v>4079</v>
      </c>
      <c r="C20" s="57" t="s">
        <v>218</v>
      </c>
      <c r="D20" s="56" t="s">
        <v>3563</v>
      </c>
      <c r="E20" s="139" t="str">
        <f>HYPERLINK("https://youtu.be/vteIqU2iDmQ","channel 2")</f>
        <v>channel 2</v>
      </c>
    </row>
    <row r="21">
      <c r="B21" s="56" t="s">
        <v>3582</v>
      </c>
      <c r="C21" s="57" t="s">
        <v>164</v>
      </c>
      <c r="D21" s="56" t="s">
        <v>4238</v>
      </c>
      <c r="E21" s="158" t="str">
        <f>HYPERLINK("https://youtu.be/yAaEjCcq750","channel 1")</f>
        <v>channel 1</v>
      </c>
    </row>
    <row r="22">
      <c r="B22" s="56" t="s">
        <v>4237</v>
      </c>
      <c r="C22" s="57" t="s">
        <v>18</v>
      </c>
      <c r="D22" s="56" t="s">
        <v>3563</v>
      </c>
      <c r="E22" s="139" t="str">
        <f>HYPERLINK("https://youtu.be/RxKMj4J3DQo","channel 2")</f>
        <v>channel 2</v>
      </c>
    </row>
    <row r="23">
      <c r="B23" s="173" t="s">
        <v>2335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56" t="s">
        <v>3610</v>
      </c>
      <c r="C25" s="57" t="s">
        <v>4239</v>
      </c>
      <c r="D25" s="56" t="s">
        <v>4240</v>
      </c>
      <c r="E25" s="158" t="str">
        <f>HYPERLINK("https://youtu.be/_de3uFlCydE","channel 1")</f>
        <v>channel 1</v>
      </c>
    </row>
    <row r="26">
      <c r="B26" s="56" t="s">
        <v>3495</v>
      </c>
      <c r="C26" s="57" t="s">
        <v>334</v>
      </c>
      <c r="D26" s="56" t="s">
        <v>4241</v>
      </c>
      <c r="E26" s="139" t="str">
        <f>HYPERLINK("https://youtu.be/DqTGrjryy9U","channel 2")</f>
        <v>channel 2</v>
      </c>
    </row>
    <row r="27">
      <c r="B27" s="56" t="s">
        <v>3494</v>
      </c>
      <c r="C27" s="57" t="s">
        <v>181</v>
      </c>
      <c r="D27" s="56" t="s">
        <v>3610</v>
      </c>
      <c r="E27" s="158" t="str">
        <f>HYPERLINK("https://youtu.be/fsSLObwvAb4","channel 1")</f>
        <v>channel 1</v>
      </c>
    </row>
    <row r="28">
      <c r="B28" s="56" t="s">
        <v>3495</v>
      </c>
      <c r="C28" s="57" t="s">
        <v>368</v>
      </c>
      <c r="D28" s="56" t="s">
        <v>4240</v>
      </c>
      <c r="E28" s="139" t="str">
        <f>HYPERLINK("https://youtu.be/raWVZnog3Hc","channel 2")</f>
        <v>channel 2</v>
      </c>
    </row>
    <row r="29">
      <c r="B29" s="56" t="s">
        <v>3494</v>
      </c>
      <c r="C29" s="57" t="s">
        <v>31</v>
      </c>
      <c r="D29" s="56" t="s">
        <v>4241</v>
      </c>
      <c r="E29" s="158" t="str">
        <f>HYPERLINK("https://youtu.be/dnEDL8uEWjg","channel 1")</f>
        <v>channel 1</v>
      </c>
    </row>
    <row r="30">
      <c r="B30" s="56" t="s">
        <v>3495</v>
      </c>
      <c r="C30" s="57" t="s">
        <v>219</v>
      </c>
      <c r="D30" s="56" t="s">
        <v>3610</v>
      </c>
      <c r="E30" s="139" t="str">
        <f>HYPERLINK("https://youtu.be/4xENXaub2E8","channel 2")</f>
        <v>channel 2</v>
      </c>
    </row>
    <row r="31">
      <c r="B31" s="56" t="s">
        <v>3494</v>
      </c>
      <c r="C31" s="57" t="s">
        <v>344</v>
      </c>
      <c r="D31" s="56" t="s">
        <v>4240</v>
      </c>
      <c r="E31" s="158" t="str">
        <f>HYPERLINK("https://youtu.be/0yVURUL2XnM","channel 1")</f>
        <v>channel 1</v>
      </c>
    </row>
    <row r="32">
      <c r="B32" s="56" t="s">
        <v>4241</v>
      </c>
      <c r="C32" s="57" t="s">
        <v>194</v>
      </c>
      <c r="D32" s="56" t="s">
        <v>3610</v>
      </c>
      <c r="E32" s="139" t="str">
        <f>HYPERLINK("https://youtu.be/LLpaKpWTYyA","channel 2")</f>
        <v>channel 2</v>
      </c>
    </row>
    <row r="33">
      <c r="B33" s="56" t="s">
        <v>3494</v>
      </c>
      <c r="C33" s="57" t="s">
        <v>19</v>
      </c>
      <c r="D33" s="56" t="s">
        <v>3495</v>
      </c>
      <c r="E33" s="158" t="str">
        <f>HYPERLINK("https://youtu.be/680i-rIGjdM","channel 1")</f>
        <v>channel 1</v>
      </c>
    </row>
    <row r="34">
      <c r="B34" s="56" t="s">
        <v>4241</v>
      </c>
      <c r="C34" s="57" t="s">
        <v>256</v>
      </c>
      <c r="D34" s="56" t="s">
        <v>4240</v>
      </c>
      <c r="E34" s="139" t="str">
        <f>HYPERLINK("https://youtu.be/GbNV8vL678Q","channel 2")</f>
        <v>channel 2</v>
      </c>
    </row>
    <row r="35">
      <c r="B35" s="56" t="s">
        <v>4240</v>
      </c>
      <c r="C35" s="57" t="s">
        <v>477</v>
      </c>
      <c r="D35" s="56" t="s">
        <v>3610</v>
      </c>
      <c r="E35" s="158" t="str">
        <f>HYPERLINK("https://youtu.be/1dZ1GKbgmOE","channel 1")</f>
        <v>channel 1</v>
      </c>
    </row>
    <row r="36">
      <c r="B36" s="56" t="s">
        <v>4241</v>
      </c>
      <c r="C36" s="57" t="s">
        <v>2836</v>
      </c>
      <c r="D36" s="56" t="s">
        <v>3495</v>
      </c>
      <c r="E36" s="139" t="str">
        <f>HYPERLINK("https://youtu.be/vhDmIBGwkWE","channel 2")</f>
        <v>channel 2</v>
      </c>
    </row>
    <row r="37">
      <c r="B37" s="56" t="s">
        <v>3610</v>
      </c>
      <c r="C37" s="57" t="s">
        <v>4242</v>
      </c>
      <c r="D37" s="56" t="s">
        <v>3494</v>
      </c>
      <c r="E37" s="158" t="str">
        <f>HYPERLINK("https://youtu.be/9802wKAa6pg","channel 1")</f>
        <v>channel 1</v>
      </c>
    </row>
    <row r="38">
      <c r="B38" s="56" t="s">
        <v>4240</v>
      </c>
      <c r="C38" s="57" t="s">
        <v>404</v>
      </c>
      <c r="D38" s="56" t="s">
        <v>3495</v>
      </c>
      <c r="E38" s="139" t="str">
        <f>HYPERLINK("https://youtu.be/aFDttHPgGhA","channel 2")</f>
        <v>channel 2</v>
      </c>
    </row>
    <row r="39">
      <c r="B39" s="56" t="s">
        <v>4241</v>
      </c>
      <c r="C39" s="45" t="s">
        <v>162</v>
      </c>
      <c r="D39" s="56" t="s">
        <v>3494</v>
      </c>
      <c r="E39" s="158" t="str">
        <f>HYPERLINK("https://youtu.be/2e-hL0gkwNw","channel 1")</f>
        <v>channel 1</v>
      </c>
    </row>
    <row r="40">
      <c r="B40" s="56" t="s">
        <v>3610</v>
      </c>
      <c r="C40" s="57" t="s">
        <v>394</v>
      </c>
      <c r="D40" s="56" t="s">
        <v>3495</v>
      </c>
      <c r="E40" s="139" t="str">
        <f>HYPERLINK("https://youtu.be/ow89VGMdYOU","channel 2")</f>
        <v>channel 2</v>
      </c>
    </row>
    <row r="41">
      <c r="B41" s="56" t="s">
        <v>4240</v>
      </c>
      <c r="C41" s="57" t="s">
        <v>256</v>
      </c>
      <c r="D41" s="56" t="s">
        <v>3494</v>
      </c>
      <c r="E41" s="158" t="str">
        <f>HYPERLINK("https://youtu.be/aIvCxk8LIHc","channel 1")</f>
        <v>channel 1</v>
      </c>
    </row>
    <row r="42">
      <c r="B42" s="56" t="s">
        <v>3610</v>
      </c>
      <c r="C42" s="57" t="s">
        <v>351</v>
      </c>
      <c r="D42" s="56" t="s">
        <v>4241</v>
      </c>
      <c r="E42" s="139" t="str">
        <f>HYPERLINK("https://youtu.be/aftA9uiED8U","channel 2")</f>
        <v>channel 2</v>
      </c>
    </row>
    <row r="43">
      <c r="B43" s="56" t="s">
        <v>3495</v>
      </c>
      <c r="C43" s="57" t="s">
        <v>303</v>
      </c>
      <c r="D43" s="56" t="s">
        <v>3494</v>
      </c>
      <c r="E43" s="158" t="str">
        <f>HYPERLINK("https://youtu.be/DrC4jNnHEaM","channel 1")</f>
        <v>channel 1</v>
      </c>
    </row>
    <row r="44">
      <c r="B44" s="56" t="s">
        <v>4240</v>
      </c>
      <c r="C44" s="57" t="s">
        <v>477</v>
      </c>
      <c r="D44" s="56" t="s">
        <v>4241</v>
      </c>
      <c r="E44" s="139" t="str">
        <f>HYPERLINK("https://youtu.be/yd4J3PIiQOM","channel 2")</f>
        <v>channel 2</v>
      </c>
    </row>
    <row r="45">
      <c r="B45" s="173" t="s">
        <v>3300</v>
      </c>
      <c r="C45" s="37"/>
      <c r="D45" s="37"/>
      <c r="E45" s="38"/>
    </row>
    <row r="46">
      <c r="B46" s="174" t="s">
        <v>2</v>
      </c>
      <c r="C46" s="109" t="s">
        <v>3</v>
      </c>
      <c r="D46" s="29" t="s">
        <v>4</v>
      </c>
      <c r="E46" s="29" t="s">
        <v>5</v>
      </c>
    </row>
    <row r="47">
      <c r="B47" s="56" t="s">
        <v>4243</v>
      </c>
      <c r="C47" s="57" t="s">
        <v>24</v>
      </c>
      <c r="D47" s="56" t="s">
        <v>4244</v>
      </c>
      <c r="E47" s="158" t="str">
        <f>HYPERLINK("https://youtu.be/DEbAVNUN6Cc","channel 1")</f>
        <v>channel 1</v>
      </c>
    </row>
    <row r="48">
      <c r="B48" s="56" t="s">
        <v>3823</v>
      </c>
      <c r="C48" s="57" t="s">
        <v>161</v>
      </c>
      <c r="D48" s="56" t="s">
        <v>4152</v>
      </c>
      <c r="E48" s="139" t="str">
        <f>HYPERLINK("https://youtu.be/vDzsqGcr7ys","channel 2")</f>
        <v>channel 2</v>
      </c>
    </row>
    <row r="49">
      <c r="B49" s="56" t="s">
        <v>4245</v>
      </c>
      <c r="C49" s="57" t="s">
        <v>177</v>
      </c>
      <c r="D49" s="56" t="s">
        <v>4243</v>
      </c>
      <c r="E49" s="158" t="str">
        <f>HYPERLINK("https://youtu.be/xIOUrZ6Qvd8","channel 1")</f>
        <v>channel 1</v>
      </c>
    </row>
    <row r="50">
      <c r="B50" s="56" t="s">
        <v>3823</v>
      </c>
      <c r="C50" s="57" t="s">
        <v>209</v>
      </c>
      <c r="D50" s="56" t="s">
        <v>4244</v>
      </c>
      <c r="E50" s="139" t="str">
        <f>HYPERLINK("https://youtu.be/fL_XhFI7yhQ","channel 2")</f>
        <v>channel 2</v>
      </c>
    </row>
    <row r="51">
      <c r="B51" s="56" t="s">
        <v>4245</v>
      </c>
      <c r="C51" s="57" t="s">
        <v>256</v>
      </c>
      <c r="D51" s="56" t="s">
        <v>4152</v>
      </c>
      <c r="E51" s="158" t="str">
        <f>HYPERLINK("https://youtu.be/V0DDeB9FzuI","channel 1")</f>
        <v>channel 1</v>
      </c>
    </row>
    <row r="52">
      <c r="B52" s="56" t="s">
        <v>3823</v>
      </c>
      <c r="C52" s="57" t="s">
        <v>24</v>
      </c>
      <c r="D52" s="56" t="s">
        <v>4243</v>
      </c>
      <c r="E52" s="139" t="str">
        <f>HYPERLINK("https://youtu.be/c87IFCm8meY","channel 2")</f>
        <v>channel 2</v>
      </c>
    </row>
    <row r="53">
      <c r="B53" s="56" t="s">
        <v>4245</v>
      </c>
      <c r="C53" s="57" t="s">
        <v>18</v>
      </c>
      <c r="D53" s="56" t="s">
        <v>4244</v>
      </c>
      <c r="E53" s="158" t="str">
        <f>HYPERLINK("https://youtu.be/V1Jvf65e7tU","channel 1")</f>
        <v>channel 1</v>
      </c>
    </row>
    <row r="54">
      <c r="B54" s="56" t="s">
        <v>4152</v>
      </c>
      <c r="C54" s="57" t="s">
        <v>173</v>
      </c>
      <c r="D54" s="56" t="s">
        <v>4243</v>
      </c>
      <c r="E54" s="139" t="str">
        <f>HYPERLINK("https://youtu.be/vDGIiy4yZYU","channel 2")</f>
        <v>channel 2</v>
      </c>
    </row>
    <row r="55">
      <c r="B55" s="56" t="s">
        <v>4245</v>
      </c>
      <c r="C55" s="57" t="s">
        <v>908</v>
      </c>
      <c r="D55" s="56" t="s">
        <v>3823</v>
      </c>
      <c r="E55" s="158" t="str">
        <f>HYPERLINK("https://youtu.be/sPaVvH8sKjc","channel 1")</f>
        <v>channel 1</v>
      </c>
    </row>
    <row r="56">
      <c r="B56" s="56" t="s">
        <v>4152</v>
      </c>
      <c r="C56" s="57" t="s">
        <v>209</v>
      </c>
      <c r="D56" s="56" t="s">
        <v>4244</v>
      </c>
      <c r="E56" s="139" t="str">
        <f>HYPERLINK("https://youtu.be/7o4CfPuQ9v0","channel 2")</f>
        <v>channel 2</v>
      </c>
    </row>
    <row r="57">
      <c r="B57" s="56" t="s">
        <v>4244</v>
      </c>
      <c r="C57" s="57" t="s">
        <v>166</v>
      </c>
      <c r="D57" s="56" t="s">
        <v>4243</v>
      </c>
      <c r="E57" s="158" t="str">
        <f>HYPERLINK("https://youtu.be/owPBO_GKzyE","channel 1")</f>
        <v>channel 1</v>
      </c>
    </row>
    <row r="58">
      <c r="B58" s="56" t="s">
        <v>4152</v>
      </c>
      <c r="C58" s="57" t="s">
        <v>158</v>
      </c>
      <c r="D58" s="56" t="s">
        <v>3823</v>
      </c>
      <c r="E58" s="139" t="str">
        <f>HYPERLINK("https://youtu.be/WeTORnBidzY","channel 2")</f>
        <v>channel 2</v>
      </c>
    </row>
    <row r="59">
      <c r="B59" s="56" t="s">
        <v>4243</v>
      </c>
      <c r="C59" s="57" t="s">
        <v>380</v>
      </c>
      <c r="D59" s="56" t="s">
        <v>4245</v>
      </c>
      <c r="E59" s="158" t="str">
        <f>HYPERLINK("https://youtu.be/qyTrcKp4HrY","channel 1")</f>
        <v>channel 1</v>
      </c>
    </row>
    <row r="60">
      <c r="B60" s="56" t="s">
        <v>4244</v>
      </c>
      <c r="C60" s="57" t="s">
        <v>216</v>
      </c>
      <c r="D60" s="56" t="s">
        <v>3823</v>
      </c>
      <c r="E60" s="139" t="str">
        <f>HYPERLINK("https://youtu.be/0uqe-l1eIL8","channel 2")</f>
        <v>channel 2</v>
      </c>
    </row>
    <row r="61">
      <c r="B61" s="56" t="s">
        <v>4152</v>
      </c>
      <c r="C61" s="57" t="s">
        <v>290</v>
      </c>
      <c r="D61" s="56" t="s">
        <v>4245</v>
      </c>
      <c r="E61" s="158" t="str">
        <f>HYPERLINK("https://youtu.be/6oOK4dzoPAs","channel 1")</f>
        <v>channel 1</v>
      </c>
    </row>
    <row r="62">
      <c r="B62" s="56" t="s">
        <v>4243</v>
      </c>
      <c r="C62" s="45" t="s">
        <v>20</v>
      </c>
      <c r="D62" s="56" t="s">
        <v>3823</v>
      </c>
      <c r="E62" s="139" t="str">
        <f>HYPERLINK("https://youtu.be/hqLIDOxIs7c","channel 2")</f>
        <v>channel 2</v>
      </c>
    </row>
    <row r="63">
      <c r="B63" s="56" t="s">
        <v>4244</v>
      </c>
      <c r="C63" s="57" t="s">
        <v>490</v>
      </c>
      <c r="D63" s="56" t="s">
        <v>4245</v>
      </c>
      <c r="E63" s="158" t="str">
        <f>HYPERLINK("https://youtu.be/j7mvo_rn0kQ","channel 1")</f>
        <v>channel 1</v>
      </c>
    </row>
    <row r="64">
      <c r="B64" s="56" t="s">
        <v>4243</v>
      </c>
      <c r="C64" s="57" t="s">
        <v>2125</v>
      </c>
      <c r="D64" s="56" t="s">
        <v>4152</v>
      </c>
      <c r="E64" s="139" t="str">
        <f>HYPERLINK("https://youtu.be/M6xBuTzHFpk","channel 2")</f>
        <v>channel 2</v>
      </c>
    </row>
    <row r="65">
      <c r="B65" s="56" t="s">
        <v>3823</v>
      </c>
      <c r="C65" s="57" t="s">
        <v>244</v>
      </c>
      <c r="D65" s="56" t="s">
        <v>4245</v>
      </c>
      <c r="E65" s="158" t="str">
        <f>HYPERLINK("https://youtu.be/iyr49ulc84k","channel 1")</f>
        <v>channel 1</v>
      </c>
    </row>
    <row r="66">
      <c r="B66" s="56" t="s">
        <v>4244</v>
      </c>
      <c r="C66" s="57" t="s">
        <v>19</v>
      </c>
      <c r="D66" s="56" t="s">
        <v>4152</v>
      </c>
      <c r="E66" s="139" t="str">
        <f>HYPERLINK("https://youtu.be/znHohGbmHd0","channel 2")</f>
        <v>channel 2</v>
      </c>
    </row>
    <row r="67">
      <c r="B67" s="178" t="s">
        <v>3011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56" t="s">
        <v>4246</v>
      </c>
      <c r="C69" s="57" t="s">
        <v>19</v>
      </c>
      <c r="D69" s="56" t="s">
        <v>4247</v>
      </c>
      <c r="E69" s="158" t="str">
        <f>HYPERLINK("https://youtu.be/dE9h8sP3bKA","channel 1")</f>
        <v>channel 1</v>
      </c>
    </row>
    <row r="70">
      <c r="B70" s="56" t="s">
        <v>4142</v>
      </c>
      <c r="C70" s="57" t="s">
        <v>181</v>
      </c>
      <c r="D70" s="56" t="s">
        <v>4127</v>
      </c>
      <c r="E70" s="139" t="str">
        <f>HYPERLINK("https://youtu.be/mtsZtoXoTQE","channel 2")</f>
        <v>channel 2</v>
      </c>
    </row>
    <row r="71">
      <c r="B71" s="56" t="s">
        <v>4248</v>
      </c>
      <c r="C71" s="57" t="s">
        <v>43</v>
      </c>
      <c r="D71" s="56" t="s">
        <v>4246</v>
      </c>
      <c r="E71" s="158" t="str">
        <f>HYPERLINK("https://youtu.be/zChvALZopBY","channel 1")</f>
        <v>channel 1</v>
      </c>
    </row>
    <row r="72">
      <c r="B72" s="56" t="s">
        <v>4142</v>
      </c>
      <c r="C72" s="57" t="s">
        <v>41</v>
      </c>
      <c r="D72" s="56" t="s">
        <v>4247</v>
      </c>
      <c r="E72" s="139" t="str">
        <f>HYPERLINK("https://youtu.be/8OcTxG0gRdA","channel 2")</f>
        <v>channel 2</v>
      </c>
    </row>
    <row r="73">
      <c r="B73" s="56" t="s">
        <v>4248</v>
      </c>
      <c r="C73" s="57" t="s">
        <v>181</v>
      </c>
      <c r="D73" s="56" t="s">
        <v>4127</v>
      </c>
      <c r="E73" s="158" t="str">
        <f>HYPERLINK("https://youtu.be/Kab1uHCG9S8","channel 1")</f>
        <v>channel 1</v>
      </c>
    </row>
    <row r="74">
      <c r="B74" s="56" t="s">
        <v>4142</v>
      </c>
      <c r="C74" s="57" t="s">
        <v>158</v>
      </c>
      <c r="D74" s="56" t="s">
        <v>4246</v>
      </c>
      <c r="E74" s="139" t="str">
        <f>HYPERLINK("https://youtu.be/OxPLPbB9hoY","channel 2")</f>
        <v>channel 2</v>
      </c>
    </row>
    <row r="75">
      <c r="B75" s="56" t="s">
        <v>4248</v>
      </c>
      <c r="C75" s="57" t="s">
        <v>41</v>
      </c>
      <c r="D75" s="56" t="s">
        <v>4247</v>
      </c>
      <c r="E75" s="158" t="str">
        <f>HYPERLINK("https://youtu.be/JQIiCr3_El0","channel 1")</f>
        <v>channel 1</v>
      </c>
    </row>
    <row r="76">
      <c r="B76" s="56" t="s">
        <v>4127</v>
      </c>
      <c r="C76" s="57" t="s">
        <v>185</v>
      </c>
      <c r="D76" s="56" t="s">
        <v>4246</v>
      </c>
      <c r="E76" s="139" t="str">
        <f>HYPERLINK("https://youtu.be/W7M7gtB2ctY","channel 2")</f>
        <v>channel 2</v>
      </c>
    </row>
    <row r="77">
      <c r="B77" s="56" t="s">
        <v>4248</v>
      </c>
      <c r="C77" s="57" t="s">
        <v>442</v>
      </c>
      <c r="D77" s="56" t="s">
        <v>4142</v>
      </c>
      <c r="E77" s="164" t="s">
        <v>9</v>
      </c>
    </row>
    <row r="78">
      <c r="B78" s="56" t="s">
        <v>4127</v>
      </c>
      <c r="C78" s="57" t="s">
        <v>998</v>
      </c>
      <c r="D78" s="56" t="s">
        <v>4247</v>
      </c>
      <c r="E78" s="139" t="str">
        <f>HYPERLINK("https://youtu.be/iHYKb40aBic","channel 2")</f>
        <v>channel 2</v>
      </c>
    </row>
    <row r="79">
      <c r="B79" s="56" t="s">
        <v>4247</v>
      </c>
      <c r="C79" s="57" t="s">
        <v>19</v>
      </c>
      <c r="D79" s="56" t="s">
        <v>4246</v>
      </c>
      <c r="E79" s="158" t="str">
        <f>HYPERLINK("https://youtu.be/ffgEuoHyAfk","channel 1")</f>
        <v>channel 1</v>
      </c>
    </row>
    <row r="80">
      <c r="B80" s="56" t="s">
        <v>4127</v>
      </c>
      <c r="C80" s="57" t="s">
        <v>19</v>
      </c>
      <c r="D80" s="56" t="s">
        <v>4142</v>
      </c>
      <c r="E80" s="139" t="str">
        <f>HYPERLINK("https://youtu.be/vpaJ321rhSE","channel 2")</f>
        <v>channel 2</v>
      </c>
    </row>
    <row r="81">
      <c r="B81" s="56" t="s">
        <v>4246</v>
      </c>
      <c r="C81" s="57" t="s">
        <v>301</v>
      </c>
      <c r="D81" s="56" t="s">
        <v>4248</v>
      </c>
      <c r="E81" s="158" t="str">
        <f>HYPERLINK("https://youtu.be/PbmAWovCOuI","channel 1")</f>
        <v>channel 1</v>
      </c>
    </row>
    <row r="82">
      <c r="B82" s="56" t="s">
        <v>4247</v>
      </c>
      <c r="C82" s="57" t="s">
        <v>545</v>
      </c>
      <c r="D82" s="56" t="s">
        <v>4142</v>
      </c>
      <c r="E82" s="139" t="str">
        <f>HYPERLINK("https://youtu.be/6Rn7EY40U2w","channel 2")</f>
        <v>channel 2</v>
      </c>
    </row>
    <row r="83">
      <c r="B83" s="56" t="s">
        <v>4127</v>
      </c>
      <c r="C83" s="57" t="s">
        <v>441</v>
      </c>
      <c r="D83" s="56" t="s">
        <v>4248</v>
      </c>
      <c r="E83" s="158" t="str">
        <f>HYPERLINK("https://youtu.be/Uwid8uNnwtg","channel 1")</f>
        <v>channel 1</v>
      </c>
    </row>
    <row r="84">
      <c r="B84" s="56" t="s">
        <v>4246</v>
      </c>
      <c r="C84" s="57" t="s">
        <v>278</v>
      </c>
      <c r="D84" s="56" t="s">
        <v>4142</v>
      </c>
      <c r="E84" s="139" t="str">
        <f>HYPERLINK("https://youtu.be/-mCUeB_taic","channel 2")</f>
        <v>channel 2</v>
      </c>
    </row>
    <row r="85">
      <c r="B85" s="56" t="s">
        <v>4247</v>
      </c>
      <c r="C85" s="57" t="s">
        <v>248</v>
      </c>
      <c r="D85" s="56" t="s">
        <v>4248</v>
      </c>
      <c r="E85" s="158" t="str">
        <f>HYPERLINK("https://youtu.be/dy3OFRX8sKw","channel 1")</f>
        <v>channel 1</v>
      </c>
    </row>
    <row r="86">
      <c r="B86" s="56" t="s">
        <v>4246</v>
      </c>
      <c r="C86" s="57" t="s">
        <v>216</v>
      </c>
      <c r="D86" s="56" t="s">
        <v>4127</v>
      </c>
      <c r="E86" s="139" t="str">
        <f>HYPERLINK("https://youtu.be/tZ8VrWZqy0k","channel 2")</f>
        <v>channel 2</v>
      </c>
    </row>
    <row r="87">
      <c r="B87" s="56" t="s">
        <v>4142</v>
      </c>
      <c r="C87" s="57" t="s">
        <v>278</v>
      </c>
      <c r="D87" s="56" t="s">
        <v>4248</v>
      </c>
      <c r="E87" s="158" t="str">
        <f>HYPERLINK("https://youtu.be/uvI9rfYYnlU","channel 1")</f>
        <v>channel 1</v>
      </c>
    </row>
    <row r="88">
      <c r="B88" s="56" t="s">
        <v>4247</v>
      </c>
      <c r="C88" s="57" t="s">
        <v>573</v>
      </c>
      <c r="D88" s="56" t="s">
        <v>4127</v>
      </c>
      <c r="E88" s="139" t="str">
        <f>HYPERLINK("https://youtu.be/iyv-nRJ9uDE","channel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2882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4016</v>
      </c>
      <c r="C3" s="57" t="s">
        <v>239</v>
      </c>
      <c r="D3" s="56" t="s">
        <v>3656</v>
      </c>
      <c r="E3" s="158" t="str">
        <f>HYPERLINK("https://youtu.be/yq8i-0G1Vrs","channel 1")</f>
        <v>channel 1</v>
      </c>
    </row>
    <row r="4">
      <c r="B4" s="56" t="s">
        <v>3657</v>
      </c>
      <c r="C4" s="57" t="s">
        <v>227</v>
      </c>
      <c r="D4" s="56" t="s">
        <v>3233</v>
      </c>
      <c r="E4" s="139" t="str">
        <f>HYPERLINK("https://youtu.be/yDDC4nkeDhE","channel 2")</f>
        <v>channel 2</v>
      </c>
    </row>
    <row r="5">
      <c r="B5" s="56" t="s">
        <v>3658</v>
      </c>
      <c r="C5" s="57" t="s">
        <v>161</v>
      </c>
      <c r="D5" s="56" t="s">
        <v>4016</v>
      </c>
      <c r="E5" s="158" t="str">
        <f>HYPERLINK("https://youtu.be/ptj00hWz1rQ","channel 1")</f>
        <v>channel 1</v>
      </c>
    </row>
    <row r="6">
      <c r="B6" s="56" t="s">
        <v>3657</v>
      </c>
      <c r="C6" s="57" t="s">
        <v>442</v>
      </c>
      <c r="D6" s="56" t="s">
        <v>3656</v>
      </c>
      <c r="E6" s="139" t="str">
        <f>HYPERLINK("https://youtu.be/bVFKkuGMhlU","channel 2")</f>
        <v>channel 2</v>
      </c>
    </row>
    <row r="7">
      <c r="B7" s="56" t="s">
        <v>3658</v>
      </c>
      <c r="C7" s="57" t="s">
        <v>352</v>
      </c>
      <c r="D7" s="56" t="s">
        <v>3233</v>
      </c>
      <c r="E7" s="158" t="str">
        <f>HYPERLINK("https://youtu.be/dspgfB3M6Ko","channel 1")</f>
        <v>channel 1</v>
      </c>
    </row>
    <row r="8">
      <c r="B8" s="56" t="s">
        <v>3657</v>
      </c>
      <c r="C8" s="57" t="s">
        <v>23</v>
      </c>
      <c r="D8" s="56" t="s">
        <v>4016</v>
      </c>
      <c r="E8" s="139" t="str">
        <f>HYPERLINK("https://youtu.be/CdIFgeReNO4","channel 2")</f>
        <v>channel 2</v>
      </c>
    </row>
    <row r="9">
      <c r="B9" s="56" t="s">
        <v>3658</v>
      </c>
      <c r="C9" s="57" t="s">
        <v>463</v>
      </c>
      <c r="D9" s="56" t="s">
        <v>3656</v>
      </c>
      <c r="E9" s="158" t="str">
        <f>HYPERLINK("https://youtu.be/Ct0ygPPwJ64","channel 1")</f>
        <v>channel 1</v>
      </c>
    </row>
    <row r="10">
      <c r="B10" s="56" t="s">
        <v>3233</v>
      </c>
      <c r="C10" s="57" t="s">
        <v>14</v>
      </c>
      <c r="D10" s="56" t="s">
        <v>4016</v>
      </c>
      <c r="E10" s="139" t="str">
        <f>HYPERLINK("https://youtu.be/1ndqDeP8LFw","channel 2")</f>
        <v>channel 2</v>
      </c>
    </row>
    <row r="11">
      <c r="B11" s="56" t="s">
        <v>3658</v>
      </c>
      <c r="C11" s="57" t="s">
        <v>418</v>
      </c>
      <c r="D11" s="56" t="s">
        <v>3657</v>
      </c>
      <c r="E11" s="164" t="s">
        <v>9</v>
      </c>
    </row>
    <row r="12">
      <c r="B12" s="56" t="s">
        <v>3233</v>
      </c>
      <c r="C12" s="57" t="s">
        <v>278</v>
      </c>
      <c r="D12" s="56" t="s">
        <v>3656</v>
      </c>
      <c r="E12" s="139" t="str">
        <f>HYPERLINK("https://youtu.be/81CN7MJnuJU","channel 2")</f>
        <v>channel 2</v>
      </c>
    </row>
    <row r="13">
      <c r="B13" s="56" t="s">
        <v>3656</v>
      </c>
      <c r="C13" s="57" t="s">
        <v>181</v>
      </c>
      <c r="D13" s="56" t="s">
        <v>4016</v>
      </c>
      <c r="E13" s="158" t="str">
        <f>HYPERLINK("https://youtu.be/-j9_OWyEy4Y","channel 1")</f>
        <v>channel 1</v>
      </c>
    </row>
    <row r="14">
      <c r="B14" s="56" t="s">
        <v>3233</v>
      </c>
      <c r="C14" s="57" t="s">
        <v>570</v>
      </c>
      <c r="D14" s="56" t="s">
        <v>3657</v>
      </c>
      <c r="E14" s="139" t="str">
        <f>HYPERLINK("https://youtu.be/PSjPnKOiTBY","channel 2")</f>
        <v>channel 2</v>
      </c>
    </row>
    <row r="15">
      <c r="B15" s="56" t="s">
        <v>4016</v>
      </c>
      <c r="C15" s="57" t="s">
        <v>248</v>
      </c>
      <c r="D15" s="56" t="s">
        <v>3658</v>
      </c>
      <c r="E15" s="158" t="str">
        <f>HYPERLINK("https://youtu.be/7mPy04wqTVY","channel 1")</f>
        <v>channel 1</v>
      </c>
    </row>
    <row r="16">
      <c r="B16" s="56" t="s">
        <v>3656</v>
      </c>
      <c r="C16" s="57" t="s">
        <v>229</v>
      </c>
      <c r="D16" s="56" t="s">
        <v>3657</v>
      </c>
      <c r="E16" s="139" t="str">
        <f>HYPERLINK("https://youtu.be/me5mQCkZhnA","channel 2")</f>
        <v>channel 2</v>
      </c>
    </row>
    <row r="17">
      <c r="B17" s="56" t="s">
        <v>3233</v>
      </c>
      <c r="C17" s="57" t="s">
        <v>24</v>
      </c>
      <c r="D17" s="56" t="s">
        <v>3658</v>
      </c>
      <c r="E17" s="158" t="str">
        <f>HYPERLINK("https://youtu.be/vd7UL3uy5Jg","channel 1")</f>
        <v>channel 1</v>
      </c>
    </row>
    <row r="18">
      <c r="B18" s="56" t="s">
        <v>4016</v>
      </c>
      <c r="C18" s="57" t="s">
        <v>21</v>
      </c>
      <c r="D18" s="56" t="s">
        <v>3657</v>
      </c>
      <c r="E18" s="139" t="str">
        <f>HYPERLINK("https://youtu.be/Kdw4yuogRas","channel 2")</f>
        <v>channel 2</v>
      </c>
    </row>
    <row r="19">
      <c r="B19" s="56" t="s">
        <v>3656</v>
      </c>
      <c r="C19" s="57" t="s">
        <v>19</v>
      </c>
      <c r="D19" s="56" t="s">
        <v>3658</v>
      </c>
      <c r="E19" s="158" t="str">
        <f>HYPERLINK("https://youtu.be/BYd1i1kwdks","channel 1")</f>
        <v>channel 1</v>
      </c>
    </row>
    <row r="20">
      <c r="B20" s="56" t="s">
        <v>4016</v>
      </c>
      <c r="C20" s="57" t="s">
        <v>344</v>
      </c>
      <c r="D20" s="56" t="s">
        <v>3233</v>
      </c>
      <c r="E20" s="139" t="str">
        <f>HYPERLINK("https://youtu.be/SppJfAb6xKs","channel 2")</f>
        <v>channel 2</v>
      </c>
    </row>
    <row r="21">
      <c r="B21" s="56" t="s">
        <v>3657</v>
      </c>
      <c r="C21" s="57" t="s">
        <v>4249</v>
      </c>
      <c r="D21" s="56" t="s">
        <v>3658</v>
      </c>
      <c r="E21" s="158" t="str">
        <f>HYPERLINK("https://youtu.be/2dniWBeAQ-g","channel 1")</f>
        <v>channel 1</v>
      </c>
    </row>
    <row r="22">
      <c r="B22" s="56" t="s">
        <v>3656</v>
      </c>
      <c r="C22" s="57" t="s">
        <v>576</v>
      </c>
      <c r="D22" s="56" t="s">
        <v>3233</v>
      </c>
      <c r="E22" s="139" t="str">
        <f>HYPERLINK("https://youtu.be/JbZ0BSnY7bA","channel 2")</f>
        <v>channel 2</v>
      </c>
    </row>
    <row r="23">
      <c r="B23" s="173" t="s">
        <v>1782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56" t="s">
        <v>1050</v>
      </c>
      <c r="C25" s="57" t="s">
        <v>162</v>
      </c>
      <c r="D25" s="56" t="s">
        <v>4250</v>
      </c>
      <c r="E25" s="158" t="str">
        <f>HYPERLINK("https://youtu.be/-b3XhJ4MDGI","channel 1")</f>
        <v>channel 1</v>
      </c>
    </row>
    <row r="26">
      <c r="B26" s="56" t="s">
        <v>3270</v>
      </c>
      <c r="C26" s="57" t="s">
        <v>16</v>
      </c>
      <c r="D26" s="56" t="s">
        <v>4173</v>
      </c>
      <c r="E26" s="139" t="str">
        <f>HYPERLINK("https://youtu.be/mkd72XW1sh8","channel 2")</f>
        <v>channel 2</v>
      </c>
    </row>
    <row r="27">
      <c r="B27" s="56" t="s">
        <v>3557</v>
      </c>
      <c r="C27" s="57" t="s">
        <v>195</v>
      </c>
      <c r="D27" s="56" t="s">
        <v>1050</v>
      </c>
      <c r="E27" s="158" t="str">
        <f>HYPERLINK("https://youtu.be/0ephFN0DFQI","channel 1")</f>
        <v>channel 1</v>
      </c>
    </row>
    <row r="28">
      <c r="B28" s="56" t="s">
        <v>3270</v>
      </c>
      <c r="C28" s="57" t="s">
        <v>23</v>
      </c>
      <c r="D28" s="56" t="s">
        <v>4250</v>
      </c>
      <c r="E28" s="139" t="str">
        <f>HYPERLINK("https://youtu.be/bxQFAf-ZgYU","channel 2")</f>
        <v>channel 2</v>
      </c>
    </row>
    <row r="29">
      <c r="B29" s="56" t="s">
        <v>3557</v>
      </c>
      <c r="C29" s="57" t="s">
        <v>19</v>
      </c>
      <c r="D29" s="56" t="s">
        <v>4173</v>
      </c>
      <c r="E29" s="158" t="str">
        <f>HYPERLINK("https://youtu.be/Yd7ieDkYPno","channel 1")</f>
        <v>channel 1</v>
      </c>
    </row>
    <row r="30">
      <c r="B30" s="56" t="s">
        <v>3270</v>
      </c>
      <c r="C30" s="57" t="s">
        <v>418</v>
      </c>
      <c r="D30" s="56" t="s">
        <v>1050</v>
      </c>
      <c r="E30" s="139" t="str">
        <f>HYPERLINK("https://youtu.be/zVMlHfCGUOk","channel 2")</f>
        <v>channel 2</v>
      </c>
    </row>
    <row r="31">
      <c r="B31" s="56" t="s">
        <v>3557</v>
      </c>
      <c r="C31" s="57" t="s">
        <v>19</v>
      </c>
      <c r="D31" s="56" t="s">
        <v>4250</v>
      </c>
      <c r="E31" s="158" t="str">
        <f>HYPERLINK("https://youtu.be/UcpSolKMWls","channel 1")</f>
        <v>channel 1</v>
      </c>
    </row>
    <row r="32">
      <c r="B32" s="56" t="s">
        <v>4173</v>
      </c>
      <c r="C32" s="57" t="s">
        <v>425</v>
      </c>
      <c r="D32" s="56" t="s">
        <v>1050</v>
      </c>
      <c r="E32" s="139" t="str">
        <f>HYPERLINK("https://youtu.be/Y9BJstKzcAA","channel 2")</f>
        <v>channel 2</v>
      </c>
    </row>
    <row r="33">
      <c r="B33" s="56" t="s">
        <v>3557</v>
      </c>
      <c r="C33" s="57" t="s">
        <v>335</v>
      </c>
      <c r="D33" s="56" t="s">
        <v>3270</v>
      </c>
      <c r="E33" s="158" t="str">
        <f>HYPERLINK("https://youtu.be/Kn__IWVTVi4","channel 1")</f>
        <v>channel 1</v>
      </c>
    </row>
    <row r="34">
      <c r="B34" s="56" t="s">
        <v>4173</v>
      </c>
      <c r="C34" s="57" t="s">
        <v>251</v>
      </c>
      <c r="D34" s="56" t="s">
        <v>4250</v>
      </c>
      <c r="E34" s="139" t="str">
        <f>HYPERLINK("https://youtu.be/-qd5Z2nkA1U","channel 2")</f>
        <v>channel 2</v>
      </c>
    </row>
    <row r="35">
      <c r="B35" s="56" t="s">
        <v>4250</v>
      </c>
      <c r="C35" s="57" t="s">
        <v>250</v>
      </c>
      <c r="D35" s="56" t="s">
        <v>1050</v>
      </c>
      <c r="E35" s="158" t="str">
        <f>HYPERLINK("https://youtu.be/WETPukxsu_4","channel 1")</f>
        <v>channel 1</v>
      </c>
    </row>
    <row r="36">
      <c r="B36" s="56" t="s">
        <v>4173</v>
      </c>
      <c r="C36" s="57" t="s">
        <v>203</v>
      </c>
      <c r="D36" s="56" t="s">
        <v>3270</v>
      </c>
      <c r="E36" s="139" t="str">
        <f>HYPERLINK("https://youtu.be/uoymO7tbPvM","channel 2")</f>
        <v>channel 2</v>
      </c>
    </row>
    <row r="37">
      <c r="B37" s="56" t="s">
        <v>1050</v>
      </c>
      <c r="C37" s="57" t="s">
        <v>291</v>
      </c>
      <c r="D37" s="56" t="s">
        <v>3557</v>
      </c>
      <c r="E37" s="158" t="str">
        <f>HYPERLINK("https://youtu.be/CxSjdEKSGCk","channel 1")</f>
        <v>channel 1</v>
      </c>
    </row>
    <row r="38">
      <c r="B38" s="56" t="s">
        <v>4250</v>
      </c>
      <c r="C38" s="57" t="s">
        <v>366</v>
      </c>
      <c r="D38" s="56" t="s">
        <v>3270</v>
      </c>
      <c r="E38" s="139" t="str">
        <f>HYPERLINK("https://youtu.be/gCshjk60m6U","channel 2")</f>
        <v>channel 2</v>
      </c>
    </row>
    <row r="39">
      <c r="B39" s="56" t="s">
        <v>4173</v>
      </c>
      <c r="C39" s="45" t="s">
        <v>193</v>
      </c>
      <c r="D39" s="56" t="s">
        <v>3557</v>
      </c>
      <c r="E39" s="158" t="str">
        <f>HYPERLINK("https://youtu.be/hJnJK8zMprc","channel 1")</f>
        <v>channel 1</v>
      </c>
    </row>
    <row r="40">
      <c r="B40" s="56" t="s">
        <v>1050</v>
      </c>
      <c r="C40" s="57" t="s">
        <v>657</v>
      </c>
      <c r="D40" s="56" t="s">
        <v>3270</v>
      </c>
      <c r="E40" s="139" t="str">
        <f>HYPERLINK("https://youtu.be/89w2I4-APjY","channel 2")</f>
        <v>channel 2</v>
      </c>
    </row>
    <row r="41">
      <c r="B41" s="56" t="s">
        <v>4250</v>
      </c>
      <c r="C41" s="57" t="s">
        <v>19</v>
      </c>
      <c r="D41" s="56" t="s">
        <v>3557</v>
      </c>
      <c r="E41" s="158" t="str">
        <f>HYPERLINK("https://youtu.be/jHk-c-0J52g","channel 1")</f>
        <v>channel 1</v>
      </c>
    </row>
    <row r="42">
      <c r="B42" s="56" t="s">
        <v>1050</v>
      </c>
      <c r="C42" s="57" t="s">
        <v>225</v>
      </c>
      <c r="D42" s="56" t="s">
        <v>4173</v>
      </c>
      <c r="E42" s="139" t="str">
        <f>HYPERLINK("https://youtu.be/kRjRAZYGH0E","channel 2")</f>
        <v>channel 2</v>
      </c>
    </row>
    <row r="43">
      <c r="B43" s="56" t="s">
        <v>3270</v>
      </c>
      <c r="C43" s="57" t="s">
        <v>375</v>
      </c>
      <c r="D43" s="56" t="s">
        <v>3557</v>
      </c>
      <c r="E43" s="158" t="str">
        <f>HYPERLINK("https://youtu.be/JB2_6m9J9Gs","channel 1")</f>
        <v>channel 1</v>
      </c>
    </row>
    <row r="44">
      <c r="B44" s="56" t="s">
        <v>4250</v>
      </c>
      <c r="C44" s="57" t="s">
        <v>545</v>
      </c>
      <c r="D44" s="56" t="s">
        <v>4173</v>
      </c>
      <c r="E44" s="139" t="str">
        <f>HYPERLINK("https://youtu.be/Ee8wfnc4ZoY","channel 2")</f>
        <v>channel 2</v>
      </c>
    </row>
    <row r="45">
      <c r="B45" s="173" t="s">
        <v>2152</v>
      </c>
      <c r="C45" s="37"/>
      <c r="D45" s="37"/>
      <c r="E45" s="38"/>
    </row>
    <row r="46">
      <c r="B46" s="174" t="s">
        <v>2</v>
      </c>
      <c r="C46" s="109" t="s">
        <v>3</v>
      </c>
      <c r="D46" s="29" t="s">
        <v>4</v>
      </c>
      <c r="E46" s="29" t="s">
        <v>5</v>
      </c>
    </row>
    <row r="47">
      <c r="B47" s="56" t="s">
        <v>4251</v>
      </c>
      <c r="C47" s="57" t="s">
        <v>324</v>
      </c>
      <c r="D47" s="56" t="s">
        <v>4203</v>
      </c>
      <c r="E47" s="158" t="str">
        <f>HYPERLINK("https://youtu.be/RmAoSXMa0Uo","channel 1")</f>
        <v>channel 1</v>
      </c>
    </row>
    <row r="48">
      <c r="B48" s="56" t="s">
        <v>3468</v>
      </c>
      <c r="C48" s="57" t="s">
        <v>161</v>
      </c>
      <c r="D48" s="56" t="s">
        <v>4252</v>
      </c>
      <c r="E48" s="139" t="str">
        <f>HYPERLINK("https://youtu.be/634ueb4kaP8","channel 2")</f>
        <v>channel 2</v>
      </c>
    </row>
    <row r="49">
      <c r="B49" s="56" t="s">
        <v>4253</v>
      </c>
      <c r="C49" s="57" t="s">
        <v>508</v>
      </c>
      <c r="D49" s="56" t="s">
        <v>4251</v>
      </c>
      <c r="E49" s="158" t="str">
        <f>HYPERLINK("https://youtu.be/EnBImqxWeRg","channel 1")</f>
        <v>channel 1</v>
      </c>
    </row>
    <row r="50">
      <c r="B50" s="56" t="s">
        <v>3468</v>
      </c>
      <c r="C50" s="57" t="s">
        <v>538</v>
      </c>
      <c r="D50" s="56" t="s">
        <v>4203</v>
      </c>
      <c r="E50" s="139" t="str">
        <f>HYPERLINK("https://youtu.be/Jn2EeLr8qdE","channel 2")</f>
        <v>channel 2</v>
      </c>
    </row>
    <row r="51">
      <c r="B51" s="56" t="s">
        <v>4253</v>
      </c>
      <c r="C51" s="57" t="s">
        <v>158</v>
      </c>
      <c r="D51" s="56" t="s">
        <v>4252</v>
      </c>
      <c r="E51" s="158" t="str">
        <f>HYPERLINK("https://youtu.be/GYusVb_543M","channel 1")</f>
        <v>channel 1</v>
      </c>
    </row>
    <row r="52">
      <c r="B52" s="56" t="s">
        <v>3468</v>
      </c>
      <c r="C52" s="57" t="s">
        <v>210</v>
      </c>
      <c r="D52" s="56" t="s">
        <v>4251</v>
      </c>
      <c r="E52" s="139" t="str">
        <f>HYPERLINK("https://youtu.be/43Yfh4RkPk0","channel 2")</f>
        <v>channel 2</v>
      </c>
    </row>
    <row r="53">
      <c r="B53" s="56" t="s">
        <v>4253</v>
      </c>
      <c r="C53" s="57" t="s">
        <v>184</v>
      </c>
      <c r="D53" s="56" t="s">
        <v>4203</v>
      </c>
      <c r="E53" s="158" t="str">
        <f>HYPERLINK("https://youtu.be/O1abdj4gkXY","channel 1")</f>
        <v>channel 1</v>
      </c>
    </row>
    <row r="54">
      <c r="B54" s="56" t="s">
        <v>4252</v>
      </c>
      <c r="C54" s="57" t="s">
        <v>17</v>
      </c>
      <c r="D54" s="56" t="s">
        <v>4251</v>
      </c>
      <c r="E54" s="139" t="str">
        <f>HYPERLINK("https://youtu.be/jTsiLQ50Ezg","channel 2")</f>
        <v>channel 2</v>
      </c>
    </row>
    <row r="55">
      <c r="B55" s="56" t="s">
        <v>4253</v>
      </c>
      <c r="C55" s="57" t="s">
        <v>27</v>
      </c>
      <c r="D55" s="56" t="s">
        <v>3468</v>
      </c>
      <c r="E55" s="158" t="str">
        <f>HYPERLINK("https://youtu.be/Bm9fo5A7LJE","channel 1")</f>
        <v>channel 1</v>
      </c>
    </row>
    <row r="56">
      <c r="B56" s="56" t="s">
        <v>4252</v>
      </c>
      <c r="C56" s="57" t="s">
        <v>163</v>
      </c>
      <c r="D56" s="56" t="s">
        <v>4203</v>
      </c>
      <c r="E56" s="139" t="str">
        <f>HYPERLINK("https://youtu.be/o7rHSQcGFj0","channel 2")</f>
        <v>channel 2</v>
      </c>
    </row>
    <row r="57">
      <c r="B57" s="56" t="s">
        <v>4203</v>
      </c>
      <c r="C57" s="57" t="s">
        <v>203</v>
      </c>
      <c r="D57" s="56" t="s">
        <v>4251</v>
      </c>
      <c r="E57" s="158" t="str">
        <f>HYPERLINK("https://youtu.be/MgeoyJnPjfY","channel 1")</f>
        <v>channel 1</v>
      </c>
    </row>
    <row r="58">
      <c r="B58" s="56" t="s">
        <v>4252</v>
      </c>
      <c r="C58" s="57" t="s">
        <v>251</v>
      </c>
      <c r="D58" s="56" t="s">
        <v>3468</v>
      </c>
      <c r="E58" s="139" t="str">
        <f>HYPERLINK("https://youtu.be/om3tm598D5w","channel 2")</f>
        <v>channel 2</v>
      </c>
    </row>
    <row r="59">
      <c r="B59" s="56" t="s">
        <v>4251</v>
      </c>
      <c r="C59" s="57" t="s">
        <v>11</v>
      </c>
      <c r="D59" s="56" t="s">
        <v>4253</v>
      </c>
      <c r="E59" s="158" t="str">
        <f>HYPERLINK("https://youtu.be/xXyi3chNrGU","channel 1")</f>
        <v>channel 1</v>
      </c>
    </row>
    <row r="60">
      <c r="B60" s="56" t="s">
        <v>4203</v>
      </c>
      <c r="C60" s="57" t="s">
        <v>464</v>
      </c>
      <c r="D60" s="56" t="s">
        <v>3468</v>
      </c>
      <c r="E60" s="139" t="str">
        <f>HYPERLINK("https://youtu.be/fXAXQudT2oI","channel 2")</f>
        <v>channel 2</v>
      </c>
    </row>
    <row r="61">
      <c r="B61" s="56" t="s">
        <v>4252</v>
      </c>
      <c r="C61" s="57" t="s">
        <v>2692</v>
      </c>
      <c r="D61" s="56" t="s">
        <v>4253</v>
      </c>
      <c r="E61" s="158" t="str">
        <f>HYPERLINK("https://youtu.be/Rwos7GeXKwY","channel 1")</f>
        <v>channel 1</v>
      </c>
    </row>
    <row r="62">
      <c r="B62" s="56" t="s">
        <v>4251</v>
      </c>
      <c r="C62" s="45" t="s">
        <v>203</v>
      </c>
      <c r="D62" s="56" t="s">
        <v>3468</v>
      </c>
      <c r="E62" s="139" t="str">
        <f>HYPERLINK("https://youtu.be/1ed9TX0WChM","channel 2")</f>
        <v>channel 2</v>
      </c>
    </row>
    <row r="63">
      <c r="B63" s="56" t="s">
        <v>4203</v>
      </c>
      <c r="C63" s="57" t="s">
        <v>16</v>
      </c>
      <c r="D63" s="56" t="s">
        <v>4253</v>
      </c>
      <c r="E63" s="158" t="str">
        <f>HYPERLINK("https://youtu.be/7Lx3-XcvhII","channel 1")</f>
        <v>channel 1</v>
      </c>
    </row>
    <row r="64">
      <c r="B64" s="56" t="s">
        <v>4251</v>
      </c>
      <c r="C64" s="57" t="s">
        <v>16</v>
      </c>
      <c r="D64" s="56" t="s">
        <v>4252</v>
      </c>
      <c r="E64" s="139" t="str">
        <f>HYPERLINK("https://youtu.be/epo_kx0WrLw","channel 2")</f>
        <v>channel 2</v>
      </c>
    </row>
    <row r="65">
      <c r="B65" s="56" t="s">
        <v>3468</v>
      </c>
      <c r="C65" s="57" t="s">
        <v>278</v>
      </c>
      <c r="D65" s="56" t="s">
        <v>4253</v>
      </c>
      <c r="E65" s="158" t="str">
        <f>HYPERLINK("https://youtu.be/p7pvmPySVNE","channel 1")</f>
        <v>channel 1</v>
      </c>
    </row>
    <row r="66">
      <c r="B66" s="56" t="s">
        <v>4203</v>
      </c>
      <c r="C66" s="57" t="s">
        <v>14</v>
      </c>
      <c r="D66" s="56" t="s">
        <v>4252</v>
      </c>
      <c r="E66" s="139" t="str">
        <f>HYPERLINK("https://youtu.be/_uZ4lDKWs6Q","channel 2")</f>
        <v>channel 2</v>
      </c>
    </row>
    <row r="67">
      <c r="B67" s="173" t="s">
        <v>1560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56" t="s">
        <v>4254</v>
      </c>
      <c r="C69" s="57" t="s">
        <v>158</v>
      </c>
      <c r="D69" s="56" t="s">
        <v>3952</v>
      </c>
      <c r="E69" s="158" t="str">
        <f>HYPERLINK("https://youtu.be/QwyFYoUwbUA","channel 1")</f>
        <v>channel 1</v>
      </c>
    </row>
    <row r="70">
      <c r="B70" s="56" t="s">
        <v>3951</v>
      </c>
      <c r="C70" s="57" t="s">
        <v>181</v>
      </c>
      <c r="D70" s="56" t="s">
        <v>2703</v>
      </c>
      <c r="E70" s="139" t="str">
        <f>HYPERLINK("https://youtu.be/HGZTmfHMxzw","channel 2")</f>
        <v>channel 2</v>
      </c>
    </row>
    <row r="71">
      <c r="B71" s="56" t="s">
        <v>4255</v>
      </c>
      <c r="C71" s="57" t="s">
        <v>665</v>
      </c>
      <c r="D71" s="56" t="s">
        <v>4254</v>
      </c>
      <c r="E71" s="158" t="str">
        <f>HYPERLINK("https://youtu.be/zLlp86VcvhY","channel 1")</f>
        <v>channel 1</v>
      </c>
    </row>
    <row r="72">
      <c r="B72" s="56" t="s">
        <v>3951</v>
      </c>
      <c r="C72" s="57" t="s">
        <v>227</v>
      </c>
      <c r="D72" s="56" t="s">
        <v>3952</v>
      </c>
      <c r="E72" s="139" t="str">
        <f>HYPERLINK("https://youtu.be/JBbGOTVoS3k","channel 2")</f>
        <v>channel 2</v>
      </c>
    </row>
    <row r="73">
      <c r="B73" s="56" t="s">
        <v>4255</v>
      </c>
      <c r="C73" s="57" t="s">
        <v>279</v>
      </c>
      <c r="D73" s="56" t="s">
        <v>2703</v>
      </c>
      <c r="E73" s="158" t="str">
        <f>HYPERLINK("https://youtu.be/ToZB4Cp5pjA","channel 1")</f>
        <v>channel 1</v>
      </c>
    </row>
    <row r="74">
      <c r="B74" s="56" t="s">
        <v>3951</v>
      </c>
      <c r="C74" s="57" t="s">
        <v>439</v>
      </c>
      <c r="D74" s="56" t="s">
        <v>4254</v>
      </c>
      <c r="E74" s="139" t="str">
        <f>HYPERLINK("https://youtu.be/yJBjkxDWmzU","channel 2")</f>
        <v>channel 2</v>
      </c>
    </row>
    <row r="75">
      <c r="B75" s="56" t="s">
        <v>4255</v>
      </c>
      <c r="C75" s="57" t="s">
        <v>324</v>
      </c>
      <c r="D75" s="56" t="s">
        <v>3952</v>
      </c>
      <c r="E75" s="158" t="str">
        <f>HYPERLINK("https://youtu.be/Dag39R0qh70","channel 1")</f>
        <v>channel 1</v>
      </c>
    </row>
    <row r="76">
      <c r="B76" s="56" t="s">
        <v>2703</v>
      </c>
      <c r="C76" s="57" t="s">
        <v>248</v>
      </c>
      <c r="D76" s="56" t="s">
        <v>4254</v>
      </c>
      <c r="E76" s="139" t="str">
        <f>HYPERLINK("https://youtu.be/yNPn8apfIxA","channel 2")</f>
        <v>channel 2</v>
      </c>
    </row>
    <row r="77">
      <c r="B77" s="56" t="s">
        <v>4255</v>
      </c>
      <c r="C77" s="57" t="s">
        <v>1025</v>
      </c>
      <c r="D77" s="56" t="s">
        <v>3951</v>
      </c>
      <c r="E77" s="158" t="str">
        <f>HYPERLINK("https://youtu.be/9OtCdk2XQ4I","channel 1")</f>
        <v>channel 1</v>
      </c>
    </row>
    <row r="78">
      <c r="B78" s="56" t="s">
        <v>2703</v>
      </c>
      <c r="C78" s="57" t="s">
        <v>292</v>
      </c>
      <c r="D78" s="56" t="s">
        <v>3952</v>
      </c>
      <c r="E78" s="139" t="str">
        <f>HYPERLINK("https://youtu.be/kwO6OHYFWlc","channel 2")</f>
        <v>channel 2</v>
      </c>
    </row>
    <row r="79">
      <c r="B79" s="56" t="s">
        <v>3952</v>
      </c>
      <c r="C79" s="57" t="s">
        <v>20</v>
      </c>
      <c r="D79" s="56" t="s">
        <v>4254</v>
      </c>
      <c r="E79" s="158" t="str">
        <f>HYPERLINK("https://youtu.be/icuaYDDTNOc","channel 1")</f>
        <v>channel 1</v>
      </c>
    </row>
    <row r="80">
      <c r="B80" s="56" t="s">
        <v>2703</v>
      </c>
      <c r="C80" s="57" t="s">
        <v>419</v>
      </c>
      <c r="D80" s="56" t="s">
        <v>3951</v>
      </c>
      <c r="E80" s="139" t="str">
        <f>HYPERLINK("https://youtu.be/56xL5eH9hiA","channel 2")</f>
        <v>channel 2</v>
      </c>
    </row>
    <row r="81">
      <c r="B81" s="56" t="s">
        <v>4254</v>
      </c>
      <c r="C81" s="57" t="s">
        <v>316</v>
      </c>
      <c r="D81" s="56" t="s">
        <v>4255</v>
      </c>
      <c r="E81" s="158" t="str">
        <f>HYPERLINK("https://youtu.be/w6AWJRdo9Ls","channel 1")</f>
        <v>channel 1</v>
      </c>
    </row>
    <row r="82">
      <c r="B82" s="56" t="s">
        <v>3952</v>
      </c>
      <c r="C82" s="57" t="s">
        <v>232</v>
      </c>
      <c r="D82" s="56" t="s">
        <v>3951</v>
      </c>
      <c r="E82" s="139" t="str">
        <f>HYPERLINK("https://youtu.be/zh_f9WI2NzA","channel 2")</f>
        <v>channel 2</v>
      </c>
    </row>
    <row r="83">
      <c r="B83" s="56" t="s">
        <v>2703</v>
      </c>
      <c r="C83" s="57" t="s">
        <v>366</v>
      </c>
      <c r="D83" s="56" t="s">
        <v>4255</v>
      </c>
      <c r="E83" s="158" t="str">
        <f>HYPERLINK("https://youtu.be/RKjdSf__MG8","channel 1")</f>
        <v>channel 1</v>
      </c>
    </row>
    <row r="84">
      <c r="B84" s="56" t="s">
        <v>4254</v>
      </c>
      <c r="C84" s="57" t="s">
        <v>19</v>
      </c>
      <c r="D84" s="56" t="s">
        <v>3951</v>
      </c>
      <c r="E84" s="139" t="str">
        <f>HYPERLINK("https://youtu.be/bXWrk-hjqJc","channel 2")</f>
        <v>channel 2</v>
      </c>
    </row>
    <row r="85">
      <c r="B85" s="56" t="s">
        <v>3952</v>
      </c>
      <c r="C85" s="57" t="s">
        <v>159</v>
      </c>
      <c r="D85" s="56" t="s">
        <v>4255</v>
      </c>
      <c r="E85" s="158" t="str">
        <f>HYPERLINK("https://youtu.be/Li86x9NFO0I","channel 1")</f>
        <v>channel 1</v>
      </c>
    </row>
    <row r="86">
      <c r="B86" s="56" t="s">
        <v>4254</v>
      </c>
      <c r="C86" s="57" t="s">
        <v>196</v>
      </c>
      <c r="D86" s="56" t="s">
        <v>2703</v>
      </c>
      <c r="E86" s="139" t="str">
        <f>HYPERLINK("https://youtu.be/rQHqb58Tq1Y","channel 2")</f>
        <v>channel 2</v>
      </c>
    </row>
    <row r="87">
      <c r="B87" s="56" t="s">
        <v>3951</v>
      </c>
      <c r="C87" s="57" t="s">
        <v>451</v>
      </c>
      <c r="D87" s="56" t="s">
        <v>4255</v>
      </c>
      <c r="E87" s="158" t="str">
        <f>HYPERLINK("https://youtu.be/zdJf3EzZ-hg","channel 1")</f>
        <v>channel 1</v>
      </c>
    </row>
    <row r="88">
      <c r="B88" s="56" t="s">
        <v>3952</v>
      </c>
      <c r="C88" s="57" t="s">
        <v>194</v>
      </c>
      <c r="D88" s="56" t="s">
        <v>2703</v>
      </c>
      <c r="E88" s="139" t="str">
        <f>HYPERLINK("https://youtu.be/CbHP84UoqCI","channel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4256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892</v>
      </c>
      <c r="C3" s="57" t="s">
        <v>18</v>
      </c>
      <c r="D3" s="56" t="s">
        <v>48</v>
      </c>
      <c r="E3" s="158" t="str">
        <f>HYPERLINK("https://youtu.be/9KKIJCMHp30","channel 1")</f>
        <v>channel 1</v>
      </c>
    </row>
    <row r="4">
      <c r="B4" s="56" t="s">
        <v>4039</v>
      </c>
      <c r="C4" s="57" t="s">
        <v>23</v>
      </c>
      <c r="D4" s="56" t="s">
        <v>4133</v>
      </c>
      <c r="E4" s="139" t="str">
        <f>HYPERLINK("https://youtu.be/cyg94jrptuo","channel 2")</f>
        <v>channel 2</v>
      </c>
    </row>
    <row r="5">
      <c r="B5" s="56" t="s">
        <v>4077</v>
      </c>
      <c r="C5" s="57" t="s">
        <v>257</v>
      </c>
      <c r="D5" s="56" t="s">
        <v>892</v>
      </c>
      <c r="E5" s="158" t="str">
        <f>HYPERLINK("https://youtu.be/w21l4fb8u3g","channel 1")</f>
        <v>channel 1</v>
      </c>
    </row>
    <row r="6">
      <c r="B6" s="56" t="s">
        <v>4039</v>
      </c>
      <c r="C6" s="57" t="s">
        <v>301</v>
      </c>
      <c r="D6" s="56" t="s">
        <v>48</v>
      </c>
      <c r="E6" s="139" t="str">
        <f>HYPERLINK("https://youtu.be/H500Pu4Scpw","channel 2")</f>
        <v>channel 2</v>
      </c>
    </row>
    <row r="7">
      <c r="B7" s="56" t="s">
        <v>4077</v>
      </c>
      <c r="C7" s="57" t="s">
        <v>582</v>
      </c>
      <c r="D7" s="56" t="s">
        <v>4133</v>
      </c>
      <c r="E7" s="158" t="str">
        <f>HYPERLINK("https://youtu.be/LdDHFQ8vQ-c","channel 1")</f>
        <v>channel 1</v>
      </c>
    </row>
    <row r="8">
      <c r="B8" s="56" t="s">
        <v>4039</v>
      </c>
      <c r="C8" s="57" t="s">
        <v>173</v>
      </c>
      <c r="D8" s="56" t="s">
        <v>892</v>
      </c>
      <c r="E8" s="139" t="str">
        <f>HYPERLINK("https://youtu.be/jPMZUda4Il0","channel 2")</f>
        <v>channel 2</v>
      </c>
    </row>
    <row r="9">
      <c r="B9" s="56" t="s">
        <v>4077</v>
      </c>
      <c r="C9" s="57" t="s">
        <v>155</v>
      </c>
      <c r="D9" s="56" t="s">
        <v>48</v>
      </c>
      <c r="E9" s="158" t="str">
        <f>HYPERLINK("https://youtu.be/sDVTBBUNVig","channel 1")</f>
        <v>channel 1</v>
      </c>
    </row>
    <row r="10">
      <c r="B10" s="56" t="s">
        <v>4133</v>
      </c>
      <c r="C10" s="57" t="s">
        <v>257</v>
      </c>
      <c r="D10" s="56" t="s">
        <v>892</v>
      </c>
      <c r="E10" s="139" t="str">
        <f>HYPERLINK("https://youtu.be/lqPcqo9VVSE","channel 2")</f>
        <v>channel 2</v>
      </c>
    </row>
    <row r="11">
      <c r="B11" s="56" t="s">
        <v>4077</v>
      </c>
      <c r="C11" s="57" t="s">
        <v>171</v>
      </c>
      <c r="D11" s="56" t="s">
        <v>4039</v>
      </c>
      <c r="E11" s="158" t="str">
        <f>HYPERLINK("https://youtu.be/JPxWe8x_zns","channel 1")</f>
        <v>channel 1</v>
      </c>
    </row>
    <row r="12">
      <c r="B12" s="56" t="s">
        <v>4133</v>
      </c>
      <c r="C12" s="57" t="s">
        <v>357</v>
      </c>
      <c r="D12" s="56" t="s">
        <v>48</v>
      </c>
      <c r="E12" s="139" t="str">
        <f>HYPERLINK("https://youtu.be/3QYsD4S-lRw","channel 2")</f>
        <v>channel 2</v>
      </c>
    </row>
    <row r="13">
      <c r="B13" s="56" t="s">
        <v>48</v>
      </c>
      <c r="C13" s="57" t="s">
        <v>4257</v>
      </c>
      <c r="D13" s="56" t="s">
        <v>892</v>
      </c>
      <c r="E13" s="158" t="str">
        <f>HYPERLINK("https://youtu.be/x4PqBU0Tz_I","channel 1")</f>
        <v>channel 1</v>
      </c>
    </row>
    <row r="14">
      <c r="B14" s="56" t="s">
        <v>4133</v>
      </c>
      <c r="C14" s="57" t="s">
        <v>198</v>
      </c>
      <c r="D14" s="56" t="s">
        <v>4039</v>
      </c>
      <c r="E14" s="139" t="str">
        <f>HYPERLINK("https://youtu.be/QE8BuMDz5jw","channel 2")</f>
        <v>channel 2</v>
      </c>
    </row>
    <row r="15">
      <c r="B15" s="56" t="s">
        <v>892</v>
      </c>
      <c r="C15" s="57" t="s">
        <v>193</v>
      </c>
      <c r="D15" s="56" t="s">
        <v>4077</v>
      </c>
      <c r="E15" s="158" t="str">
        <f>HYPERLINK("https://youtu.be/O2WZU4iSM3w","channel 1")</f>
        <v>channel 1</v>
      </c>
    </row>
    <row r="16">
      <c r="B16" s="56" t="s">
        <v>48</v>
      </c>
      <c r="C16" s="57" t="s">
        <v>19</v>
      </c>
      <c r="D16" s="56" t="s">
        <v>4039</v>
      </c>
      <c r="E16" s="139" t="str">
        <f>HYPERLINK("https://youtu.be/TcBQm2GVXk0","channel 2")</f>
        <v>channel 2</v>
      </c>
    </row>
    <row r="17">
      <c r="B17" s="56" t="s">
        <v>4133</v>
      </c>
      <c r="C17" s="57" t="s">
        <v>18</v>
      </c>
      <c r="D17" s="56" t="s">
        <v>4077</v>
      </c>
      <c r="E17" s="158" t="str">
        <f>HYPERLINK("https://youtu.be/sZPK-dlxBd0","channel 1")</f>
        <v>channel 1</v>
      </c>
    </row>
    <row r="18">
      <c r="B18" s="56" t="s">
        <v>892</v>
      </c>
      <c r="C18" s="57" t="s">
        <v>357</v>
      </c>
      <c r="D18" s="56" t="s">
        <v>4039</v>
      </c>
      <c r="E18" s="139" t="str">
        <f>HYPERLINK("https://youtu.be/rZl_jVu-wrs","channel 2")</f>
        <v>channel 2</v>
      </c>
    </row>
    <row r="19">
      <c r="B19" s="56" t="s">
        <v>48</v>
      </c>
      <c r="C19" s="57" t="s">
        <v>335</v>
      </c>
      <c r="D19" s="56" t="s">
        <v>4077</v>
      </c>
      <c r="E19" s="158" t="str">
        <f>HYPERLINK("https://youtu.be/mW3vZh6tJEg","channel 1")</f>
        <v>channel 1</v>
      </c>
    </row>
    <row r="20">
      <c r="B20" s="56" t="s">
        <v>892</v>
      </c>
      <c r="C20" s="57" t="s">
        <v>158</v>
      </c>
      <c r="D20" s="56" t="s">
        <v>4133</v>
      </c>
      <c r="E20" s="139" t="str">
        <f>HYPERLINK("https://youtu.be/6MmMkUESXlE","channel 2")</f>
        <v>channel 2</v>
      </c>
    </row>
    <row r="21">
      <c r="B21" s="56" t="s">
        <v>4039</v>
      </c>
      <c r="C21" s="57" t="s">
        <v>157</v>
      </c>
      <c r="D21" s="56" t="s">
        <v>4077</v>
      </c>
      <c r="E21" s="158" t="str">
        <f>HYPERLINK("https://youtu.be/LxyCJm8TR8E","channel 1")</f>
        <v>channel 1</v>
      </c>
    </row>
    <row r="22">
      <c r="B22" s="56" t="s">
        <v>48</v>
      </c>
      <c r="C22" s="57" t="s">
        <v>517</v>
      </c>
      <c r="D22" s="56" t="s">
        <v>4133</v>
      </c>
      <c r="E22" s="139" t="str">
        <f>HYPERLINK("https://youtu.be/eMiCIe2aZyE","channel 2")</f>
        <v>channel 2</v>
      </c>
    </row>
    <row r="23">
      <c r="B23" s="173" t="s">
        <v>2207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56" t="s">
        <v>2989</v>
      </c>
      <c r="C25" s="57" t="s">
        <v>271</v>
      </c>
      <c r="D25" s="56" t="s">
        <v>2174</v>
      </c>
      <c r="E25" s="158" t="str">
        <f>HYPERLINK("https://youtu.be/jSvItBpErwE","channel 1")</f>
        <v>channel 1</v>
      </c>
    </row>
    <row r="26">
      <c r="B26" s="56" t="s">
        <v>3934</v>
      </c>
      <c r="C26" s="57" t="s">
        <v>380</v>
      </c>
      <c r="D26" s="56" t="s">
        <v>4258</v>
      </c>
      <c r="E26" s="139" t="str">
        <f>HYPERLINK("https://youtu.be/n-QWuPk6Ico","channel 2")</f>
        <v>channel 2</v>
      </c>
    </row>
    <row r="27">
      <c r="B27" s="56" t="s">
        <v>4259</v>
      </c>
      <c r="C27" s="57" t="s">
        <v>290</v>
      </c>
      <c r="D27" s="56" t="s">
        <v>2989</v>
      </c>
      <c r="E27" s="158" t="str">
        <f>HYPERLINK("https://youtu.be/xYIUEE8qY24","channel 1")</f>
        <v>channel 1</v>
      </c>
    </row>
    <row r="28">
      <c r="B28" s="56" t="s">
        <v>3934</v>
      </c>
      <c r="C28" s="57" t="s">
        <v>17</v>
      </c>
      <c r="D28" s="56" t="s">
        <v>2174</v>
      </c>
      <c r="E28" s="139" t="str">
        <f>HYPERLINK("https://youtu.be/mtnn_HivKgE","channel 2")</f>
        <v>channel 2</v>
      </c>
    </row>
    <row r="29">
      <c r="B29" s="56" t="s">
        <v>4259</v>
      </c>
      <c r="C29" s="57" t="s">
        <v>158</v>
      </c>
      <c r="D29" s="56" t="s">
        <v>4258</v>
      </c>
      <c r="E29" s="158" t="str">
        <f>HYPERLINK("https://youtu.be/LD0Et6lagcM","channel 1")</f>
        <v>channel 1</v>
      </c>
    </row>
    <row r="30">
      <c r="B30" s="56" t="s">
        <v>3934</v>
      </c>
      <c r="C30" s="57" t="s">
        <v>158</v>
      </c>
      <c r="D30" s="56" t="s">
        <v>2989</v>
      </c>
      <c r="E30" s="139" t="str">
        <f>HYPERLINK("https://youtu.be/24y81t5v7rw","channel 2")</f>
        <v>channel 2</v>
      </c>
    </row>
    <row r="31">
      <c r="B31" s="56" t="s">
        <v>4259</v>
      </c>
      <c r="C31" s="57" t="s">
        <v>185</v>
      </c>
      <c r="D31" s="56" t="s">
        <v>2174</v>
      </c>
      <c r="E31" s="158" t="str">
        <f>HYPERLINK("https://youtu.be/tA0upTJ1m_s","channel 1")</f>
        <v>channel 1</v>
      </c>
    </row>
    <row r="32">
      <c r="B32" s="56" t="s">
        <v>4258</v>
      </c>
      <c r="C32" s="57" t="s">
        <v>7</v>
      </c>
      <c r="D32" s="56" t="s">
        <v>2989</v>
      </c>
      <c r="E32" s="139" t="str">
        <f>HYPERLINK("https://youtu.be/-lLka9KeXiE","channel 2")</f>
        <v>channel 2</v>
      </c>
    </row>
    <row r="33">
      <c r="B33" s="56" t="s">
        <v>4259</v>
      </c>
      <c r="C33" s="57" t="s">
        <v>549</v>
      </c>
      <c r="D33" s="56" t="s">
        <v>3934</v>
      </c>
      <c r="E33" s="158" t="str">
        <f>HYPERLINK("https://youtu.be/EBgm4kiA6Oo","channel 1")</f>
        <v>channel 1</v>
      </c>
    </row>
    <row r="34">
      <c r="B34" s="56" t="s">
        <v>4258</v>
      </c>
      <c r="C34" s="57" t="s">
        <v>193</v>
      </c>
      <c r="D34" s="56" t="s">
        <v>2174</v>
      </c>
      <c r="E34" s="139" t="str">
        <f>HYPERLINK("https://youtu.be/eOJYDYkhrfQ","channel 2")</f>
        <v>channel 2</v>
      </c>
    </row>
    <row r="35">
      <c r="B35" s="56" t="s">
        <v>2174</v>
      </c>
      <c r="C35" s="57" t="s">
        <v>158</v>
      </c>
      <c r="D35" s="56" t="s">
        <v>2989</v>
      </c>
      <c r="E35" s="158" t="str">
        <f>HYPERLINK("https://youtu.be/VHSRoQYrfZA","channel 1")</f>
        <v>channel 1</v>
      </c>
    </row>
    <row r="36">
      <c r="B36" s="56" t="s">
        <v>4258</v>
      </c>
      <c r="C36" s="57" t="s">
        <v>774</v>
      </c>
      <c r="D36" s="56" t="s">
        <v>3934</v>
      </c>
      <c r="E36" s="139" t="str">
        <f>HYPERLINK("https://youtu.be/uDX2dKpAieo","channel 2")</f>
        <v>channel 2</v>
      </c>
    </row>
    <row r="37">
      <c r="B37" s="56" t="s">
        <v>2989</v>
      </c>
      <c r="C37" s="57" t="s">
        <v>177</v>
      </c>
      <c r="D37" s="56" t="s">
        <v>4259</v>
      </c>
      <c r="E37" s="158" t="str">
        <f>HYPERLINK("https://youtu.be/QGYzk-xF32Y","channel 1")</f>
        <v>channel 1</v>
      </c>
    </row>
    <row r="38">
      <c r="B38" s="56" t="s">
        <v>2174</v>
      </c>
      <c r="C38" s="57" t="s">
        <v>421</v>
      </c>
      <c r="D38" s="56" t="s">
        <v>3934</v>
      </c>
      <c r="E38" s="139" t="str">
        <f>HYPERLINK("https://youtu.be/5lEMx-fd9co","channel 2")</f>
        <v>channel 2</v>
      </c>
    </row>
    <row r="39">
      <c r="B39" s="56" t="s">
        <v>4258</v>
      </c>
      <c r="C39" s="45" t="s">
        <v>17</v>
      </c>
      <c r="D39" s="56" t="s">
        <v>4259</v>
      </c>
      <c r="E39" s="158" t="str">
        <f>HYPERLINK("https://youtu.be/QDbxNnTO5OM","channel 1")</f>
        <v>channel 1</v>
      </c>
    </row>
    <row r="40">
      <c r="B40" s="56" t="s">
        <v>2989</v>
      </c>
      <c r="C40" s="57" t="s">
        <v>41</v>
      </c>
      <c r="D40" s="56" t="s">
        <v>3934</v>
      </c>
      <c r="E40" s="139" t="str">
        <f>HYPERLINK("https://youtu.be/6L5nWgAEEOk","channel 2")</f>
        <v>channel 2</v>
      </c>
    </row>
    <row r="41">
      <c r="B41" s="56" t="s">
        <v>2174</v>
      </c>
      <c r="C41" s="57" t="s">
        <v>4260</v>
      </c>
      <c r="D41" s="56" t="s">
        <v>4259</v>
      </c>
      <c r="E41" s="158" t="str">
        <f>HYPERLINK("https://youtu.be/vk_sg7Eawlc","channel 1")</f>
        <v>channel 1</v>
      </c>
    </row>
    <row r="42">
      <c r="B42" s="56" t="s">
        <v>2989</v>
      </c>
      <c r="C42" s="57" t="s">
        <v>203</v>
      </c>
      <c r="D42" s="56" t="s">
        <v>4258</v>
      </c>
      <c r="E42" s="139" t="str">
        <f>HYPERLINK("https://youtu.be/fGwmG2Gvgcg","channel 2")</f>
        <v>channel 2</v>
      </c>
    </row>
    <row r="43">
      <c r="B43" s="56" t="s">
        <v>3934</v>
      </c>
      <c r="C43" s="57" t="s">
        <v>280</v>
      </c>
      <c r="D43" s="56" t="s">
        <v>4259</v>
      </c>
      <c r="E43" s="158" t="str">
        <f>HYPERLINK("https://youtu.be/omrxG0u7MCk","channel 1")</f>
        <v>channel 1</v>
      </c>
    </row>
    <row r="44">
      <c r="B44" s="56" t="s">
        <v>2174</v>
      </c>
      <c r="C44" s="57" t="s">
        <v>171</v>
      </c>
      <c r="D44" s="56" t="s">
        <v>4258</v>
      </c>
      <c r="E44" s="139" t="str">
        <f>HYPERLINK("https://youtu.be/9qVQ7cDODgs","channel 2")</f>
        <v>channel 2</v>
      </c>
    </row>
    <row r="45">
      <c r="B45" s="173" t="s">
        <v>2653</v>
      </c>
      <c r="C45" s="37"/>
      <c r="D45" s="37"/>
      <c r="E45" s="38"/>
    </row>
    <row r="46">
      <c r="B46" s="174" t="s">
        <v>2</v>
      </c>
      <c r="C46" s="109" t="s">
        <v>3</v>
      </c>
      <c r="D46" s="29" t="s">
        <v>4</v>
      </c>
      <c r="E46" s="29" t="s">
        <v>5</v>
      </c>
    </row>
    <row r="47">
      <c r="B47" s="56" t="s">
        <v>3758</v>
      </c>
      <c r="C47" s="57" t="s">
        <v>173</v>
      </c>
      <c r="D47" s="56" t="s">
        <v>4165</v>
      </c>
      <c r="E47" s="158" t="str">
        <f>HYPERLINK("https://youtu.be/6QDnBA6AECg","channel 1")</f>
        <v>channel 1</v>
      </c>
    </row>
    <row r="48">
      <c r="B48" s="56" t="s">
        <v>4261</v>
      </c>
      <c r="C48" s="57" t="s">
        <v>17</v>
      </c>
      <c r="D48" s="56" t="s">
        <v>4262</v>
      </c>
      <c r="E48" s="139" t="str">
        <f>HYPERLINK("https://youtu.be/g2lrtQUR4hg","channel 2")</f>
        <v>channel 2</v>
      </c>
    </row>
    <row r="49">
      <c r="B49" s="56" t="s">
        <v>3968</v>
      </c>
      <c r="C49" s="57" t="s">
        <v>315</v>
      </c>
      <c r="D49" s="56" t="s">
        <v>3758</v>
      </c>
      <c r="E49" s="158" t="str">
        <f>HYPERLINK("https://youtu.be/3FXrtqPkbAc","channel 1")</f>
        <v>channel 1</v>
      </c>
    </row>
    <row r="50">
      <c r="B50" s="56" t="s">
        <v>4261</v>
      </c>
      <c r="C50" s="57" t="s">
        <v>233</v>
      </c>
      <c r="D50" s="56" t="s">
        <v>4165</v>
      </c>
      <c r="E50" s="139" t="str">
        <f>HYPERLINK("https://youtu.be/m9gXN4os4YY","channel 2")</f>
        <v>channel 2</v>
      </c>
    </row>
    <row r="51">
      <c r="B51" s="56" t="s">
        <v>3968</v>
      </c>
      <c r="C51" s="57" t="s">
        <v>576</v>
      </c>
      <c r="D51" s="56" t="s">
        <v>4262</v>
      </c>
      <c r="E51" s="158" t="str">
        <f>HYPERLINK("https://youtu.be/6YAcJRhdhj8","channel 1")</f>
        <v>channel 1</v>
      </c>
    </row>
    <row r="52">
      <c r="B52" s="56" t="s">
        <v>4261</v>
      </c>
      <c r="C52" s="57" t="s">
        <v>291</v>
      </c>
      <c r="D52" s="56" t="s">
        <v>3758</v>
      </c>
      <c r="E52" s="139" t="str">
        <f>HYPERLINK("https://youtu.be/EIosyFt2uP4","channel 2")</f>
        <v>channel 2</v>
      </c>
    </row>
    <row r="53">
      <c r="B53" s="56" t="s">
        <v>3968</v>
      </c>
      <c r="C53" s="57" t="s">
        <v>16</v>
      </c>
      <c r="D53" s="56" t="s">
        <v>4165</v>
      </c>
      <c r="E53" s="158" t="str">
        <f>HYPERLINK("https://youtu.be/Aagb1XsmMic","channel 1")</f>
        <v>channel 1</v>
      </c>
    </row>
    <row r="54">
      <c r="B54" s="56" t="s">
        <v>4262</v>
      </c>
      <c r="C54" s="57" t="s">
        <v>177</v>
      </c>
      <c r="D54" s="56" t="s">
        <v>3758</v>
      </c>
      <c r="E54" s="139" t="str">
        <f>HYPERLINK("https://youtu.be/5dwOfcpUwKw","channel 2")</f>
        <v>channel 2</v>
      </c>
    </row>
    <row r="55">
      <c r="B55" s="56" t="s">
        <v>3968</v>
      </c>
      <c r="C55" s="57" t="s">
        <v>2426</v>
      </c>
      <c r="D55" s="56" t="s">
        <v>4261</v>
      </c>
      <c r="E55" s="158" t="str">
        <f>HYPERLINK("https://youtu.be/S8XGfDevhS8","channel 1")</f>
        <v>channel 1</v>
      </c>
    </row>
    <row r="56">
      <c r="B56" s="56" t="s">
        <v>4262</v>
      </c>
      <c r="C56" s="57" t="s">
        <v>219</v>
      </c>
      <c r="D56" s="56" t="s">
        <v>4165</v>
      </c>
      <c r="E56" s="139" t="str">
        <f>HYPERLINK("https://youtu.be/kpAuWF8uGgg","channel 2")</f>
        <v>channel 2</v>
      </c>
    </row>
    <row r="57">
      <c r="B57" s="56" t="s">
        <v>4165</v>
      </c>
      <c r="C57" s="57" t="s">
        <v>326</v>
      </c>
      <c r="D57" s="56" t="s">
        <v>3758</v>
      </c>
      <c r="E57" s="158" t="str">
        <f>HYPERLINK("https://youtu.be/1YifBhmGAuk","channel 1")</f>
        <v>channel 1</v>
      </c>
    </row>
    <row r="58">
      <c r="B58" s="56" t="s">
        <v>4262</v>
      </c>
      <c r="C58" s="57" t="s">
        <v>3498</v>
      </c>
      <c r="D58" s="56" t="s">
        <v>4261</v>
      </c>
      <c r="E58" s="139" t="str">
        <f>HYPERLINK("https://youtu.be/p4VJ8L8alsw","channel 2")</f>
        <v>channel 2</v>
      </c>
    </row>
    <row r="59">
      <c r="B59" s="56" t="s">
        <v>3758</v>
      </c>
      <c r="C59" s="57" t="s">
        <v>2065</v>
      </c>
      <c r="D59" s="56" t="s">
        <v>3968</v>
      </c>
      <c r="E59" s="158" t="str">
        <f>HYPERLINK("https://youtu.be/p2WqaUxWoGY","channel 1")</f>
        <v>channel 1</v>
      </c>
    </row>
    <row r="60">
      <c r="B60" s="56" t="s">
        <v>4165</v>
      </c>
      <c r="C60" s="57" t="s">
        <v>640</v>
      </c>
      <c r="D60" s="56" t="s">
        <v>4261</v>
      </c>
      <c r="E60" s="139" t="str">
        <f>HYPERLINK("https://youtu.be/cuoxOAJ6XqE","channel 2")</f>
        <v>channel 2</v>
      </c>
    </row>
    <row r="61">
      <c r="B61" s="56" t="s">
        <v>4262</v>
      </c>
      <c r="C61" s="57" t="s">
        <v>549</v>
      </c>
      <c r="D61" s="56" t="s">
        <v>3968</v>
      </c>
      <c r="E61" s="158" t="str">
        <f>HYPERLINK("https://youtu.be/zb729DUdMHg","channel 1")</f>
        <v>channel 1</v>
      </c>
    </row>
    <row r="62">
      <c r="B62" s="56" t="s">
        <v>3758</v>
      </c>
      <c r="C62" s="45" t="s">
        <v>31</v>
      </c>
      <c r="D62" s="56" t="s">
        <v>4261</v>
      </c>
      <c r="E62" s="139" t="str">
        <f>HYPERLINK("https://youtu.be/BBCdkJj23jY","channel 2")</f>
        <v>channel 2</v>
      </c>
    </row>
    <row r="63">
      <c r="B63" s="56" t="s">
        <v>4165</v>
      </c>
      <c r="C63" s="57" t="s">
        <v>324</v>
      </c>
      <c r="D63" s="56" t="s">
        <v>3968</v>
      </c>
      <c r="E63" s="158" t="str">
        <f>HYPERLINK("https://youtu.be/Bsse1gfP-S4","channel 1")</f>
        <v>channel 1</v>
      </c>
    </row>
    <row r="64">
      <c r="B64" s="56" t="s">
        <v>3758</v>
      </c>
      <c r="C64" s="57" t="s">
        <v>155</v>
      </c>
      <c r="D64" s="56" t="s">
        <v>4262</v>
      </c>
      <c r="E64" s="139" t="str">
        <f>HYPERLINK("https://youtu.be/I6Jx1T6dg14","channel 2")</f>
        <v>channel 2</v>
      </c>
    </row>
    <row r="65">
      <c r="B65" s="56" t="s">
        <v>4261</v>
      </c>
      <c r="C65" s="57" t="s">
        <v>316</v>
      </c>
      <c r="D65" s="56" t="s">
        <v>3968</v>
      </c>
      <c r="E65" s="158" t="str">
        <f>HYPERLINK("https://youtu.be/--QJtg-2amo","channel 1")</f>
        <v>channel 1</v>
      </c>
    </row>
    <row r="66">
      <c r="B66" s="56" t="s">
        <v>4165</v>
      </c>
      <c r="C66" s="57" t="s">
        <v>7</v>
      </c>
      <c r="D66" s="56" t="s">
        <v>4262</v>
      </c>
      <c r="E66" s="139" t="str">
        <f>HYPERLINK("https://youtu.be/062vfVKf0R0","channel 2")</f>
        <v>channel 2</v>
      </c>
    </row>
    <row r="67">
      <c r="B67" s="173" t="s">
        <v>2659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56" t="s">
        <v>1339</v>
      </c>
      <c r="C69" s="57" t="s">
        <v>497</v>
      </c>
      <c r="D69" s="56" t="s">
        <v>4263</v>
      </c>
      <c r="E69" s="158" t="str">
        <f>HYPERLINK("https://youtu.be/puH3MC0SMHM","channel 1")</f>
        <v>channel 1</v>
      </c>
    </row>
    <row r="70">
      <c r="B70" s="56" t="s">
        <v>4264</v>
      </c>
      <c r="C70" s="57" t="s">
        <v>620</v>
      </c>
      <c r="D70" s="56" t="s">
        <v>4265</v>
      </c>
      <c r="E70" s="139" t="str">
        <f>HYPERLINK("https://youtu.be/RnnDhH88VYg","channel 2")</f>
        <v>channel 2</v>
      </c>
    </row>
    <row r="71">
      <c r="B71" s="56" t="s">
        <v>3785</v>
      </c>
      <c r="C71" s="57" t="s">
        <v>208</v>
      </c>
      <c r="D71" s="56" t="s">
        <v>1339</v>
      </c>
      <c r="E71" s="158" t="str">
        <f>HYPERLINK("https://youtu.be/azWcicR6Elw","channel 1")</f>
        <v>channel 1</v>
      </c>
    </row>
    <row r="72">
      <c r="B72" s="56" t="s">
        <v>4264</v>
      </c>
      <c r="C72" s="57" t="s">
        <v>155</v>
      </c>
      <c r="D72" s="56" t="s">
        <v>4263</v>
      </c>
      <c r="E72" s="139" t="str">
        <f>HYPERLINK("https://youtu.be/YKdj00bUdBk","channel 2")</f>
        <v>channel 2</v>
      </c>
    </row>
    <row r="73">
      <c r="B73" s="56" t="s">
        <v>3785</v>
      </c>
      <c r="C73" s="57" t="s">
        <v>324</v>
      </c>
      <c r="D73" s="56" t="s">
        <v>4265</v>
      </c>
      <c r="E73" s="158" t="str">
        <f>HYPERLINK("https://youtu.be/2LS3CxiWXsA","channel 1")</f>
        <v>channel 1</v>
      </c>
    </row>
    <row r="74">
      <c r="B74" s="56" t="s">
        <v>4264</v>
      </c>
      <c r="C74" s="57" t="s">
        <v>425</v>
      </c>
      <c r="D74" s="56" t="s">
        <v>1339</v>
      </c>
      <c r="E74" s="139" t="str">
        <f>HYPERLINK("https://youtu.be/TJfxQ8ppshI","channel 2")</f>
        <v>channel 2</v>
      </c>
    </row>
    <row r="75">
      <c r="B75" s="56" t="s">
        <v>3785</v>
      </c>
      <c r="C75" s="57" t="s">
        <v>534</v>
      </c>
      <c r="D75" s="56" t="s">
        <v>4263</v>
      </c>
      <c r="E75" s="158" t="str">
        <f>HYPERLINK("https://youtu.be/4FkVOpzl87Y","channel 1")</f>
        <v>channel 1</v>
      </c>
    </row>
    <row r="76">
      <c r="B76" s="56" t="s">
        <v>4265</v>
      </c>
      <c r="C76" s="57" t="s">
        <v>157</v>
      </c>
      <c r="D76" s="56" t="s">
        <v>1339</v>
      </c>
      <c r="E76" s="139" t="str">
        <f>HYPERLINK("https://youtu.be/fwgzDCHLYK4","channel 2")</f>
        <v>channel 2</v>
      </c>
    </row>
    <row r="77">
      <c r="B77" s="56" t="s">
        <v>3785</v>
      </c>
      <c r="C77" s="57" t="s">
        <v>36</v>
      </c>
      <c r="D77" s="56" t="s">
        <v>4264</v>
      </c>
      <c r="E77" s="158" t="str">
        <f>HYPERLINK("https://youtu.be/82m0XUBuZMQ","channel 1")</f>
        <v>channel 1</v>
      </c>
    </row>
    <row r="78">
      <c r="B78" s="56" t="s">
        <v>4265</v>
      </c>
      <c r="C78" s="57" t="s">
        <v>257</v>
      </c>
      <c r="D78" s="56" t="s">
        <v>4263</v>
      </c>
      <c r="E78" s="139" t="str">
        <f>HYPERLINK("https://youtu.be/9GgUtghD-kA","channel 2")</f>
        <v>channel 2</v>
      </c>
    </row>
    <row r="79">
      <c r="B79" s="56" t="s">
        <v>4263</v>
      </c>
      <c r="C79" s="57" t="s">
        <v>216</v>
      </c>
      <c r="D79" s="56" t="s">
        <v>1339</v>
      </c>
      <c r="E79" s="158" t="str">
        <f>HYPERLINK("https://youtu.be/RRJE828inp0","channel 1")</f>
        <v>channel 1</v>
      </c>
    </row>
    <row r="80">
      <c r="B80" s="56" t="s">
        <v>4265</v>
      </c>
      <c r="C80" s="57" t="s">
        <v>222</v>
      </c>
      <c r="D80" s="56" t="s">
        <v>4264</v>
      </c>
      <c r="E80" s="139" t="str">
        <f>HYPERLINK("https://youtu.be/2M1WhzICYwA","channel 2")</f>
        <v>channel 2</v>
      </c>
    </row>
    <row r="81">
      <c r="B81" s="56" t="s">
        <v>1339</v>
      </c>
      <c r="C81" s="57" t="s">
        <v>338</v>
      </c>
      <c r="D81" s="56" t="s">
        <v>3785</v>
      </c>
      <c r="E81" s="158" t="str">
        <f>HYPERLINK("https://youtu.be/fUkWNtWLTMY","channel 1")</f>
        <v>channel 1</v>
      </c>
    </row>
    <row r="82">
      <c r="B82" s="56" t="s">
        <v>4263</v>
      </c>
      <c r="C82" s="57" t="s">
        <v>36</v>
      </c>
      <c r="D82" s="56" t="s">
        <v>4264</v>
      </c>
      <c r="E82" s="139" t="str">
        <f>HYPERLINK("https://youtu.be/i0zD3bjMeH8","channel 2")</f>
        <v>channel 2</v>
      </c>
    </row>
    <row r="83">
      <c r="B83" s="56" t="s">
        <v>4265</v>
      </c>
      <c r="C83" s="57" t="s">
        <v>281</v>
      </c>
      <c r="D83" s="56" t="s">
        <v>3785</v>
      </c>
      <c r="E83" s="158" t="str">
        <f>HYPERLINK("https://youtu.be/gjBb1ftXYKE","channel 1")</f>
        <v>channel 1</v>
      </c>
    </row>
    <row r="84">
      <c r="B84" s="56" t="s">
        <v>1339</v>
      </c>
      <c r="C84" s="57" t="s">
        <v>209</v>
      </c>
      <c r="D84" s="56" t="s">
        <v>4264</v>
      </c>
      <c r="E84" s="139" t="str">
        <f>HYPERLINK("https://youtu.be/t_Ff9JapQbI","channel 2")</f>
        <v>channel 2</v>
      </c>
    </row>
    <row r="85">
      <c r="B85" s="56" t="s">
        <v>4263</v>
      </c>
      <c r="C85" s="57" t="s">
        <v>1472</v>
      </c>
      <c r="D85" s="56" t="s">
        <v>3785</v>
      </c>
      <c r="E85" s="158" t="str">
        <f>HYPERLINK("https://youtu.be/JhGg0VvZkgc","channel 1")</f>
        <v>channel 1</v>
      </c>
    </row>
    <row r="86">
      <c r="B86" s="56" t="s">
        <v>1339</v>
      </c>
      <c r="C86" s="57" t="s">
        <v>545</v>
      </c>
      <c r="D86" s="56" t="s">
        <v>4265</v>
      </c>
      <c r="E86" s="139" t="str">
        <f>HYPERLINK("https://youtu.be/2uF5jKxChy8","channel 2")</f>
        <v>channel 2</v>
      </c>
    </row>
    <row r="87">
      <c r="B87" s="56" t="s">
        <v>4264</v>
      </c>
      <c r="C87" s="57" t="s">
        <v>203</v>
      </c>
      <c r="D87" s="56" t="s">
        <v>3785</v>
      </c>
      <c r="E87" s="158" t="str">
        <f>HYPERLINK("https://youtu.be/Ug09q-99kgs","channel 1")</f>
        <v>channel 1</v>
      </c>
    </row>
    <row r="88">
      <c r="B88" s="56" t="s">
        <v>4263</v>
      </c>
      <c r="C88" s="57" t="s">
        <v>155</v>
      </c>
      <c r="D88" s="56" t="s">
        <v>4265</v>
      </c>
      <c r="E88" s="139" t="str">
        <f>HYPERLINK("https://youtu.be/yDDC4nkeDhE","channel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1526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4124</v>
      </c>
      <c r="C3" s="57" t="s">
        <v>158</v>
      </c>
      <c r="D3" s="61" t="s">
        <v>2215</v>
      </c>
      <c r="E3" s="164" t="s">
        <v>9</v>
      </c>
    </row>
    <row r="4">
      <c r="B4" s="61" t="s">
        <v>4266</v>
      </c>
      <c r="C4" s="57" t="s">
        <v>181</v>
      </c>
      <c r="D4" s="61" t="s">
        <v>4033</v>
      </c>
      <c r="E4" s="139" t="str">
        <f>HYPERLINK("https://youtu.be/dI6rCiIAj8c","channel 2")</f>
        <v>channel 2</v>
      </c>
    </row>
    <row r="5">
      <c r="B5" s="61" t="s">
        <v>3819</v>
      </c>
      <c r="C5" s="57" t="s">
        <v>155</v>
      </c>
      <c r="D5" s="61" t="s">
        <v>4124</v>
      </c>
      <c r="E5" s="158" t="str">
        <f>HYPERLINK("https://youtu.be/T5tj7GoZacY","channel 1")</f>
        <v>channel 1</v>
      </c>
    </row>
    <row r="6">
      <c r="B6" s="61" t="s">
        <v>4266</v>
      </c>
      <c r="C6" s="57" t="s">
        <v>248</v>
      </c>
      <c r="D6" s="61" t="s">
        <v>2215</v>
      </c>
      <c r="E6" s="139" t="str">
        <f>HYPERLINK("https://youtu.be/vXT3ftrZClM","channel 2")</f>
        <v>channel 2</v>
      </c>
    </row>
    <row r="7">
      <c r="B7" s="61" t="s">
        <v>3819</v>
      </c>
      <c r="C7" s="57" t="s">
        <v>16</v>
      </c>
      <c r="D7" s="61" t="s">
        <v>4033</v>
      </c>
      <c r="E7" s="158" t="str">
        <f>HYPERLINK("https://youtu.be/x4cSiKOqFuY","channel 1")</f>
        <v>channel 1</v>
      </c>
    </row>
    <row r="8">
      <c r="B8" s="61" t="s">
        <v>4266</v>
      </c>
      <c r="C8" s="57" t="s">
        <v>17</v>
      </c>
      <c r="D8" s="61" t="s">
        <v>4124</v>
      </c>
      <c r="E8" s="139" t="str">
        <f>HYPERLINK("https://youtu.be/eAQ_KCJHL4g","channel 2")</f>
        <v>channel 2</v>
      </c>
    </row>
    <row r="9">
      <c r="B9" s="56" t="s">
        <v>3819</v>
      </c>
      <c r="C9" s="57" t="s">
        <v>292</v>
      </c>
      <c r="D9" s="61" t="s">
        <v>2215</v>
      </c>
      <c r="E9" s="158" t="str">
        <f>HYPERLINK("https://youtu.be/S4GZgA1H6UI","channel 1")</f>
        <v>channel 1</v>
      </c>
    </row>
    <row r="10">
      <c r="B10" s="61" t="s">
        <v>4033</v>
      </c>
      <c r="C10" s="57" t="s">
        <v>218</v>
      </c>
      <c r="D10" s="61" t="s">
        <v>4124</v>
      </c>
      <c r="E10" s="139" t="str">
        <f>HYPERLINK("https://youtu.be/w-WYQ4QROUk","channel 2")</f>
        <v>channel 2</v>
      </c>
    </row>
    <row r="11">
      <c r="B11" s="61" t="s">
        <v>3819</v>
      </c>
      <c r="C11" s="57" t="s">
        <v>1590</v>
      </c>
      <c r="D11" s="61" t="s">
        <v>4266</v>
      </c>
      <c r="E11" s="158" t="str">
        <f>HYPERLINK("https://youtu.be/-Pjd016i0KA","channel 1")</f>
        <v>channel 1</v>
      </c>
    </row>
    <row r="12">
      <c r="B12" s="61" t="s">
        <v>4033</v>
      </c>
      <c r="C12" s="57" t="s">
        <v>219</v>
      </c>
      <c r="D12" s="61" t="s">
        <v>2215</v>
      </c>
      <c r="E12" s="139" t="str">
        <f>HYPERLINK("https://youtu.be/7ZwscGscHZE","channel 2")</f>
        <v>channel 2</v>
      </c>
    </row>
    <row r="13">
      <c r="B13" s="61" t="s">
        <v>2215</v>
      </c>
      <c r="C13" s="57" t="s">
        <v>158</v>
      </c>
      <c r="D13" s="61" t="s">
        <v>4124</v>
      </c>
      <c r="E13" s="158" t="str">
        <f>HYPERLINK("https://youtu.be/rdz2QxXbiYQ","channel 1")</f>
        <v>channel 1</v>
      </c>
    </row>
    <row r="14">
      <c r="B14" s="61" t="s">
        <v>4033</v>
      </c>
      <c r="C14" s="57" t="s">
        <v>525</v>
      </c>
      <c r="D14" s="61" t="s">
        <v>4266</v>
      </c>
      <c r="E14" s="139" t="str">
        <f>HYPERLINK("https://youtu.be/OD1ychAX7IU","channel 2")</f>
        <v>channel 2</v>
      </c>
    </row>
    <row r="15">
      <c r="B15" s="61" t="s">
        <v>4124</v>
      </c>
      <c r="C15" s="57" t="s">
        <v>193</v>
      </c>
      <c r="D15" s="61" t="s">
        <v>3819</v>
      </c>
      <c r="E15" s="158" t="str">
        <f>HYPERLINK("https://youtu.be/Oz3bcSI4GDE","channel 1")</f>
        <v>channel 1</v>
      </c>
    </row>
    <row r="16">
      <c r="B16" s="61" t="s">
        <v>2215</v>
      </c>
      <c r="C16" s="57" t="s">
        <v>43</v>
      </c>
      <c r="D16" s="61" t="s">
        <v>4266</v>
      </c>
      <c r="E16" s="139" t="str">
        <f>HYPERLINK("https://youtu.be/RRB5p3TMpuQ","channel 2")</f>
        <v>channel 2</v>
      </c>
    </row>
    <row r="17">
      <c r="B17" s="61" t="s">
        <v>4033</v>
      </c>
      <c r="C17" s="57" t="s">
        <v>193</v>
      </c>
      <c r="D17" s="61" t="s">
        <v>3819</v>
      </c>
      <c r="E17" s="158" t="str">
        <f>HYPERLINK("https://youtu.be/PBko7B8nt0U","channel 1")</f>
        <v>channel 1</v>
      </c>
    </row>
    <row r="18">
      <c r="B18" s="61" t="s">
        <v>4124</v>
      </c>
      <c r="C18" s="57" t="s">
        <v>165</v>
      </c>
      <c r="D18" s="61" t="s">
        <v>4266</v>
      </c>
      <c r="E18" s="139" t="str">
        <f>HYPERLINK("https://youtu.be/GvDjaNr7pw4","channel 2")</f>
        <v>channel 2</v>
      </c>
    </row>
    <row r="19">
      <c r="B19" s="61" t="s">
        <v>2215</v>
      </c>
      <c r="C19" s="57" t="s">
        <v>43</v>
      </c>
      <c r="D19" s="61" t="s">
        <v>3819</v>
      </c>
      <c r="E19" s="158" t="str">
        <f>HYPERLINK("https://youtu.be/eH3IU6nvZUM","channel 1")</f>
        <v>channel 1</v>
      </c>
    </row>
    <row r="20">
      <c r="B20" s="61" t="s">
        <v>4124</v>
      </c>
      <c r="C20" s="57" t="s">
        <v>14</v>
      </c>
      <c r="D20" s="61" t="s">
        <v>4033</v>
      </c>
      <c r="E20" s="139" t="str">
        <f>HYPERLINK("https://youtu.be/RP_AIpmsWIk","channel 2")</f>
        <v>channel 2</v>
      </c>
    </row>
    <row r="21">
      <c r="B21" s="61" t="s">
        <v>4266</v>
      </c>
      <c r="C21" s="57" t="s">
        <v>164</v>
      </c>
      <c r="D21" s="61" t="s">
        <v>3819</v>
      </c>
      <c r="E21" s="158" t="str">
        <f>HYPERLINK("https://youtu.be/svKir7MketM","channel 1")</f>
        <v>channel 1</v>
      </c>
    </row>
    <row r="22">
      <c r="B22" s="61" t="s">
        <v>2215</v>
      </c>
      <c r="C22" s="57" t="s">
        <v>177</v>
      </c>
      <c r="D22" s="61" t="s">
        <v>4033</v>
      </c>
      <c r="E22" s="139" t="str">
        <f>HYPERLINK("https://youtu.be/DNvoCIJGL-w","channel 2")</f>
        <v>channel 2</v>
      </c>
    </row>
    <row r="23">
      <c r="B23" s="173" t="s">
        <v>3526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61" t="s">
        <v>4267</v>
      </c>
      <c r="C25" s="179" t="s">
        <v>16</v>
      </c>
      <c r="D25" s="180" t="s">
        <v>2163</v>
      </c>
      <c r="E25" s="158" t="str">
        <f>HYPERLINK("https://youtu.be/FT7A5uB0Mo4","channel 1")</f>
        <v>channel 1</v>
      </c>
    </row>
    <row r="26">
      <c r="B26" s="110" t="s">
        <v>4268</v>
      </c>
      <c r="C26" s="135" t="s">
        <v>298</v>
      </c>
      <c r="D26" s="112" t="s">
        <v>3878</v>
      </c>
      <c r="E26" s="139" t="str">
        <f>HYPERLINK("https://youtu.be/i5fq0ZXhEAM","channel 2")</f>
        <v>channel 2</v>
      </c>
    </row>
    <row r="27">
      <c r="B27" s="110" t="s">
        <v>4193</v>
      </c>
      <c r="C27" s="135" t="s">
        <v>335</v>
      </c>
      <c r="D27" s="112" t="s">
        <v>4267</v>
      </c>
      <c r="E27" s="158" t="str">
        <f>HYPERLINK("https://youtu.be/0JHF4lanU4w","channel 1")</f>
        <v>channel 1</v>
      </c>
    </row>
    <row r="28">
      <c r="B28" s="110" t="s">
        <v>4268</v>
      </c>
      <c r="C28" s="135" t="s">
        <v>171</v>
      </c>
      <c r="D28" s="112" t="s">
        <v>2163</v>
      </c>
      <c r="E28" s="139" t="str">
        <f>HYPERLINK("https://youtu.be/QeHMgF5kgHc","channel 2")</f>
        <v>channel 2</v>
      </c>
    </row>
    <row r="29">
      <c r="B29" s="110" t="s">
        <v>4193</v>
      </c>
      <c r="C29" s="135" t="s">
        <v>195</v>
      </c>
      <c r="D29" s="112" t="s">
        <v>3878</v>
      </c>
      <c r="E29" s="158" t="str">
        <f>HYPERLINK("https://youtu.be/IWh3Q2B24JQ","channel 1")</f>
        <v>channel 1</v>
      </c>
    </row>
    <row r="30">
      <c r="B30" s="110" t="s">
        <v>4268</v>
      </c>
      <c r="C30" s="135" t="s">
        <v>193</v>
      </c>
      <c r="D30" s="112" t="s">
        <v>4267</v>
      </c>
      <c r="E30" s="139" t="str">
        <f>HYPERLINK("https://youtu.be/NH0eVVA1w1k","channel 2")</f>
        <v>channel 2</v>
      </c>
    </row>
    <row r="31">
      <c r="B31" s="110" t="s">
        <v>4193</v>
      </c>
      <c r="C31" s="135" t="s">
        <v>290</v>
      </c>
      <c r="D31" s="112" t="s">
        <v>2163</v>
      </c>
      <c r="E31" s="158" t="str">
        <f>HYPERLINK("https://youtu.be/wDCGg6AUS20","channel 1")</f>
        <v>channel 1</v>
      </c>
    </row>
    <row r="32">
      <c r="B32" s="110" t="s">
        <v>3878</v>
      </c>
      <c r="C32" s="135" t="s">
        <v>289</v>
      </c>
      <c r="D32" s="112" t="s">
        <v>4267</v>
      </c>
      <c r="E32" s="139" t="str">
        <f>HYPERLINK("https://youtu.be/f__bI32P01k","channel 2")</f>
        <v>channel 2</v>
      </c>
    </row>
    <row r="33">
      <c r="B33" s="110" t="s">
        <v>4193</v>
      </c>
      <c r="C33" s="135" t="s">
        <v>744</v>
      </c>
      <c r="D33" s="112" t="s">
        <v>4268</v>
      </c>
      <c r="E33" s="158" t="str">
        <f>HYPERLINK("https://youtu.be/V6g0xIT2yCI","channel 1")</f>
        <v>channel 1</v>
      </c>
    </row>
    <row r="34">
      <c r="B34" s="110" t="s">
        <v>3878</v>
      </c>
      <c r="C34" s="135" t="s">
        <v>301</v>
      </c>
      <c r="D34" s="112" t="s">
        <v>2163</v>
      </c>
      <c r="E34" s="139" t="str">
        <f>HYPERLINK("https://youtu.be/9p2QKAqf5ps","channel 2")</f>
        <v>channel 2</v>
      </c>
    </row>
    <row r="35">
      <c r="B35" s="110" t="s">
        <v>2163</v>
      </c>
      <c r="C35" s="135" t="s">
        <v>196</v>
      </c>
      <c r="D35" s="112" t="s">
        <v>4267</v>
      </c>
      <c r="E35" s="158" t="str">
        <f>HYPERLINK("https://youtu.be/dFygZ2EFrZA","channel 1")</f>
        <v>channel 1</v>
      </c>
    </row>
    <row r="36">
      <c r="B36" s="110" t="s">
        <v>3878</v>
      </c>
      <c r="C36" s="135" t="s">
        <v>357</v>
      </c>
      <c r="D36" s="112" t="s">
        <v>4268</v>
      </c>
      <c r="E36" s="139" t="str">
        <f>HYPERLINK("https://youtu.be/6DyZuCcIumw","channel 2")</f>
        <v>channel 2</v>
      </c>
    </row>
    <row r="37">
      <c r="B37" s="110" t="s">
        <v>4267</v>
      </c>
      <c r="C37" s="135" t="s">
        <v>545</v>
      </c>
      <c r="D37" s="112" t="s">
        <v>4193</v>
      </c>
      <c r="E37" s="158" t="str">
        <f>HYPERLINK("https://youtu.be/8fMs3akPtLU","channel 1")</f>
        <v>channel 1</v>
      </c>
    </row>
    <row r="38">
      <c r="B38" s="110" t="s">
        <v>2163</v>
      </c>
      <c r="C38" s="135" t="s">
        <v>281</v>
      </c>
      <c r="D38" s="112" t="s">
        <v>4268</v>
      </c>
      <c r="E38" s="139" t="str">
        <f>HYPERLINK("https://youtu.be/G1INRTkCav0","channel 2")</f>
        <v>channel 2</v>
      </c>
    </row>
    <row r="39">
      <c r="B39" s="110" t="s">
        <v>3878</v>
      </c>
      <c r="C39" s="159" t="s">
        <v>256</v>
      </c>
      <c r="D39" s="112" t="s">
        <v>4193</v>
      </c>
      <c r="E39" s="158" t="str">
        <f>HYPERLINK("https://youtu.be/7PYtz7Q2GCM","channel 1")</f>
        <v>channel 1</v>
      </c>
    </row>
    <row r="40">
      <c r="B40" s="110" t="s">
        <v>4267</v>
      </c>
      <c r="C40" s="135" t="s">
        <v>203</v>
      </c>
      <c r="D40" s="112" t="s">
        <v>4268</v>
      </c>
      <c r="E40" s="139" t="str">
        <f>HYPERLINK("https://youtu.be/Mz7kMdsdNzs","channel 2")</f>
        <v>channel 2</v>
      </c>
    </row>
    <row r="41">
      <c r="B41" s="110" t="s">
        <v>2163</v>
      </c>
      <c r="C41" s="135" t="s">
        <v>574</v>
      </c>
      <c r="D41" s="112" t="s">
        <v>4193</v>
      </c>
      <c r="E41" s="158" t="str">
        <f>HYPERLINK("https://youtu.be/o60DsW-Bj6w","channel 1")</f>
        <v>channel 1</v>
      </c>
    </row>
    <row r="42">
      <c r="B42" s="110" t="s">
        <v>4267</v>
      </c>
      <c r="C42" s="135" t="s">
        <v>774</v>
      </c>
      <c r="D42" s="112" t="s">
        <v>3878</v>
      </c>
      <c r="E42" s="139" t="str">
        <f>HYPERLINK("https://youtu.be/_QU0zPj1WbA","channel 2")</f>
        <v>channel 2</v>
      </c>
    </row>
    <row r="43">
      <c r="B43" s="110" t="s">
        <v>4268</v>
      </c>
      <c r="C43" s="135" t="s">
        <v>298</v>
      </c>
      <c r="D43" s="112" t="s">
        <v>4193</v>
      </c>
      <c r="E43" s="158" t="str">
        <f>HYPERLINK("https://youtu.be/3MDgycX9S1g","channel 1")</f>
        <v>channel 1</v>
      </c>
    </row>
    <row r="44">
      <c r="B44" s="110" t="s">
        <v>2163</v>
      </c>
      <c r="C44" s="135" t="s">
        <v>279</v>
      </c>
      <c r="D44" s="112" t="s">
        <v>3878</v>
      </c>
      <c r="E44" s="139" t="str">
        <f>HYPERLINK("https://youtu.be/D3vrVaYbL1I","channel 2")</f>
        <v>channel 2</v>
      </c>
    </row>
    <row r="45">
      <c r="B45" s="173" t="s">
        <v>2780</v>
      </c>
      <c r="C45" s="37"/>
      <c r="D45" s="37"/>
      <c r="E45" s="38"/>
    </row>
    <row r="46">
      <c r="B46" s="174" t="s">
        <v>2</v>
      </c>
      <c r="C46" s="109" t="s">
        <v>3</v>
      </c>
      <c r="D46" s="29" t="s">
        <v>4</v>
      </c>
      <c r="E46" s="29" t="s">
        <v>5</v>
      </c>
    </row>
    <row r="47">
      <c r="B47" s="61" t="s">
        <v>4269</v>
      </c>
      <c r="C47" s="179" t="s">
        <v>291</v>
      </c>
      <c r="D47" s="180" t="s">
        <v>2146</v>
      </c>
      <c r="E47" s="158" t="str">
        <f>HYPERLINK("https://youtu.be/9SlGWm8H8gQ","channel 1")</f>
        <v>channel 1</v>
      </c>
    </row>
    <row r="48">
      <c r="B48" s="110" t="s">
        <v>3652</v>
      </c>
      <c r="C48" s="135" t="s">
        <v>313</v>
      </c>
      <c r="D48" s="112" t="s">
        <v>4270</v>
      </c>
      <c r="E48" s="139" t="str">
        <f>HYPERLINK("https://youtu.be/dsdBF6g7zPY","channel 2")</f>
        <v>channel 2</v>
      </c>
    </row>
    <row r="49">
      <c r="B49" s="110" t="s">
        <v>4271</v>
      </c>
      <c r="C49" s="135" t="s">
        <v>233</v>
      </c>
      <c r="D49" s="112" t="s">
        <v>4269</v>
      </c>
      <c r="E49" s="158" t="str">
        <f>HYPERLINK("https://youtu.be/YfkvVdXNYA8","channel 1")</f>
        <v>channel 1</v>
      </c>
    </row>
    <row r="50">
      <c r="B50" s="110" t="s">
        <v>3652</v>
      </c>
      <c r="C50" s="135" t="s">
        <v>158</v>
      </c>
      <c r="D50" s="112" t="s">
        <v>2146</v>
      </c>
      <c r="E50" s="139" t="str">
        <f>HYPERLINK("https://youtu.be/F1wV3ns9LiU","channel 2")</f>
        <v>channel 2</v>
      </c>
    </row>
    <row r="51">
      <c r="B51" s="110" t="s">
        <v>4271</v>
      </c>
      <c r="C51" s="135" t="s">
        <v>198</v>
      </c>
      <c r="D51" s="112" t="s">
        <v>4270</v>
      </c>
      <c r="E51" s="158" t="str">
        <f>HYPERLINK("https://youtu.be/nHiGJn0OSIU","channel 1")</f>
        <v>channel 1</v>
      </c>
    </row>
    <row r="52">
      <c r="B52" s="110" t="s">
        <v>3652</v>
      </c>
      <c r="C52" s="135" t="s">
        <v>43</v>
      </c>
      <c r="D52" s="112" t="s">
        <v>4269</v>
      </c>
      <c r="E52" s="139" t="str">
        <f>HYPERLINK("https://youtu.be/7CAPAQ9z6Ls","channel 2")</f>
        <v>channel 2</v>
      </c>
    </row>
    <row r="53">
      <c r="B53" s="110" t="s">
        <v>4271</v>
      </c>
      <c r="C53" s="135" t="s">
        <v>790</v>
      </c>
      <c r="D53" s="112" t="s">
        <v>2146</v>
      </c>
      <c r="E53" s="158" t="str">
        <f>HYPERLINK("https://youtu.be/PkFceEJYhPk","channel 1")</f>
        <v>channel 1</v>
      </c>
    </row>
    <row r="54">
      <c r="B54" s="110" t="s">
        <v>4270</v>
      </c>
      <c r="C54" s="135" t="s">
        <v>233</v>
      </c>
      <c r="D54" s="112" t="s">
        <v>4269</v>
      </c>
      <c r="E54" s="139" t="str">
        <f>HYPERLINK("https://youtu.be/r8fljZZ0DM8","channel 2")</f>
        <v>channel 2</v>
      </c>
    </row>
    <row r="55">
      <c r="B55" s="110" t="s">
        <v>4271</v>
      </c>
      <c r="C55" s="135" t="s">
        <v>824</v>
      </c>
      <c r="D55" s="112" t="s">
        <v>3652</v>
      </c>
      <c r="E55" s="158" t="str">
        <f>HYPERLINK("https://youtu.be/YkJlPqZUYec","channel 1")</f>
        <v>channel 1</v>
      </c>
    </row>
    <row r="56">
      <c r="B56" s="110" t="s">
        <v>4270</v>
      </c>
      <c r="C56" s="135" t="s">
        <v>998</v>
      </c>
      <c r="D56" s="112" t="s">
        <v>2146</v>
      </c>
      <c r="E56" s="139" t="str">
        <f>HYPERLINK("https://youtu.be/7yOER9MPVUA","channel 2")</f>
        <v>channel 2</v>
      </c>
    </row>
    <row r="57">
      <c r="B57" s="110" t="s">
        <v>2146</v>
      </c>
      <c r="C57" s="135" t="s">
        <v>225</v>
      </c>
      <c r="D57" s="112" t="s">
        <v>4269</v>
      </c>
      <c r="E57" s="158" t="str">
        <f>HYPERLINK("https://youtu.be/Wc2X3LvrEtg","channel 1")</f>
        <v>channel 1</v>
      </c>
    </row>
    <row r="58">
      <c r="B58" s="110" t="s">
        <v>4270</v>
      </c>
      <c r="C58" s="135" t="s">
        <v>366</v>
      </c>
      <c r="D58" s="112" t="s">
        <v>3652</v>
      </c>
      <c r="E58" s="139" t="str">
        <f>HYPERLINK("https://youtu.be/8d_yq8y11ic","channel 2")</f>
        <v>channel 2</v>
      </c>
    </row>
    <row r="59">
      <c r="B59" s="110" t="s">
        <v>4269</v>
      </c>
      <c r="C59" s="135" t="s">
        <v>209</v>
      </c>
      <c r="D59" s="112" t="s">
        <v>4271</v>
      </c>
      <c r="E59" s="158" t="str">
        <f>HYPERLINK("https://youtu.be/wWo2aoLXz5A","channel 1")</f>
        <v>channel 1</v>
      </c>
    </row>
    <row r="60">
      <c r="B60" s="110" t="s">
        <v>2146</v>
      </c>
      <c r="C60" s="135" t="s">
        <v>181</v>
      </c>
      <c r="D60" s="112" t="s">
        <v>3652</v>
      </c>
      <c r="E60" s="139" t="str">
        <f>HYPERLINK("https://youtu.be/d9RAbKE-Las","channel 2")</f>
        <v>channel 2</v>
      </c>
    </row>
    <row r="61">
      <c r="B61" s="110" t="s">
        <v>4270</v>
      </c>
      <c r="C61" s="135" t="s">
        <v>166</v>
      </c>
      <c r="D61" s="112" t="s">
        <v>4271</v>
      </c>
      <c r="E61" s="158" t="str">
        <f>HYPERLINK("https://youtu.be/Tx2-gJxCxPM","channel 1")</f>
        <v>channel 1</v>
      </c>
    </row>
    <row r="62">
      <c r="B62" s="110" t="s">
        <v>4269</v>
      </c>
      <c r="C62" s="111" t="s">
        <v>404</v>
      </c>
      <c r="D62" s="112" t="s">
        <v>3652</v>
      </c>
      <c r="E62" s="139" t="str">
        <f>HYPERLINK("https://youtu.be/iptmqOVmqn4","channel 2")</f>
        <v>channel 2</v>
      </c>
    </row>
    <row r="63">
      <c r="B63" s="110" t="s">
        <v>2146</v>
      </c>
      <c r="C63" s="135" t="s">
        <v>162</v>
      </c>
      <c r="D63" s="112" t="s">
        <v>4271</v>
      </c>
      <c r="E63" s="158" t="str">
        <f>HYPERLINK("https://youtu.be/2hqMTBdc9Gk","channel 1")</f>
        <v>channel 1</v>
      </c>
    </row>
    <row r="64">
      <c r="B64" s="110" t="s">
        <v>4269</v>
      </c>
      <c r="C64" s="135" t="s">
        <v>945</v>
      </c>
      <c r="D64" s="112" t="s">
        <v>4270</v>
      </c>
      <c r="E64" s="139" t="str">
        <f>HYPERLINK("https://youtu.be/euS5Fw1q-xQ","channel 2")</f>
        <v>channel 2</v>
      </c>
    </row>
    <row r="65">
      <c r="B65" s="110" t="s">
        <v>3652</v>
      </c>
      <c r="C65" s="135" t="s">
        <v>743</v>
      </c>
      <c r="D65" s="112" t="s">
        <v>4271</v>
      </c>
      <c r="E65" s="158" t="str">
        <f>HYPERLINK("https://youtu.be/SAgjrOGKg8I","channel 1")</f>
        <v>channel 1</v>
      </c>
    </row>
    <row r="66">
      <c r="B66" s="110" t="s">
        <v>2146</v>
      </c>
      <c r="C66" s="135" t="s">
        <v>1049</v>
      </c>
      <c r="D66" s="112" t="s">
        <v>4270</v>
      </c>
      <c r="E66" s="139" t="str">
        <f>HYPERLINK("https://youtu.be/8h_ZWSap9Do","channel 2")</f>
        <v>channel 2</v>
      </c>
    </row>
    <row r="67">
      <c r="B67" s="173" t="s">
        <v>1803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61" t="s">
        <v>4272</v>
      </c>
      <c r="C69" s="179" t="s">
        <v>547</v>
      </c>
      <c r="D69" s="180" t="s">
        <v>4273</v>
      </c>
      <c r="E69" s="158" t="str">
        <f>HYPERLINK("https://youtu.be/BUg-DBb5Z9E","channel 1")</f>
        <v>channel 1</v>
      </c>
    </row>
    <row r="70">
      <c r="B70" s="110" t="s">
        <v>4274</v>
      </c>
      <c r="C70" s="135" t="s">
        <v>44</v>
      </c>
      <c r="D70" s="112" t="s">
        <v>4275</v>
      </c>
      <c r="E70" s="139" t="str">
        <f>HYPERLINK("https://youtu.be/n7a0ZBCaeyg","channel 2")</f>
        <v>channel 2</v>
      </c>
    </row>
    <row r="71">
      <c r="B71" s="110" t="s">
        <v>4276</v>
      </c>
      <c r="C71" s="135" t="s">
        <v>2814</v>
      </c>
      <c r="D71" s="112" t="s">
        <v>4272</v>
      </c>
      <c r="E71" s="158" t="str">
        <f>HYPERLINK("https://youtu.be/GtGtAjRQzqA","channel 1")</f>
        <v>channel 1</v>
      </c>
    </row>
    <row r="72">
      <c r="B72" s="110" t="s">
        <v>4274</v>
      </c>
      <c r="C72" s="135" t="s">
        <v>185</v>
      </c>
      <c r="D72" s="112" t="s">
        <v>4273</v>
      </c>
      <c r="E72" s="139" t="str">
        <f>HYPERLINK("https://youtu.be/hFn2a9_-M8g","channel 2")</f>
        <v>channel 2</v>
      </c>
    </row>
    <row r="73">
      <c r="B73" s="110" t="s">
        <v>4276</v>
      </c>
      <c r="C73" s="135" t="s">
        <v>1619</v>
      </c>
      <c r="D73" s="112" t="s">
        <v>4275</v>
      </c>
      <c r="E73" s="158" t="str">
        <f>HYPERLINK("https://youtu.be/axAkakUw6m0","channel 1")</f>
        <v>channel 1</v>
      </c>
    </row>
    <row r="74">
      <c r="B74" s="110" t="s">
        <v>4274</v>
      </c>
      <c r="C74" s="135" t="s">
        <v>165</v>
      </c>
      <c r="D74" s="112" t="s">
        <v>4272</v>
      </c>
      <c r="E74" s="139" t="str">
        <f>HYPERLINK("https://youtu.be/ugVKCPku5AQ","channel 2")</f>
        <v>channel 2</v>
      </c>
    </row>
    <row r="75">
      <c r="B75" s="110" t="s">
        <v>4276</v>
      </c>
      <c r="C75" s="135" t="s">
        <v>185</v>
      </c>
      <c r="D75" s="112" t="s">
        <v>4273</v>
      </c>
      <c r="E75" s="158" t="str">
        <f>HYPERLINK("https://youtu.be/QdCuOwUryCU","channel 1")</f>
        <v>channel 1</v>
      </c>
    </row>
    <row r="76">
      <c r="B76" s="110" t="s">
        <v>4275</v>
      </c>
      <c r="C76" s="135" t="s">
        <v>155</v>
      </c>
      <c r="D76" s="112" t="s">
        <v>4272</v>
      </c>
      <c r="E76" s="139" t="str">
        <f>HYPERLINK("https://youtu.be/tw22h628Yjk","channel 2")</f>
        <v>channel 2</v>
      </c>
    </row>
    <row r="77">
      <c r="B77" s="110" t="s">
        <v>4276</v>
      </c>
      <c r="C77" s="135" t="s">
        <v>357</v>
      </c>
      <c r="D77" s="112" t="s">
        <v>4274</v>
      </c>
      <c r="E77" s="158" t="str">
        <f>HYPERLINK("https://youtu.be/X3L9yMT8tAE","channel 1")</f>
        <v>channel 1</v>
      </c>
    </row>
    <row r="78">
      <c r="B78" s="110" t="s">
        <v>4275</v>
      </c>
      <c r="C78" s="135" t="s">
        <v>189</v>
      </c>
      <c r="D78" s="112" t="s">
        <v>4273</v>
      </c>
      <c r="E78" s="139" t="str">
        <f>HYPERLINK("https://youtu.be/Z8UfHBPRq9Q","channel 2")</f>
        <v>channel 2</v>
      </c>
    </row>
    <row r="79">
      <c r="B79" s="110" t="s">
        <v>4273</v>
      </c>
      <c r="C79" s="135" t="s">
        <v>42</v>
      </c>
      <c r="D79" s="112" t="s">
        <v>4272</v>
      </c>
      <c r="E79" s="158" t="str">
        <f>HYPERLINK("https://youtu.be/MhH_zXb4yYY","channel 1")</f>
        <v>channel 1</v>
      </c>
    </row>
    <row r="80">
      <c r="B80" s="110" t="s">
        <v>4275</v>
      </c>
      <c r="C80" s="135" t="s">
        <v>334</v>
      </c>
      <c r="D80" s="112" t="s">
        <v>4274</v>
      </c>
      <c r="E80" s="139" t="str">
        <f>HYPERLINK("https://youtu.be/KdcCFarC_Dk","channel 2")</f>
        <v>channel 2</v>
      </c>
    </row>
    <row r="81">
      <c r="B81" s="110" t="s">
        <v>4272</v>
      </c>
      <c r="C81" s="135" t="s">
        <v>290</v>
      </c>
      <c r="D81" s="112" t="s">
        <v>4276</v>
      </c>
      <c r="E81" s="158" t="str">
        <f>HYPERLINK("https://youtu.be/TAddVxOJNJ0","channel 1")</f>
        <v>channel 1</v>
      </c>
    </row>
    <row r="82">
      <c r="B82" s="110" t="s">
        <v>4273</v>
      </c>
      <c r="C82" s="135" t="s">
        <v>155</v>
      </c>
      <c r="D82" s="112" t="s">
        <v>4274</v>
      </c>
      <c r="E82" s="139" t="str">
        <f>HYPERLINK("https://youtu.be/Ez4VE5uHlMc","channel 2")</f>
        <v>channel 2</v>
      </c>
    </row>
    <row r="83">
      <c r="B83" s="110" t="s">
        <v>4275</v>
      </c>
      <c r="C83" s="135" t="s">
        <v>302</v>
      </c>
      <c r="D83" s="112" t="s">
        <v>4276</v>
      </c>
      <c r="E83" s="158" t="str">
        <f>HYPERLINK("https://youtu.be/V1DiivWjBUo","channel 1")</f>
        <v>channel 1</v>
      </c>
    </row>
    <row r="84">
      <c r="B84" s="110" t="s">
        <v>4272</v>
      </c>
      <c r="C84" s="135" t="s">
        <v>183</v>
      </c>
      <c r="D84" s="112" t="s">
        <v>4274</v>
      </c>
      <c r="E84" s="139" t="str">
        <f>HYPERLINK("https://youtu.be/s5zY2aAiCqk","channel 2")</f>
        <v>channel 2</v>
      </c>
    </row>
    <row r="85">
      <c r="B85" s="110" t="s">
        <v>4273</v>
      </c>
      <c r="C85" s="135" t="s">
        <v>757</v>
      </c>
      <c r="D85" s="112" t="s">
        <v>4276</v>
      </c>
      <c r="E85" s="158" t="str">
        <f>HYPERLINK("https://youtu.be/lNH14JOu2Y4","channel 1")</f>
        <v>channel 1</v>
      </c>
    </row>
    <row r="86">
      <c r="B86" s="110" t="s">
        <v>4272</v>
      </c>
      <c r="C86" s="135" t="s">
        <v>166</v>
      </c>
      <c r="D86" s="112" t="s">
        <v>4275</v>
      </c>
      <c r="E86" s="139" t="str">
        <f>HYPERLINK("https://youtu.be/B2R5-ihNASU","channel 2")</f>
        <v>channel 2</v>
      </c>
    </row>
    <row r="87">
      <c r="B87" s="110" t="s">
        <v>4274</v>
      </c>
      <c r="C87" s="135" t="s">
        <v>173</v>
      </c>
      <c r="D87" s="112" t="s">
        <v>4276</v>
      </c>
      <c r="E87" s="158" t="str">
        <f>HYPERLINK("https://youtu.be/UkZ4sA7-oh0","channel 1")</f>
        <v>channel 1</v>
      </c>
    </row>
    <row r="88">
      <c r="B88" s="110" t="s">
        <v>4273</v>
      </c>
      <c r="C88" s="135" t="s">
        <v>688</v>
      </c>
      <c r="D88" s="112" t="s">
        <v>4275</v>
      </c>
      <c r="E88" s="139" t="str">
        <f>HYPERLINK("https://youtu.be/ONCvtMeGVI8","channel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2471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4277</v>
      </c>
      <c r="C3" s="57" t="s">
        <v>171</v>
      </c>
      <c r="D3" s="56" t="s">
        <v>4278</v>
      </c>
      <c r="E3" s="158" t="str">
        <f>HYPERLINK("https://youtu.be/XmIgv69p8gM","channel 1")</f>
        <v>channel 1</v>
      </c>
    </row>
    <row r="4">
      <c r="B4" s="61" t="s">
        <v>3869</v>
      </c>
      <c r="C4" s="57" t="s">
        <v>173</v>
      </c>
      <c r="D4" s="61" t="s">
        <v>4243</v>
      </c>
      <c r="E4" s="139" t="str">
        <f>HYPERLINK("https://youtu.be/VkGDr6Uh8iM","channel 2")</f>
        <v>channel 2</v>
      </c>
    </row>
    <row r="5">
      <c r="B5" s="61" t="s">
        <v>3871</v>
      </c>
      <c r="C5" s="57" t="s">
        <v>20</v>
      </c>
      <c r="D5" s="61" t="s">
        <v>4277</v>
      </c>
      <c r="E5" s="158" t="str">
        <f>HYPERLINK("https://youtu.be/CoP_IDvL5_8","channel 1")</f>
        <v>channel 1</v>
      </c>
    </row>
    <row r="6">
      <c r="B6" s="61" t="s">
        <v>3869</v>
      </c>
      <c r="C6" s="57" t="s">
        <v>750</v>
      </c>
      <c r="D6" s="56" t="s">
        <v>4278</v>
      </c>
      <c r="E6" s="139" t="str">
        <f>HYPERLINK("https://youtu.be/VzZ4Em_Z7A0","channel 2")</f>
        <v>channel 2</v>
      </c>
    </row>
    <row r="7">
      <c r="B7" s="61" t="s">
        <v>3871</v>
      </c>
      <c r="C7" s="57" t="s">
        <v>319</v>
      </c>
      <c r="D7" s="61" t="s">
        <v>4243</v>
      </c>
      <c r="E7" s="158" t="str">
        <f>HYPERLINK("https://youtu.be/bR1zNytzW9I","channel 1")</f>
        <v>channel 1</v>
      </c>
    </row>
    <row r="8">
      <c r="B8" s="61" t="s">
        <v>3869</v>
      </c>
      <c r="C8" s="57" t="s">
        <v>23</v>
      </c>
      <c r="D8" s="61" t="s">
        <v>4277</v>
      </c>
      <c r="E8" s="139" t="str">
        <f>HYPERLINK("https://youtu.be/XZ3-IXC8tgI","channel 2")</f>
        <v>channel 2</v>
      </c>
    </row>
    <row r="9">
      <c r="B9" s="61" t="s">
        <v>3871</v>
      </c>
      <c r="C9" s="57" t="s">
        <v>979</v>
      </c>
      <c r="D9" s="56" t="s">
        <v>4278</v>
      </c>
      <c r="E9" s="158" t="str">
        <f>HYPERLINK("https://youtu.be/nK6gzrWgSw8","channel 1")</f>
        <v>channel 1</v>
      </c>
    </row>
    <row r="10">
      <c r="B10" s="61" t="s">
        <v>4243</v>
      </c>
      <c r="C10" s="57" t="s">
        <v>17</v>
      </c>
      <c r="D10" s="61" t="s">
        <v>4277</v>
      </c>
      <c r="E10" s="139" t="str">
        <f>HYPERLINK("https://youtu.be/bERu6vKzVck","channel 2")</f>
        <v>channel 2</v>
      </c>
    </row>
    <row r="11">
      <c r="B11" s="61" t="s">
        <v>3871</v>
      </c>
      <c r="C11" s="57" t="s">
        <v>16</v>
      </c>
      <c r="D11" s="61" t="s">
        <v>3869</v>
      </c>
      <c r="E11" s="158" t="str">
        <f>HYPERLINK("https://youtu.be/_lCbaeuPkD4","channel 1")</f>
        <v>channel 1</v>
      </c>
    </row>
    <row r="12">
      <c r="B12" s="61" t="s">
        <v>4243</v>
      </c>
      <c r="C12" s="57" t="s">
        <v>352</v>
      </c>
      <c r="D12" s="56" t="s">
        <v>4278</v>
      </c>
      <c r="E12" s="139" t="str">
        <f>HYPERLINK("https://youtu.be/THfBBt0n4_A","channel 2")</f>
        <v>channel 2</v>
      </c>
    </row>
    <row r="13">
      <c r="B13" s="56" t="s">
        <v>4278</v>
      </c>
      <c r="C13" s="57" t="s">
        <v>291</v>
      </c>
      <c r="D13" s="61" t="s">
        <v>4277</v>
      </c>
      <c r="E13" s="158" t="str">
        <f>HYPERLINK("https://youtu.be/Q-MOHEoDvcg","channel 1")</f>
        <v>channel 1</v>
      </c>
    </row>
    <row r="14">
      <c r="B14" s="61" t="s">
        <v>4243</v>
      </c>
      <c r="C14" s="57" t="s">
        <v>177</v>
      </c>
      <c r="D14" s="61" t="s">
        <v>3869</v>
      </c>
      <c r="E14" s="139" t="str">
        <f>HYPERLINK("https://youtu.be/0fiEcJErB_c","channel 2")</f>
        <v>channel 2</v>
      </c>
    </row>
    <row r="15">
      <c r="B15" s="61" t="s">
        <v>4277</v>
      </c>
      <c r="C15" s="57" t="s">
        <v>357</v>
      </c>
      <c r="D15" s="61" t="s">
        <v>3871</v>
      </c>
      <c r="E15" s="158" t="str">
        <f>HYPERLINK("https://youtu.be/qk9dc5v_F5Q","channel 1")</f>
        <v>channel 1</v>
      </c>
    </row>
    <row r="16">
      <c r="B16" s="56" t="s">
        <v>4278</v>
      </c>
      <c r="C16" s="57" t="s">
        <v>157</v>
      </c>
      <c r="D16" s="61" t="s">
        <v>3869</v>
      </c>
      <c r="E16" s="139" t="str">
        <f>HYPERLINK("https://youtu.be/B4qlVCb6PKs","channel 2")</f>
        <v>channel 2</v>
      </c>
    </row>
    <row r="17">
      <c r="B17" s="61" t="s">
        <v>4243</v>
      </c>
      <c r="C17" s="57" t="s">
        <v>164</v>
      </c>
      <c r="D17" s="61" t="s">
        <v>3871</v>
      </c>
      <c r="E17" s="158" t="str">
        <f>HYPERLINK("https://youtu.be/b2IQbC8g2tI","channel 1")</f>
        <v>channel 1</v>
      </c>
    </row>
    <row r="18">
      <c r="B18" s="61" t="s">
        <v>4277</v>
      </c>
      <c r="C18" s="57" t="s">
        <v>7</v>
      </c>
      <c r="D18" s="61" t="s">
        <v>3869</v>
      </c>
      <c r="E18" s="139" t="str">
        <f>HYPERLINK("https://youtu.be/-inPQBvjUWY","channel 2")</f>
        <v>channel 2</v>
      </c>
    </row>
    <row r="19">
      <c r="B19" s="56" t="s">
        <v>4278</v>
      </c>
      <c r="C19" s="57" t="s">
        <v>173</v>
      </c>
      <c r="D19" s="61" t="s">
        <v>3871</v>
      </c>
      <c r="E19" s="158" t="str">
        <f>HYPERLINK("https://youtu.be/QEQ-VwOgOPk","channel 1")</f>
        <v>channel 1</v>
      </c>
    </row>
    <row r="20">
      <c r="B20" s="61" t="s">
        <v>4277</v>
      </c>
      <c r="C20" s="57" t="s">
        <v>158</v>
      </c>
      <c r="D20" s="61" t="s">
        <v>4243</v>
      </c>
      <c r="E20" s="139" t="str">
        <f>HYPERLINK("https://youtu.be/s3ieFv6jsE0","channel 2")</f>
        <v>channel 2</v>
      </c>
    </row>
    <row r="21">
      <c r="B21" s="61" t="s">
        <v>3869</v>
      </c>
      <c r="C21" s="57" t="s">
        <v>23</v>
      </c>
      <c r="D21" s="61" t="s">
        <v>3871</v>
      </c>
      <c r="E21" s="158" t="str">
        <f>HYPERLINK("https://youtu.be/7PAWQH84yOA","channel 1")</f>
        <v>channel 1</v>
      </c>
    </row>
    <row r="22">
      <c r="B22" s="56" t="s">
        <v>4278</v>
      </c>
      <c r="C22" s="57" t="s">
        <v>18</v>
      </c>
      <c r="D22" s="61" t="s">
        <v>4243</v>
      </c>
      <c r="E22" s="176" t="s">
        <v>13</v>
      </c>
    </row>
    <row r="23">
      <c r="B23" s="173" t="s">
        <v>2410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61" t="s">
        <v>3228</v>
      </c>
      <c r="C25" s="179" t="s">
        <v>20</v>
      </c>
      <c r="D25" s="180" t="s">
        <v>4279</v>
      </c>
      <c r="E25" s="158" t="str">
        <f>HYPERLINK("https://youtu.be/-8YcMQZP9pw","channel 1")</f>
        <v>channel 1</v>
      </c>
    </row>
    <row r="26">
      <c r="B26" s="110" t="s">
        <v>4280</v>
      </c>
      <c r="C26" s="135" t="s">
        <v>298</v>
      </c>
      <c r="D26" s="112" t="s">
        <v>4281</v>
      </c>
      <c r="E26" s="139" t="str">
        <f>HYPERLINK("https://youtu.be/2yx-08nNoo8","channel 2")</f>
        <v>channel 2</v>
      </c>
    </row>
    <row r="27">
      <c r="B27" s="110" t="s">
        <v>3437</v>
      </c>
      <c r="C27" s="135" t="s">
        <v>16</v>
      </c>
      <c r="D27" s="112" t="s">
        <v>3228</v>
      </c>
      <c r="E27" s="158" t="str">
        <f>HYPERLINK("https://youtu.be/_TNkIYbefho","channel 1")</f>
        <v>channel 1</v>
      </c>
    </row>
    <row r="28">
      <c r="B28" s="110" t="s">
        <v>4280</v>
      </c>
      <c r="C28" s="135" t="s">
        <v>362</v>
      </c>
      <c r="D28" s="112" t="s">
        <v>4279</v>
      </c>
      <c r="E28" s="139" t="str">
        <f>HYPERLINK("https://youtu.be/K0IT_t9Agvk","channel 2")</f>
        <v>channel 2</v>
      </c>
    </row>
    <row r="29">
      <c r="B29" s="110" t="s">
        <v>3437</v>
      </c>
      <c r="C29" s="135" t="s">
        <v>11</v>
      </c>
      <c r="D29" s="112" t="s">
        <v>4281</v>
      </c>
      <c r="E29" s="158" t="str">
        <f>HYPERLINK("https://youtu.be/GWeZ5wHXU1Y","channel 1")</f>
        <v>channel 1</v>
      </c>
    </row>
    <row r="30">
      <c r="B30" s="110" t="s">
        <v>4280</v>
      </c>
      <c r="C30" s="135" t="s">
        <v>250</v>
      </c>
      <c r="D30" s="112" t="s">
        <v>3228</v>
      </c>
      <c r="E30" s="139" t="str">
        <f>HYPERLINK("https://youtu.be/6UdyASen-_w","channel 2")</f>
        <v>channel 2</v>
      </c>
    </row>
    <row r="31">
      <c r="B31" s="110" t="s">
        <v>3437</v>
      </c>
      <c r="C31" s="135" t="s">
        <v>225</v>
      </c>
      <c r="D31" s="112" t="s">
        <v>4279</v>
      </c>
      <c r="E31" s="158" t="str">
        <f>HYPERLINK("https://youtu.be/Q8MuIeTYHAU","channel 1")</f>
        <v>channel 1</v>
      </c>
    </row>
    <row r="32">
      <c r="B32" s="110" t="s">
        <v>4281</v>
      </c>
      <c r="C32" s="135" t="s">
        <v>20</v>
      </c>
      <c r="D32" s="112" t="s">
        <v>3228</v>
      </c>
      <c r="E32" s="139" t="str">
        <f>HYPERLINK("https://youtu.be/SGMT8Gavdw8","channel 2")</f>
        <v>channel 2</v>
      </c>
    </row>
    <row r="33">
      <c r="B33" s="110" t="s">
        <v>3437</v>
      </c>
      <c r="C33" s="135" t="s">
        <v>164</v>
      </c>
      <c r="D33" s="112" t="s">
        <v>4280</v>
      </c>
      <c r="E33" s="158" t="str">
        <f>HYPERLINK("https://youtu.be/P-8MabmToXI","channel 1")</f>
        <v>channel 1</v>
      </c>
    </row>
    <row r="34">
      <c r="B34" s="110" t="s">
        <v>4281</v>
      </c>
      <c r="C34" s="135" t="s">
        <v>19</v>
      </c>
      <c r="D34" s="112" t="s">
        <v>4279</v>
      </c>
      <c r="E34" s="139" t="str">
        <f>HYPERLINK("https://youtu.be/vSv9dVzA8B4","channel 2")</f>
        <v>channel 2</v>
      </c>
    </row>
    <row r="35">
      <c r="B35" s="110" t="s">
        <v>4279</v>
      </c>
      <c r="C35" s="135" t="s">
        <v>181</v>
      </c>
      <c r="D35" s="112" t="s">
        <v>3228</v>
      </c>
      <c r="E35" s="158" t="str">
        <f>HYPERLINK("https://youtu.be/3_RtPMkmHb4","channel 1")</f>
        <v>channel 1</v>
      </c>
    </row>
    <row r="36">
      <c r="B36" s="110" t="s">
        <v>4281</v>
      </c>
      <c r="C36" s="135" t="s">
        <v>166</v>
      </c>
      <c r="D36" s="112" t="s">
        <v>4280</v>
      </c>
      <c r="E36" s="139" t="str">
        <f>HYPERLINK("https://youtu.be/14ZL75Mrv1Y","channel 2")</f>
        <v>channel 2</v>
      </c>
    </row>
    <row r="37">
      <c r="B37" s="110" t="s">
        <v>3228</v>
      </c>
      <c r="C37" s="135" t="s">
        <v>185</v>
      </c>
      <c r="D37" s="112" t="s">
        <v>3437</v>
      </c>
      <c r="E37" s="158" t="str">
        <f>HYPERLINK("https://youtu.be/-SqA5MLB6QY","channel 1")</f>
        <v>channel 1</v>
      </c>
    </row>
    <row r="38">
      <c r="B38" s="110" t="s">
        <v>4279</v>
      </c>
      <c r="C38" s="135" t="s">
        <v>383</v>
      </c>
      <c r="D38" s="112" t="s">
        <v>4280</v>
      </c>
      <c r="E38" s="139" t="str">
        <f>HYPERLINK("https://youtu.be/i13dfQ7_MG0","channel 2")</f>
        <v>channel 2</v>
      </c>
    </row>
    <row r="39">
      <c r="B39" s="110" t="s">
        <v>4281</v>
      </c>
      <c r="C39" s="135" t="s">
        <v>166</v>
      </c>
      <c r="D39" s="112" t="s">
        <v>3437</v>
      </c>
      <c r="E39" s="158" t="str">
        <f>HYPERLINK("https://youtu.be/QzZju6-KUqI","channel 1")</f>
        <v>channel 1</v>
      </c>
    </row>
    <row r="40">
      <c r="B40" s="110" t="s">
        <v>3228</v>
      </c>
      <c r="C40" s="135" t="s">
        <v>177</v>
      </c>
      <c r="D40" s="112" t="s">
        <v>4280</v>
      </c>
      <c r="E40" s="139" t="str">
        <f>HYPERLINK("https://youtu.be/0yfftDhAtNk","channel 2")</f>
        <v>channel 2</v>
      </c>
    </row>
    <row r="41">
      <c r="B41" s="110" t="s">
        <v>4279</v>
      </c>
      <c r="C41" s="135" t="s">
        <v>425</v>
      </c>
      <c r="D41" s="112" t="s">
        <v>3437</v>
      </c>
      <c r="E41" s="158" t="str">
        <f>HYPERLINK("https://youtu.be/owS2zh2tD3Q","channel 1")</f>
        <v>channel 1</v>
      </c>
    </row>
    <row r="42">
      <c r="B42" s="110" t="s">
        <v>3228</v>
      </c>
      <c r="C42" s="135" t="s">
        <v>181</v>
      </c>
      <c r="D42" s="112" t="s">
        <v>4281</v>
      </c>
      <c r="E42" s="139" t="str">
        <f>HYPERLINK("https://youtu.be/hx1nhoGfQIY","channel 2")</f>
        <v>channel 2</v>
      </c>
    </row>
    <row r="43">
      <c r="B43" s="110" t="s">
        <v>4280</v>
      </c>
      <c r="C43" s="135" t="s">
        <v>193</v>
      </c>
      <c r="D43" s="112" t="s">
        <v>3437</v>
      </c>
      <c r="E43" s="158" t="str">
        <f>HYPERLINK("https://youtu.be/5aF0cORxess","channel 1")</f>
        <v>channel 1</v>
      </c>
    </row>
    <row r="44">
      <c r="B44" s="110" t="s">
        <v>4279</v>
      </c>
      <c r="C44" s="135" t="s">
        <v>195</v>
      </c>
      <c r="D44" s="112" t="s">
        <v>4281</v>
      </c>
      <c r="E44" s="139" t="str">
        <f>HYPERLINK("https://youtu.be/EfwkPuUDZpo","channel 2")</f>
        <v>channel 2</v>
      </c>
    </row>
    <row r="45">
      <c r="B45" s="173" t="s">
        <v>2653</v>
      </c>
      <c r="C45" s="37"/>
      <c r="D45" s="37"/>
      <c r="E45" s="38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61" t="s">
        <v>4282</v>
      </c>
      <c r="C47" s="179" t="s">
        <v>181</v>
      </c>
      <c r="D47" s="180" t="s">
        <v>2521</v>
      </c>
      <c r="E47" s="158" t="str">
        <f>HYPERLINK("https://youtu.be/M38es6YGxRA","channel 1")</f>
        <v>channel 1</v>
      </c>
    </row>
    <row r="48">
      <c r="B48" s="110" t="s">
        <v>3632</v>
      </c>
      <c r="C48" s="135" t="s">
        <v>162</v>
      </c>
      <c r="D48" s="112" t="s">
        <v>4283</v>
      </c>
      <c r="E48" s="139" t="str">
        <f>HYPERLINK("https://youtu.be/x-jE76Hvoso","channel 2")</f>
        <v>channel 2</v>
      </c>
    </row>
    <row r="49">
      <c r="B49" s="110" t="s">
        <v>4284</v>
      </c>
      <c r="C49" s="135" t="s">
        <v>189</v>
      </c>
      <c r="D49" s="112" t="s">
        <v>4282</v>
      </c>
      <c r="E49" s="158" t="str">
        <f>HYPERLINK("https://youtu.be/U3-T2XqMMNE","channel 1")</f>
        <v>channel 1</v>
      </c>
    </row>
    <row r="50">
      <c r="B50" s="110" t="s">
        <v>3632</v>
      </c>
      <c r="C50" s="135" t="s">
        <v>24</v>
      </c>
      <c r="D50" s="112" t="s">
        <v>2521</v>
      </c>
      <c r="E50" s="139" t="str">
        <f>HYPERLINK("https://youtu.be/lU8LG74Hzko","channel 2")</f>
        <v>channel 2</v>
      </c>
    </row>
    <row r="51">
      <c r="B51" s="110" t="s">
        <v>4284</v>
      </c>
      <c r="C51" s="135" t="s">
        <v>185</v>
      </c>
      <c r="D51" s="112" t="s">
        <v>4283</v>
      </c>
      <c r="E51" s="158" t="str">
        <f>HYPERLINK("https://youtu.be/yEQyhAHPCIQ","channel 1")</f>
        <v>channel 1</v>
      </c>
    </row>
    <row r="52">
      <c r="B52" s="110" t="s">
        <v>3632</v>
      </c>
      <c r="C52" s="135" t="s">
        <v>293</v>
      </c>
      <c r="D52" s="112" t="s">
        <v>4282</v>
      </c>
      <c r="E52" s="139" t="str">
        <f>HYPERLINK("https://youtu.be/w7ZEZ1FAJ64","channel 2")</f>
        <v>channel 2</v>
      </c>
    </row>
    <row r="53">
      <c r="B53" s="110" t="s">
        <v>4284</v>
      </c>
      <c r="C53" s="135" t="s">
        <v>14</v>
      </c>
      <c r="D53" s="112" t="s">
        <v>2521</v>
      </c>
      <c r="E53" s="158" t="str">
        <f>HYPERLINK("https://youtu.be/sgobhlLyMB0","channel 1")</f>
        <v>channel 1</v>
      </c>
    </row>
    <row r="54">
      <c r="B54" s="110" t="s">
        <v>4283</v>
      </c>
      <c r="C54" s="135" t="s">
        <v>155</v>
      </c>
      <c r="D54" s="112" t="s">
        <v>4282</v>
      </c>
      <c r="E54" s="139" t="str">
        <f>HYPERLINK("https://youtu.be/tZxEN0sJvfc","channel 2")</f>
        <v>channel 2</v>
      </c>
    </row>
    <row r="55">
      <c r="B55" s="110" t="s">
        <v>4284</v>
      </c>
      <c r="C55" s="135" t="s">
        <v>162</v>
      </c>
      <c r="D55" s="112" t="s">
        <v>3632</v>
      </c>
      <c r="E55" s="158" t="str">
        <f>HYPERLINK("https://youtu.be/Wvv-Cxde3w4","channel 1")</f>
        <v>channel 1</v>
      </c>
    </row>
    <row r="56">
      <c r="B56" s="110" t="s">
        <v>4283</v>
      </c>
      <c r="C56" s="135" t="s">
        <v>16</v>
      </c>
      <c r="D56" s="112" t="s">
        <v>2521</v>
      </c>
      <c r="E56" s="139" t="str">
        <f>HYPERLINK("https://youtu.be/mmc8xH1mW9M","channel 2")</f>
        <v>channel 2</v>
      </c>
    </row>
    <row r="57">
      <c r="B57" s="110" t="s">
        <v>2521</v>
      </c>
      <c r="C57" s="135" t="s">
        <v>173</v>
      </c>
      <c r="D57" s="112" t="s">
        <v>4282</v>
      </c>
      <c r="E57" s="158" t="str">
        <f>HYPERLINK("https://youtu.be/a251ilC3t4E","channel 1")</f>
        <v>channel 1</v>
      </c>
    </row>
    <row r="58">
      <c r="B58" s="110" t="s">
        <v>4283</v>
      </c>
      <c r="C58" s="135" t="s">
        <v>376</v>
      </c>
      <c r="D58" s="112" t="s">
        <v>3632</v>
      </c>
      <c r="E58" s="139" t="str">
        <f>HYPERLINK("https://youtu.be/TB_hTqLNIa0","channel 2")</f>
        <v>channel 2</v>
      </c>
    </row>
    <row r="59">
      <c r="B59" s="110" t="s">
        <v>4282</v>
      </c>
      <c r="C59" s="135" t="s">
        <v>19</v>
      </c>
      <c r="D59" s="112" t="s">
        <v>4284</v>
      </c>
      <c r="E59" s="158" t="str">
        <f>HYPERLINK("https://youtu.be/Da5SABBElXs","channel 1")</f>
        <v>channel 1</v>
      </c>
    </row>
    <row r="60">
      <c r="B60" s="110" t="s">
        <v>2521</v>
      </c>
      <c r="C60" s="135" t="s">
        <v>193</v>
      </c>
      <c r="D60" s="112" t="s">
        <v>3632</v>
      </c>
      <c r="E60" s="139" t="str">
        <f>HYPERLINK("https://youtu.be/6dqNnWJXNh0","channel 2")</f>
        <v>channel 2</v>
      </c>
    </row>
    <row r="61">
      <c r="B61" s="110" t="s">
        <v>4283</v>
      </c>
      <c r="C61" s="181" t="s">
        <v>209</v>
      </c>
      <c r="D61" s="112" t="s">
        <v>4284</v>
      </c>
      <c r="E61" s="158" t="str">
        <f>HYPERLINK("https://youtu.be/wucwZbNvhHE","channel 1")</f>
        <v>channel 1</v>
      </c>
    </row>
    <row r="62">
      <c r="B62" s="110" t="s">
        <v>4282</v>
      </c>
      <c r="C62" s="135" t="s">
        <v>620</v>
      </c>
      <c r="D62" s="112" t="s">
        <v>3632</v>
      </c>
      <c r="E62" s="139" t="str">
        <f>HYPERLINK("https://youtu.be/1K-SEJ-L6Wc","channel 2")</f>
        <v>channel 2</v>
      </c>
    </row>
    <row r="63">
      <c r="B63" s="110" t="s">
        <v>2521</v>
      </c>
      <c r="C63" s="135" t="s">
        <v>16</v>
      </c>
      <c r="D63" s="112" t="s">
        <v>4284</v>
      </c>
      <c r="E63" s="158" t="str">
        <f>HYPERLINK("https://youtu.be/eRwPZzguy7k","channel 1")</f>
        <v>channel 1</v>
      </c>
    </row>
    <row r="64">
      <c r="B64" s="110" t="s">
        <v>4282</v>
      </c>
      <c r="C64" s="135" t="s">
        <v>301</v>
      </c>
      <c r="D64" s="112" t="s">
        <v>4283</v>
      </c>
      <c r="E64" s="139" t="str">
        <f>HYPERLINK("https://youtu.be/79p7Ay6rUxs","channel 2")</f>
        <v>channel 2</v>
      </c>
    </row>
    <row r="65">
      <c r="B65" s="110" t="s">
        <v>3632</v>
      </c>
      <c r="C65" s="135" t="s">
        <v>208</v>
      </c>
      <c r="D65" s="112" t="s">
        <v>4284</v>
      </c>
      <c r="E65" s="158" t="str">
        <f>HYPERLINK("https://youtu.be/wV5KhtyIH5w","channel 1")</f>
        <v>channel 1</v>
      </c>
    </row>
    <row r="66">
      <c r="B66" s="110" t="s">
        <v>2521</v>
      </c>
      <c r="C66" s="135" t="s">
        <v>196</v>
      </c>
      <c r="D66" s="112" t="s">
        <v>4283</v>
      </c>
      <c r="E66" s="139" t="str">
        <f>HYPERLINK("https://youtu.be/MxoNxZqoX7c","channel 2")</f>
        <v>channel 2</v>
      </c>
    </row>
    <row r="67">
      <c r="B67" s="173" t="s">
        <v>3410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61" t="s">
        <v>4110</v>
      </c>
      <c r="C69" s="179" t="s">
        <v>301</v>
      </c>
      <c r="D69" s="180" t="s">
        <v>873</v>
      </c>
      <c r="E69" s="158" t="str">
        <f>HYPERLINK("https://youtu.be/DsxRdbZalFY","channel 1")</f>
        <v>channel 1</v>
      </c>
    </row>
    <row r="70">
      <c r="B70" s="110" t="s">
        <v>4151</v>
      </c>
      <c r="C70" s="135" t="s">
        <v>279</v>
      </c>
      <c r="D70" s="112" t="s">
        <v>3977</v>
      </c>
      <c r="E70" s="139" t="str">
        <f>HYPERLINK("https://youtu.be/uCxE_C6AEWA","channel 2")</f>
        <v>channel 2</v>
      </c>
    </row>
    <row r="71">
      <c r="B71" s="110" t="s">
        <v>4285</v>
      </c>
      <c r="C71" s="135" t="s">
        <v>173</v>
      </c>
      <c r="D71" s="112" t="s">
        <v>4110</v>
      </c>
      <c r="E71" s="158" t="str">
        <f>HYPERLINK("https://youtu.be/uWQDd5nQoiU","channel 1")</f>
        <v>channel 1</v>
      </c>
    </row>
    <row r="72">
      <c r="B72" s="110" t="s">
        <v>4151</v>
      </c>
      <c r="C72" s="135" t="s">
        <v>280</v>
      </c>
      <c r="D72" s="112" t="s">
        <v>873</v>
      </c>
      <c r="E72" s="139" t="str">
        <f>HYPERLINK("https://youtu.be/pa83KLB-2Hg","channel 2")</f>
        <v>channel 2</v>
      </c>
    </row>
    <row r="73">
      <c r="B73" s="110" t="s">
        <v>4285</v>
      </c>
      <c r="C73" s="135" t="s">
        <v>426</v>
      </c>
      <c r="D73" s="112" t="s">
        <v>3977</v>
      </c>
      <c r="E73" s="158" t="str">
        <f>HYPERLINK("https://youtu.be/qpikj65cz0Q","channel 1")</f>
        <v>channel 1</v>
      </c>
    </row>
    <row r="74">
      <c r="B74" s="110" t="s">
        <v>4151</v>
      </c>
      <c r="C74" s="135" t="s">
        <v>426</v>
      </c>
      <c r="D74" s="112" t="s">
        <v>4110</v>
      </c>
      <c r="E74" s="139" t="str">
        <f>HYPERLINK("https://youtu.be/FxMZBbBgXlM","channel 2")</f>
        <v>channel 2</v>
      </c>
    </row>
    <row r="75">
      <c r="B75" s="110" t="s">
        <v>4285</v>
      </c>
      <c r="C75" s="135" t="s">
        <v>219</v>
      </c>
      <c r="D75" s="112" t="s">
        <v>873</v>
      </c>
      <c r="E75" s="158" t="str">
        <f>HYPERLINK("https://youtu.be/VTUPyuCeW_U","channel 1")</f>
        <v>channel 1</v>
      </c>
    </row>
    <row r="76">
      <c r="B76" s="110" t="s">
        <v>3977</v>
      </c>
      <c r="C76" s="135" t="s">
        <v>208</v>
      </c>
      <c r="D76" s="112" t="s">
        <v>4110</v>
      </c>
      <c r="E76" s="139" t="str">
        <f>HYPERLINK("https://youtu.be/T3d3Qn-_U_0","channel 2")</f>
        <v>channel 2</v>
      </c>
    </row>
    <row r="77">
      <c r="B77" s="110" t="s">
        <v>4285</v>
      </c>
      <c r="C77" s="135" t="s">
        <v>18</v>
      </c>
      <c r="D77" s="112" t="s">
        <v>4151</v>
      </c>
      <c r="E77" s="158" t="str">
        <f>HYPERLINK("https://youtu.be/_RJOfVvhn-4","channel 1")</f>
        <v>channel 1</v>
      </c>
    </row>
    <row r="78">
      <c r="B78" s="110" t="s">
        <v>3977</v>
      </c>
      <c r="C78" s="135" t="s">
        <v>181</v>
      </c>
      <c r="D78" s="112" t="s">
        <v>873</v>
      </c>
      <c r="E78" s="139" t="str">
        <f>HYPERLINK("https://youtu.be/hyyB-g9Cbbo","channel 2")</f>
        <v>channel 2</v>
      </c>
    </row>
    <row r="79">
      <c r="B79" s="110" t="s">
        <v>873</v>
      </c>
      <c r="C79" s="135" t="s">
        <v>1114</v>
      </c>
      <c r="D79" s="112" t="s">
        <v>4110</v>
      </c>
      <c r="E79" s="158" t="str">
        <f>HYPERLINK("https://youtu.be/oHM_kXIlqZ4","channel 1")</f>
        <v>channel 1</v>
      </c>
    </row>
    <row r="80">
      <c r="B80" s="110" t="s">
        <v>3977</v>
      </c>
      <c r="C80" s="135" t="s">
        <v>209</v>
      </c>
      <c r="D80" s="112" t="s">
        <v>4151</v>
      </c>
      <c r="E80" s="139" t="str">
        <f>HYPERLINK("https://youtu.be/peg7GW2vf9c","channel 2")</f>
        <v>channel 2</v>
      </c>
    </row>
    <row r="81">
      <c r="B81" s="110" t="s">
        <v>4110</v>
      </c>
      <c r="C81" s="135" t="s">
        <v>517</v>
      </c>
      <c r="D81" s="112" t="s">
        <v>4285</v>
      </c>
      <c r="E81" s="158" t="str">
        <f>HYPERLINK("https://youtu.be/szsWQViD2ts","channel 1")</f>
        <v>channel 1</v>
      </c>
    </row>
    <row r="82">
      <c r="B82" s="110" t="s">
        <v>873</v>
      </c>
      <c r="C82" s="135" t="s">
        <v>165</v>
      </c>
      <c r="D82" s="112" t="s">
        <v>4151</v>
      </c>
      <c r="E82" s="139" t="str">
        <f>HYPERLINK("https://youtu.be/6Vf02H9-Pmc","channel 2")</f>
        <v>channel 2</v>
      </c>
    </row>
    <row r="83">
      <c r="B83" s="110" t="s">
        <v>3977</v>
      </c>
      <c r="C83" s="135" t="s">
        <v>162</v>
      </c>
      <c r="D83" s="112" t="s">
        <v>4285</v>
      </c>
      <c r="E83" s="158" t="str">
        <f>HYPERLINK("https://youtu.be/4eX7PuhoJlY","channel 1")</f>
        <v>channel 1</v>
      </c>
    </row>
    <row r="84">
      <c r="B84" s="110" t="s">
        <v>4110</v>
      </c>
      <c r="C84" s="135" t="s">
        <v>323</v>
      </c>
      <c r="D84" s="112" t="s">
        <v>4151</v>
      </c>
      <c r="E84" s="139" t="str">
        <f>HYPERLINK("https://youtu.be/NiPq1C6I1Qk","channel 2")</f>
        <v>channel 2</v>
      </c>
    </row>
    <row r="85">
      <c r="B85" s="110" t="s">
        <v>873</v>
      </c>
      <c r="C85" s="135" t="s">
        <v>155</v>
      </c>
      <c r="D85" s="112" t="s">
        <v>4285</v>
      </c>
      <c r="E85" s="158" t="str">
        <f>HYPERLINK("https://youtu.be/BC17bdM-fj0","channel 1")</f>
        <v>channel 1</v>
      </c>
    </row>
    <row r="86">
      <c r="B86" s="110" t="s">
        <v>4110</v>
      </c>
      <c r="C86" s="135" t="s">
        <v>301</v>
      </c>
      <c r="D86" s="112" t="s">
        <v>3977</v>
      </c>
      <c r="E86" s="139" t="str">
        <f>HYPERLINK("https://youtu.be/kEOxZWJQH9c","channel 2")</f>
        <v>channel 2</v>
      </c>
    </row>
    <row r="87">
      <c r="B87" s="110" t="s">
        <v>4151</v>
      </c>
      <c r="C87" s="135" t="s">
        <v>237</v>
      </c>
      <c r="D87" s="112" t="s">
        <v>4285</v>
      </c>
      <c r="E87" s="158" t="str">
        <f>HYPERLINK("https://youtu.be/qpKr9hA8epw","channel 1")</f>
        <v>channel 1</v>
      </c>
    </row>
    <row r="88">
      <c r="B88" s="110" t="s">
        <v>873</v>
      </c>
      <c r="C88" s="135" t="s">
        <v>164</v>
      </c>
      <c r="D88" s="112" t="s">
        <v>3977</v>
      </c>
      <c r="E88" s="139" t="str">
        <f>HYPERLINK("https://youtu.be/2Dki-xAZMSM","channel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2" t="s">
        <v>4286</v>
      </c>
      <c r="C1" s="37"/>
      <c r="D1" s="38"/>
      <c r="E1" s="183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3923</v>
      </c>
      <c r="C3" s="179" t="s">
        <v>7</v>
      </c>
      <c r="D3" s="56" t="s">
        <v>1684</v>
      </c>
      <c r="E3" s="11" t="str">
        <f>HYPERLINK("https://youtu.be/zY4h6ZGeac4","channel 1")</f>
        <v>channel 1</v>
      </c>
    </row>
    <row r="4">
      <c r="B4" s="123" t="s">
        <v>3839</v>
      </c>
      <c r="C4" s="135" t="s">
        <v>351</v>
      </c>
      <c r="D4" s="123" t="s">
        <v>1778</v>
      </c>
      <c r="E4" s="11" t="str">
        <f>HYPERLINK("https://youtu.be/q945mtqwzGU","channel 2")</f>
        <v>channel 2</v>
      </c>
    </row>
    <row r="5">
      <c r="B5" s="123" t="s">
        <v>3711</v>
      </c>
      <c r="C5" s="135" t="s">
        <v>184</v>
      </c>
      <c r="D5" s="123" t="s">
        <v>3923</v>
      </c>
      <c r="E5" s="11" t="str">
        <f>HYPERLINK("https://youtu.be/oRptKGnA91g","channel 1")</f>
        <v>channel 1</v>
      </c>
    </row>
    <row r="6">
      <c r="B6" s="123" t="s">
        <v>3839</v>
      </c>
      <c r="C6" s="135" t="s">
        <v>17</v>
      </c>
      <c r="D6" s="123" t="s">
        <v>1684</v>
      </c>
      <c r="E6" s="11" t="str">
        <f>HYPERLINK("https://youtu.be/2RcU7RHKx8Y","channel 2")</f>
        <v>channel 2</v>
      </c>
    </row>
    <row r="7">
      <c r="B7" s="123" t="s">
        <v>3711</v>
      </c>
      <c r="C7" s="135" t="s">
        <v>24</v>
      </c>
      <c r="D7" s="123" t="s">
        <v>1778</v>
      </c>
      <c r="E7" s="11" t="str">
        <f>HYPERLINK("https://youtu.be/3uECzRmebnY","channel 1")</f>
        <v>channel 1</v>
      </c>
    </row>
    <row r="8">
      <c r="B8" s="123" t="s">
        <v>3839</v>
      </c>
      <c r="C8" s="135" t="s">
        <v>280</v>
      </c>
      <c r="D8" s="123" t="s">
        <v>3923</v>
      </c>
      <c r="E8" s="11" t="str">
        <f>HYPERLINK("https://youtu.be/QMmH1T4Le2Y","channel 2")</f>
        <v>channel 2</v>
      </c>
    </row>
    <row r="9">
      <c r="B9" s="123" t="s">
        <v>3711</v>
      </c>
      <c r="C9" s="135" t="s">
        <v>22</v>
      </c>
      <c r="D9" s="123" t="s">
        <v>1684</v>
      </c>
      <c r="E9" s="11" t="str">
        <f>HYPERLINK("https://youtu.be/9DDgOSHU9kA","channel 1")</f>
        <v>channel 1</v>
      </c>
    </row>
    <row r="10">
      <c r="B10" s="123" t="s">
        <v>1778</v>
      </c>
      <c r="C10" s="135" t="s">
        <v>233</v>
      </c>
      <c r="D10" s="123" t="s">
        <v>3923</v>
      </c>
      <c r="E10" s="11" t="str">
        <f>HYPERLINK("https://youtu.be/jYH8ucH-xvY","channel 2")</f>
        <v>channel 2</v>
      </c>
    </row>
    <row r="11">
      <c r="B11" s="123" t="s">
        <v>3711</v>
      </c>
      <c r="C11" s="135" t="s">
        <v>185</v>
      </c>
      <c r="D11" s="123" t="s">
        <v>3839</v>
      </c>
      <c r="E11" s="11" t="str">
        <f>HYPERLINK("https://youtu.be/BrF0phD-qq8","channel 1")</f>
        <v>channel 1</v>
      </c>
    </row>
    <row r="12">
      <c r="B12" s="123" t="s">
        <v>1778</v>
      </c>
      <c r="C12" s="135" t="s">
        <v>688</v>
      </c>
      <c r="D12" s="123" t="s">
        <v>1684</v>
      </c>
      <c r="E12" s="11" t="str">
        <f>HYPERLINK("https://youtu.be/JSNBXgYtPgM","channel 2")</f>
        <v>channel 2</v>
      </c>
    </row>
    <row r="13">
      <c r="B13" s="123" t="s">
        <v>1684</v>
      </c>
      <c r="C13" s="135" t="s">
        <v>251</v>
      </c>
      <c r="D13" s="123" t="s">
        <v>3923</v>
      </c>
      <c r="E13" s="11" t="str">
        <f>HYPERLINK("https://youtu.be/tvGlKdQBK0M","channel 1")</f>
        <v>channel 1</v>
      </c>
    </row>
    <row r="14">
      <c r="B14" s="123" t="s">
        <v>1778</v>
      </c>
      <c r="C14" s="135" t="s">
        <v>210</v>
      </c>
      <c r="D14" s="123" t="s">
        <v>3839</v>
      </c>
      <c r="E14" s="11" t="str">
        <f>HYPERLINK("https://youtu.be/IQm8tJhd6UM","channel 2")</f>
        <v>channel 2</v>
      </c>
    </row>
    <row r="15">
      <c r="B15" s="123" t="s">
        <v>3923</v>
      </c>
      <c r="C15" s="135" t="s">
        <v>545</v>
      </c>
      <c r="D15" s="123" t="s">
        <v>3711</v>
      </c>
      <c r="E15" s="11" t="str">
        <f>HYPERLINK("https://youtu.be/iud33tUp9_w","channel 1")</f>
        <v>channel 1</v>
      </c>
    </row>
    <row r="16">
      <c r="B16" s="123" t="s">
        <v>1684</v>
      </c>
      <c r="C16" s="135" t="s">
        <v>7</v>
      </c>
      <c r="D16" s="123" t="s">
        <v>3839</v>
      </c>
      <c r="E16" s="11" t="str">
        <f>HYPERLINK("https://youtu.be/k5jkyzk6V-M","channel 2")</f>
        <v>channel 2</v>
      </c>
    </row>
    <row r="17">
      <c r="B17" s="123" t="s">
        <v>1778</v>
      </c>
      <c r="C17" s="135" t="s">
        <v>344</v>
      </c>
      <c r="D17" s="123" t="s">
        <v>3711</v>
      </c>
      <c r="E17" s="11" t="str">
        <f>HYPERLINK("https://youtu.be/H3XTrBw29dU","channel 1")</f>
        <v>channel 1</v>
      </c>
    </row>
    <row r="18">
      <c r="B18" s="123" t="s">
        <v>3923</v>
      </c>
      <c r="C18" s="135" t="s">
        <v>298</v>
      </c>
      <c r="D18" s="123" t="s">
        <v>3839</v>
      </c>
      <c r="E18" s="11" t="str">
        <f>HYPERLINK("https://youtu.be/n9wa1V2bqyQ","channel 2")</f>
        <v>channel 2</v>
      </c>
    </row>
    <row r="19">
      <c r="B19" s="123" t="s">
        <v>1684</v>
      </c>
      <c r="C19" s="135" t="s">
        <v>244</v>
      </c>
      <c r="D19" s="123" t="s">
        <v>3711</v>
      </c>
      <c r="E19" s="11" t="str">
        <f>HYPERLINK("https://youtu.be/JYqwz75tqOs","channel 1")</f>
        <v>channel 1</v>
      </c>
    </row>
    <row r="20">
      <c r="B20" s="123" t="s">
        <v>3923</v>
      </c>
      <c r="C20" s="135" t="s">
        <v>336</v>
      </c>
      <c r="D20" s="123" t="s">
        <v>1778</v>
      </c>
      <c r="E20" s="11" t="str">
        <f>HYPERLINK("https://youtu.be/gbT4SgL7c_o","channel 2")</f>
        <v>channel 2</v>
      </c>
    </row>
    <row r="21">
      <c r="B21" s="123" t="s">
        <v>3839</v>
      </c>
      <c r="C21" s="135" t="s">
        <v>366</v>
      </c>
      <c r="D21" s="123" t="s">
        <v>3711</v>
      </c>
      <c r="E21" s="11" t="str">
        <f>HYPERLINK("https://youtu.be/cB1Mgie10NE","channel 1")</f>
        <v>channel 1</v>
      </c>
    </row>
    <row r="22">
      <c r="B22" s="123" t="s">
        <v>1684</v>
      </c>
      <c r="C22" s="135" t="s">
        <v>524</v>
      </c>
      <c r="D22" s="123" t="s">
        <v>1778</v>
      </c>
      <c r="E22" s="11" t="str">
        <f>HYPERLINK("https://youtu.be/a4YW_H9fUaA","channel 2")</f>
        <v>channel 2</v>
      </c>
    </row>
    <row r="23">
      <c r="B23" s="173" t="s">
        <v>2735</v>
      </c>
      <c r="C23" s="37"/>
      <c r="D23" s="38"/>
      <c r="E23" s="11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56" t="s">
        <v>4287</v>
      </c>
      <c r="C25" s="135" t="s">
        <v>688</v>
      </c>
      <c r="D25" s="56" t="s">
        <v>1095</v>
      </c>
      <c r="E25" s="11" t="str">
        <f>HYPERLINK("https://youtu.be/sOewNgzYvd4","channel 1")</f>
        <v>channel 1</v>
      </c>
    </row>
    <row r="26">
      <c r="B26" s="123" t="s">
        <v>4226</v>
      </c>
      <c r="C26" s="135" t="s">
        <v>222</v>
      </c>
      <c r="D26" s="123" t="s">
        <v>4288</v>
      </c>
      <c r="E26" s="11" t="str">
        <f>HYPERLINK("https://youtu.be/bVbjSIhijtY","channel 2")</f>
        <v>channel 2</v>
      </c>
    </row>
    <row r="27">
      <c r="B27" s="123" t="s">
        <v>4289</v>
      </c>
      <c r="C27" s="135" t="s">
        <v>1153</v>
      </c>
      <c r="D27" s="123" t="s">
        <v>4287</v>
      </c>
      <c r="E27" s="11" t="str">
        <f>HYPERLINK("https://youtu.be/97Mkrnw3jXM","channel 1")</f>
        <v>channel 1</v>
      </c>
    </row>
    <row r="28">
      <c r="B28" s="123" t="s">
        <v>4226</v>
      </c>
      <c r="C28" s="135" t="s">
        <v>219</v>
      </c>
      <c r="D28" s="123" t="s">
        <v>1095</v>
      </c>
      <c r="E28" s="11" t="str">
        <f>HYPERLINK("https://youtu.be/U2as3roJ_3I","channel 2")</f>
        <v>channel 2</v>
      </c>
    </row>
    <row r="29">
      <c r="B29" s="123" t="s">
        <v>4289</v>
      </c>
      <c r="C29" s="135" t="s">
        <v>162</v>
      </c>
      <c r="D29" s="123" t="s">
        <v>4288</v>
      </c>
      <c r="E29" s="11" t="str">
        <f>HYPERLINK("https://youtu.be/66B_S4a6XPU","channel 1")</f>
        <v>channel 1</v>
      </c>
    </row>
    <row r="30">
      <c r="B30" s="123" t="s">
        <v>4226</v>
      </c>
      <c r="C30" s="135" t="s">
        <v>257</v>
      </c>
      <c r="D30" s="123" t="s">
        <v>4287</v>
      </c>
      <c r="E30" s="11" t="str">
        <f>HYPERLINK("https://youtu.be/h46gg352pZE","channel 2")</f>
        <v>channel 2</v>
      </c>
    </row>
    <row r="31">
      <c r="B31" s="123" t="s">
        <v>4289</v>
      </c>
      <c r="C31" s="135" t="s">
        <v>155</v>
      </c>
      <c r="D31" s="123" t="s">
        <v>1095</v>
      </c>
      <c r="E31" s="11" t="str">
        <f>HYPERLINK("https://youtu.be/7Q3RtvanmNc","channel 1")</f>
        <v>channel 1</v>
      </c>
    </row>
    <row r="32">
      <c r="B32" s="123" t="s">
        <v>4288</v>
      </c>
      <c r="C32" s="77" t="s">
        <v>163</v>
      </c>
      <c r="D32" s="123" t="s">
        <v>4287</v>
      </c>
      <c r="E32" s="11" t="str">
        <f>HYPERLINK("https://youtu.be/PytnjBsoizI","channel 2")</f>
        <v>channel 2</v>
      </c>
    </row>
    <row r="33">
      <c r="B33" s="123" t="s">
        <v>4289</v>
      </c>
      <c r="C33" s="135" t="s">
        <v>7</v>
      </c>
      <c r="D33" s="123" t="s">
        <v>4226</v>
      </c>
      <c r="E33" s="11" t="str">
        <f>HYPERLINK("https://youtu.be/xbJeAZaEL3Q","channel 1")</f>
        <v>channel 1</v>
      </c>
    </row>
    <row r="34">
      <c r="B34" s="123" t="s">
        <v>4288</v>
      </c>
      <c r="C34" s="135" t="s">
        <v>220</v>
      </c>
      <c r="D34" s="123" t="s">
        <v>1095</v>
      </c>
      <c r="E34" s="11" t="str">
        <f>HYPERLINK("https://youtu.be/MvIKfsl688E","channel 2")</f>
        <v>channel 2</v>
      </c>
    </row>
    <row r="35">
      <c r="B35" s="123" t="s">
        <v>1095</v>
      </c>
      <c r="C35" s="135" t="s">
        <v>218</v>
      </c>
      <c r="D35" s="123" t="s">
        <v>4287</v>
      </c>
      <c r="E35" s="11" t="str">
        <f>HYPERLINK("https://youtu.be/KpMcYqaZEd8","channel 1")</f>
        <v>channel 1</v>
      </c>
    </row>
    <row r="36">
      <c r="B36" s="123" t="s">
        <v>4288</v>
      </c>
      <c r="C36" s="135" t="s">
        <v>158</v>
      </c>
      <c r="D36" s="123" t="s">
        <v>4226</v>
      </c>
      <c r="E36" s="11" t="str">
        <f>HYPERLINK("https://youtu.be/C5oMYiEcDiE","channel 2")</f>
        <v>channel 2</v>
      </c>
    </row>
    <row r="37">
      <c r="B37" s="123" t="s">
        <v>4287</v>
      </c>
      <c r="C37" s="135" t="s">
        <v>163</v>
      </c>
      <c r="D37" s="123" t="s">
        <v>4289</v>
      </c>
      <c r="E37" s="11" t="str">
        <f>HYPERLINK("https://youtu.be/KpMcYqaZEd8","channel 1")</f>
        <v>channel 1</v>
      </c>
    </row>
    <row r="38">
      <c r="B38" s="123" t="s">
        <v>1095</v>
      </c>
      <c r="C38" s="135" t="s">
        <v>440</v>
      </c>
      <c r="D38" s="123" t="s">
        <v>4226</v>
      </c>
      <c r="E38" s="11" t="str">
        <f>HYPERLINK("https://youtu.be/b_lzAd_KUBo","channel 2")</f>
        <v>channel 2</v>
      </c>
    </row>
    <row r="39">
      <c r="B39" s="123" t="s">
        <v>4288</v>
      </c>
      <c r="C39" s="135" t="s">
        <v>23</v>
      </c>
      <c r="D39" s="123" t="s">
        <v>4289</v>
      </c>
      <c r="E39" s="11" t="str">
        <f>HYPERLINK("https://youtu.be/YUwzo-j-EOA","channel 1")</f>
        <v>channel 1</v>
      </c>
    </row>
    <row r="40">
      <c r="B40" s="123" t="s">
        <v>4287</v>
      </c>
      <c r="C40" s="135" t="s">
        <v>1197</v>
      </c>
      <c r="D40" s="123" t="s">
        <v>4226</v>
      </c>
      <c r="E40" s="11" t="str">
        <f>HYPERLINK("https://youtu.be/88X-0BYaeVo","channel 2")</f>
        <v>channel 2</v>
      </c>
    </row>
    <row r="41">
      <c r="B41" s="123" t="s">
        <v>1095</v>
      </c>
      <c r="C41" s="135" t="s">
        <v>344</v>
      </c>
      <c r="D41" s="123" t="s">
        <v>4289</v>
      </c>
      <c r="E41" s="11" t="str">
        <f>HYPERLINK("https://youtu.be/yRK84FJi96k","channel 1")</f>
        <v>channel 1</v>
      </c>
    </row>
    <row r="42">
      <c r="B42" s="123" t="s">
        <v>4287</v>
      </c>
      <c r="C42" s="135" t="s">
        <v>536</v>
      </c>
      <c r="D42" s="123" t="s">
        <v>4288</v>
      </c>
      <c r="E42" s="11" t="str">
        <f>HYPERLINK("https://youtu.be/YFeegw0Yw-I","channel 2")</f>
        <v>channel 2</v>
      </c>
    </row>
    <row r="43">
      <c r="B43" s="123" t="s">
        <v>4226</v>
      </c>
      <c r="C43" s="135" t="s">
        <v>158</v>
      </c>
      <c r="D43" s="123" t="s">
        <v>4289</v>
      </c>
      <c r="E43" s="11" t="str">
        <f>HYPERLINK("https://youtu.be/6kNgcj5U1DI","channel 1")</f>
        <v>channel 1</v>
      </c>
    </row>
    <row r="44">
      <c r="B44" s="123" t="s">
        <v>1095</v>
      </c>
      <c r="C44" s="135" t="s">
        <v>20</v>
      </c>
      <c r="D44" s="123" t="s">
        <v>4288</v>
      </c>
      <c r="E44" s="11" t="str">
        <f>HYPERLINK("https://youtu.be/og-F0rdY9vA","channel 2")</f>
        <v>channel 2</v>
      </c>
    </row>
    <row r="45">
      <c r="B45" s="172"/>
      <c r="C45" s="172"/>
      <c r="D45" s="172"/>
      <c r="E45" s="172"/>
    </row>
    <row r="46">
      <c r="B46" s="172"/>
      <c r="C46" s="172"/>
      <c r="D46" s="172"/>
      <c r="E46" s="172"/>
    </row>
    <row r="47">
      <c r="B47" s="172"/>
      <c r="C47" s="172"/>
      <c r="D47" s="172"/>
      <c r="E47" s="172"/>
    </row>
    <row r="48">
      <c r="B48" s="172"/>
      <c r="C48" s="172"/>
      <c r="D48" s="172"/>
      <c r="E48" s="172"/>
    </row>
    <row r="49">
      <c r="B49" s="172"/>
      <c r="C49" s="172"/>
      <c r="D49" s="172"/>
      <c r="E49" s="172"/>
    </row>
    <row r="50">
      <c r="B50" s="172"/>
      <c r="C50" s="172"/>
      <c r="D50" s="172"/>
      <c r="E50" s="172"/>
    </row>
    <row r="51">
      <c r="B51" s="172"/>
      <c r="C51" s="172"/>
      <c r="D51" s="172"/>
      <c r="E51" s="172"/>
    </row>
    <row r="52">
      <c r="B52" s="172"/>
      <c r="C52" s="172"/>
      <c r="D52" s="172"/>
      <c r="E52" s="172"/>
    </row>
    <row r="53">
      <c r="B53" s="172"/>
      <c r="C53" s="172"/>
      <c r="D53" s="172"/>
      <c r="E53" s="172"/>
    </row>
    <row r="54">
      <c r="B54" s="172"/>
      <c r="C54" s="172"/>
      <c r="D54" s="172"/>
      <c r="E54" s="172"/>
    </row>
    <row r="55">
      <c r="B55" s="172"/>
      <c r="C55" s="172"/>
      <c r="D55" s="172"/>
      <c r="E55" s="172"/>
    </row>
    <row r="56">
      <c r="B56" s="172"/>
      <c r="C56" s="172"/>
      <c r="D56" s="172"/>
      <c r="E56" s="172"/>
    </row>
    <row r="57">
      <c r="B57" s="172"/>
      <c r="C57" s="172"/>
      <c r="D57" s="172"/>
      <c r="E57" s="172"/>
    </row>
    <row r="58">
      <c r="B58" s="172"/>
      <c r="C58" s="172"/>
      <c r="D58" s="172"/>
      <c r="E58" s="172"/>
    </row>
    <row r="59">
      <c r="B59" s="172"/>
      <c r="C59" s="172"/>
      <c r="D59" s="172"/>
      <c r="E59" s="172"/>
    </row>
    <row r="60">
      <c r="B60" s="172"/>
      <c r="C60" s="172"/>
      <c r="D60" s="172"/>
      <c r="E60" s="172"/>
    </row>
    <row r="61">
      <c r="B61" s="172"/>
      <c r="C61" s="172"/>
      <c r="D61" s="172"/>
      <c r="E61" s="172"/>
    </row>
    <row r="62">
      <c r="B62" s="172"/>
      <c r="C62" s="172"/>
      <c r="D62" s="172"/>
      <c r="E62" s="172"/>
    </row>
    <row r="63">
      <c r="B63" s="172"/>
      <c r="C63" s="172"/>
      <c r="D63" s="172"/>
      <c r="E63" s="172"/>
    </row>
    <row r="64">
      <c r="B64" s="172"/>
      <c r="C64" s="172"/>
      <c r="D64" s="172"/>
      <c r="E64" s="172"/>
    </row>
    <row r="65">
      <c r="B65" s="172"/>
      <c r="C65" s="172"/>
      <c r="D65" s="172"/>
      <c r="E65" s="172"/>
    </row>
    <row r="66">
      <c r="B66" s="172"/>
      <c r="C66" s="172"/>
      <c r="D66" s="172"/>
      <c r="E66" s="172"/>
    </row>
    <row r="67">
      <c r="B67" s="172"/>
      <c r="C67" s="172"/>
      <c r="D67" s="172"/>
      <c r="E67" s="172"/>
    </row>
    <row r="68">
      <c r="B68" s="172"/>
      <c r="C68" s="172"/>
      <c r="D68" s="172"/>
      <c r="E68" s="172"/>
    </row>
    <row r="69">
      <c r="B69" s="172"/>
      <c r="C69" s="172"/>
      <c r="D69" s="172"/>
      <c r="E69" s="172"/>
    </row>
    <row r="70">
      <c r="B70" s="172"/>
      <c r="C70" s="172"/>
      <c r="D70" s="172"/>
      <c r="E70" s="172"/>
    </row>
    <row r="71">
      <c r="B71" s="172"/>
      <c r="C71" s="172"/>
      <c r="D71" s="172"/>
      <c r="E71" s="172"/>
    </row>
    <row r="72">
      <c r="B72" s="172"/>
      <c r="C72" s="172"/>
      <c r="D72" s="172"/>
      <c r="E72" s="172"/>
    </row>
    <row r="73">
      <c r="B73" s="172"/>
      <c r="C73" s="172"/>
      <c r="D73" s="172"/>
      <c r="E73" s="172"/>
    </row>
    <row r="74">
      <c r="B74" s="172"/>
      <c r="C74" s="172"/>
      <c r="D74" s="172"/>
      <c r="E74" s="172"/>
    </row>
    <row r="75">
      <c r="B75" s="172"/>
      <c r="C75" s="172"/>
      <c r="D75" s="172"/>
      <c r="E75" s="172"/>
    </row>
    <row r="76">
      <c r="B76" s="172"/>
      <c r="C76" s="172"/>
      <c r="D76" s="172"/>
      <c r="E76" s="172"/>
    </row>
    <row r="77">
      <c r="B77" s="172"/>
      <c r="C77" s="172"/>
      <c r="D77" s="172"/>
      <c r="E77" s="172"/>
    </row>
    <row r="78">
      <c r="B78" s="172"/>
      <c r="C78" s="172"/>
      <c r="D78" s="172"/>
      <c r="E78" s="172"/>
    </row>
    <row r="79">
      <c r="B79" s="172"/>
      <c r="C79" s="172"/>
      <c r="D79" s="172"/>
      <c r="E79" s="172"/>
    </row>
    <row r="80">
      <c r="B80" s="172"/>
      <c r="C80" s="172"/>
      <c r="D80" s="172"/>
      <c r="E80" s="172"/>
    </row>
    <row r="81">
      <c r="B81" s="172"/>
      <c r="C81" s="172"/>
      <c r="D81" s="172"/>
      <c r="E81" s="172"/>
    </row>
    <row r="82">
      <c r="B82" s="172"/>
      <c r="C82" s="172"/>
      <c r="D82" s="172"/>
      <c r="E82" s="172"/>
    </row>
    <row r="83">
      <c r="B83" s="172"/>
      <c r="C83" s="172"/>
      <c r="D83" s="172"/>
      <c r="E83" s="172"/>
    </row>
    <row r="84">
      <c r="B84" s="172"/>
      <c r="C84" s="172"/>
      <c r="D84" s="172"/>
      <c r="E84" s="172"/>
    </row>
    <row r="85">
      <c r="B85" s="172"/>
      <c r="C85" s="172"/>
      <c r="D85" s="172"/>
      <c r="E85" s="172"/>
    </row>
    <row r="86">
      <c r="B86" s="172"/>
      <c r="C86" s="172"/>
      <c r="D86" s="172"/>
      <c r="E86" s="172"/>
    </row>
    <row r="87">
      <c r="B87" s="172"/>
      <c r="C87" s="172"/>
      <c r="D87" s="172"/>
      <c r="E87" s="172"/>
    </row>
    <row r="88">
      <c r="B88" s="172"/>
      <c r="C88" s="172"/>
      <c r="D88" s="172"/>
      <c r="E88" s="172"/>
    </row>
    <row r="89">
      <c r="B89" s="172"/>
      <c r="C89" s="172"/>
      <c r="D89" s="172"/>
      <c r="E89" s="172"/>
    </row>
    <row r="90">
      <c r="B90" s="172"/>
      <c r="C90" s="172"/>
      <c r="D90" s="172"/>
      <c r="E90" s="172"/>
    </row>
    <row r="91">
      <c r="B91" s="172"/>
      <c r="C91" s="172"/>
      <c r="D91" s="172"/>
      <c r="E91" s="172"/>
    </row>
    <row r="92">
      <c r="B92" s="172"/>
      <c r="C92" s="172"/>
      <c r="D92" s="172"/>
      <c r="E92" s="172"/>
    </row>
    <row r="93">
      <c r="B93" s="172"/>
      <c r="C93" s="172"/>
      <c r="D93" s="172"/>
      <c r="E93" s="172"/>
    </row>
    <row r="94">
      <c r="B94" s="172"/>
      <c r="C94" s="172"/>
      <c r="D94" s="172"/>
      <c r="E94" s="172"/>
    </row>
    <row r="95">
      <c r="B95" s="172"/>
      <c r="C95" s="172"/>
      <c r="D95" s="172"/>
      <c r="E95" s="172"/>
    </row>
    <row r="96">
      <c r="B96" s="172"/>
      <c r="C96" s="172"/>
      <c r="D96" s="172"/>
      <c r="E96" s="172"/>
    </row>
    <row r="97">
      <c r="B97" s="172"/>
      <c r="C97" s="172"/>
      <c r="D97" s="172"/>
      <c r="E97" s="172"/>
    </row>
    <row r="98">
      <c r="B98" s="172"/>
      <c r="C98" s="172"/>
      <c r="D98" s="172"/>
      <c r="E98" s="172"/>
    </row>
    <row r="99">
      <c r="B99" s="172"/>
      <c r="C99" s="172"/>
      <c r="D99" s="172"/>
      <c r="E99" s="172"/>
    </row>
    <row r="100">
      <c r="B100" s="172"/>
      <c r="C100" s="172"/>
      <c r="D100" s="172"/>
      <c r="E100" s="172"/>
    </row>
    <row r="101">
      <c r="B101" s="172"/>
      <c r="C101" s="172"/>
      <c r="D101" s="172"/>
      <c r="E101" s="172"/>
    </row>
    <row r="102">
      <c r="B102" s="172"/>
      <c r="C102" s="172"/>
      <c r="D102" s="172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3">
    <mergeCell ref="A1:A88"/>
    <mergeCell ref="B1:D1"/>
    <mergeCell ref="B23:D23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4"/>
      <c r="C1" s="185" t="s">
        <v>4290</v>
      </c>
      <c r="D1" s="185"/>
      <c r="E1" s="183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4149</v>
      </c>
      <c r="C3" s="179" t="s">
        <v>366</v>
      </c>
      <c r="D3" s="56" t="s">
        <v>3559</v>
      </c>
      <c r="E3" s="11" t="str">
        <f>HYPERLINK("https://youtu.be/NlNDbBoZYOc","channel 1")</f>
        <v>channel 1</v>
      </c>
    </row>
    <row r="4">
      <c r="B4" s="123" t="s">
        <v>3625</v>
      </c>
      <c r="C4" s="135" t="s">
        <v>194</v>
      </c>
      <c r="D4" s="123" t="s">
        <v>3839</v>
      </c>
      <c r="E4" s="11" t="str">
        <f>HYPERLINK("https://youtu.be/anaF3UsX4nE","channel 2")</f>
        <v>channel 2</v>
      </c>
    </row>
    <row r="5">
      <c r="B5" s="123" t="s">
        <v>2262</v>
      </c>
      <c r="C5" s="135" t="s">
        <v>239</v>
      </c>
      <c r="D5" s="123" t="s">
        <v>4149</v>
      </c>
      <c r="E5" s="125" t="s">
        <v>9</v>
      </c>
    </row>
    <row r="6">
      <c r="B6" s="123" t="s">
        <v>3625</v>
      </c>
      <c r="C6" s="135" t="s">
        <v>181</v>
      </c>
      <c r="D6" s="123" t="s">
        <v>3559</v>
      </c>
      <c r="E6" s="11" t="str">
        <f>HYPERLINK("https://youtu.be/mq9bsOq4O1c","channel 2")</f>
        <v>channel 2</v>
      </c>
    </row>
    <row r="7">
      <c r="B7" s="123" t="s">
        <v>2262</v>
      </c>
      <c r="C7" s="135" t="s">
        <v>574</v>
      </c>
      <c r="D7" s="123" t="s">
        <v>3839</v>
      </c>
      <c r="E7" s="11" t="str">
        <f>HYPERLINK("https://youtu.be/I0qpRbx7f60","channel 1")</f>
        <v>channel 1</v>
      </c>
    </row>
    <row r="8">
      <c r="B8" s="123" t="s">
        <v>3625</v>
      </c>
      <c r="C8" s="135" t="s">
        <v>1123</v>
      </c>
      <c r="D8" s="123" t="s">
        <v>4149</v>
      </c>
      <c r="E8" s="11" t="str">
        <f>HYPERLINK("https://youtu.be/beDaHiZJcyA","channel 2")</f>
        <v>channel 2</v>
      </c>
    </row>
    <row r="9">
      <c r="B9" s="123" t="s">
        <v>2262</v>
      </c>
      <c r="C9" s="135" t="s">
        <v>281</v>
      </c>
      <c r="D9" s="123" t="s">
        <v>3559</v>
      </c>
      <c r="E9" s="11" t="str">
        <f>HYPERLINK("https://youtu.be/0qq8tB2lJcE","channel 1")</f>
        <v>channel 1</v>
      </c>
    </row>
    <row r="10">
      <c r="B10" s="123" t="s">
        <v>3839</v>
      </c>
      <c r="C10" s="135" t="s">
        <v>338</v>
      </c>
      <c r="D10" s="123" t="s">
        <v>4149</v>
      </c>
      <c r="E10" s="11" t="str">
        <f>HYPERLINK("https://youtu.be/WMNDWTQ973o","channel 2")</f>
        <v>channel 2</v>
      </c>
    </row>
    <row r="11">
      <c r="B11" s="123" t="s">
        <v>2262</v>
      </c>
      <c r="C11" s="135" t="s">
        <v>210</v>
      </c>
      <c r="D11" s="123" t="s">
        <v>3625</v>
      </c>
      <c r="E11" s="11" t="str">
        <f>HYPERLINK("https://youtu.be/_I2CuTw1W7U","channel 1")</f>
        <v>channel 1</v>
      </c>
    </row>
    <row r="12">
      <c r="B12" s="123" t="s">
        <v>3839</v>
      </c>
      <c r="C12" s="135" t="s">
        <v>507</v>
      </c>
      <c r="D12" s="123" t="s">
        <v>3559</v>
      </c>
      <c r="E12" s="11" t="str">
        <f>HYPERLINK("https://youtu.be/xaosXp9lyoY","channel 2")</f>
        <v>channel 2</v>
      </c>
    </row>
    <row r="13">
      <c r="B13" s="123" t="s">
        <v>3559</v>
      </c>
      <c r="C13" s="135" t="s">
        <v>1066</v>
      </c>
      <c r="D13" s="123" t="s">
        <v>4149</v>
      </c>
      <c r="E13" s="11" t="str">
        <f>HYPERLINK("https://youtu.be/tOa-qzMGlbU","channel 1")</f>
        <v>channel 1</v>
      </c>
    </row>
    <row r="14">
      <c r="B14" s="123" t="s">
        <v>3839</v>
      </c>
      <c r="C14" s="135" t="s">
        <v>165</v>
      </c>
      <c r="D14" s="123" t="s">
        <v>3625</v>
      </c>
      <c r="E14" s="11" t="str">
        <f>HYPERLINK("https://youtu.be/-9Hqh33i-yI","channel 2")</f>
        <v>channel 2</v>
      </c>
    </row>
    <row r="15">
      <c r="B15" s="123" t="s">
        <v>4149</v>
      </c>
      <c r="C15" s="135" t="s">
        <v>17</v>
      </c>
      <c r="D15" s="123" t="s">
        <v>2262</v>
      </c>
      <c r="E15" s="11" t="str">
        <f>HYPERLINK("https://youtu.be/tFyus3I5BWA","channel 1")</f>
        <v>channel 1</v>
      </c>
    </row>
    <row r="16">
      <c r="B16" s="123" t="s">
        <v>3559</v>
      </c>
      <c r="C16" s="135" t="s">
        <v>357</v>
      </c>
      <c r="D16" s="123" t="s">
        <v>3625</v>
      </c>
      <c r="E16" s="11" t="str">
        <f>HYPERLINK("https://youtu.be/9urIXL5g--I","channel 2")</f>
        <v>channel 2</v>
      </c>
    </row>
    <row r="17">
      <c r="B17" s="123" t="s">
        <v>3839</v>
      </c>
      <c r="C17" s="135" t="s">
        <v>271</v>
      </c>
      <c r="D17" s="123" t="s">
        <v>2262</v>
      </c>
      <c r="E17" s="11" t="str">
        <f>HYPERLINK("https://youtu.be/TGrzr3SNzH8","channel 1")</f>
        <v>channel 1</v>
      </c>
    </row>
    <row r="18">
      <c r="B18" s="123" t="s">
        <v>4149</v>
      </c>
      <c r="C18" s="135" t="s">
        <v>233</v>
      </c>
      <c r="D18" s="123" t="s">
        <v>3625</v>
      </c>
      <c r="E18" s="11" t="str">
        <f>HYPERLINK("https://youtu.be/f-NZX-S5pPo","channel 2")</f>
        <v>channel 2</v>
      </c>
    </row>
    <row r="19">
      <c r="B19" s="123" t="s">
        <v>3559</v>
      </c>
      <c r="C19" s="135" t="s">
        <v>16</v>
      </c>
      <c r="D19" s="123" t="s">
        <v>2262</v>
      </c>
      <c r="E19" s="11" t="str">
        <f>HYPERLINK("https://youtu.be/JL6RehX1Ork","channel 1")</f>
        <v>channel 1</v>
      </c>
    </row>
    <row r="20">
      <c r="B20" s="123" t="s">
        <v>4149</v>
      </c>
      <c r="C20" s="135" t="s">
        <v>496</v>
      </c>
      <c r="D20" s="123" t="s">
        <v>3839</v>
      </c>
      <c r="E20" s="11" t="str">
        <f>HYPERLINK("https://youtu.be/IzWAEaBH6Is","channel 2")</f>
        <v>channel 2</v>
      </c>
    </row>
    <row r="21">
      <c r="B21" s="123" t="s">
        <v>3625</v>
      </c>
      <c r="C21" s="135" t="s">
        <v>549</v>
      </c>
      <c r="D21" s="123" t="s">
        <v>2262</v>
      </c>
      <c r="E21" s="11" t="str">
        <f>HYPERLINK("https://youtu.be/vUbtIDliVPY","channel 1")</f>
        <v>channel 1</v>
      </c>
    </row>
    <row r="22">
      <c r="B22" s="123" t="s">
        <v>3559</v>
      </c>
      <c r="C22" s="135" t="s">
        <v>229</v>
      </c>
      <c r="D22" s="123" t="s">
        <v>3839</v>
      </c>
      <c r="E22" s="11" t="str">
        <f>HYPERLINK("https://youtu.be/UeC6PmLm5gE","channel 2")</f>
        <v>channel 2</v>
      </c>
    </row>
    <row r="23">
      <c r="B23" s="173" t="s">
        <v>4291</v>
      </c>
      <c r="C23" s="37"/>
      <c r="D23" s="38"/>
      <c r="E23" s="11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56" t="s">
        <v>4292</v>
      </c>
      <c r="C25" s="135" t="s">
        <v>454</v>
      </c>
      <c r="D25" s="56" t="s">
        <v>4293</v>
      </c>
      <c r="E25" s="11" t="str">
        <f>HYPERLINK("https://youtu.be/igHkj9XBC8g","channel 1")</f>
        <v>channel 1</v>
      </c>
    </row>
    <row r="26">
      <c r="B26" s="123" t="s">
        <v>4294</v>
      </c>
      <c r="C26" s="135" t="s">
        <v>41</v>
      </c>
      <c r="D26" s="123" t="s">
        <v>4258</v>
      </c>
      <c r="E26" s="11" t="str">
        <f>HYPERLINK("https://youtu.be/Z1JOWS2UC2M","channel 2")</f>
        <v>channel 2</v>
      </c>
    </row>
    <row r="27">
      <c r="B27" s="123" t="s">
        <v>883</v>
      </c>
      <c r="C27" s="135" t="s">
        <v>301</v>
      </c>
      <c r="D27" s="123" t="s">
        <v>4292</v>
      </c>
      <c r="E27" s="11" t="str">
        <f>HYPERLINK("https://youtu.be/oEMIdAei6bw","channel 1")</f>
        <v>channel 1</v>
      </c>
    </row>
    <row r="28">
      <c r="B28" s="123" t="s">
        <v>4294</v>
      </c>
      <c r="C28" s="135" t="s">
        <v>507</v>
      </c>
      <c r="D28" s="123" t="s">
        <v>4293</v>
      </c>
      <c r="E28" s="11" t="str">
        <f>HYPERLINK("https://youtu.be/8hEuzmTZig4","channel 2")</f>
        <v>channel 2</v>
      </c>
    </row>
    <row r="29">
      <c r="B29" s="123" t="s">
        <v>883</v>
      </c>
      <c r="C29" s="135" t="s">
        <v>279</v>
      </c>
      <c r="D29" s="123" t="s">
        <v>4258</v>
      </c>
      <c r="E29" s="11" t="str">
        <f>HYPERLINK("https://youtu.be/8IZ2WTf3_18","channel 1")</f>
        <v>channel 1</v>
      </c>
    </row>
    <row r="30">
      <c r="B30" s="123" t="s">
        <v>4294</v>
      </c>
      <c r="C30" s="135" t="s">
        <v>4295</v>
      </c>
      <c r="D30" s="123" t="s">
        <v>4292</v>
      </c>
      <c r="E30" s="11" t="str">
        <f>HYPERLINK("https://youtu.be/wXw0fmjVEtw","channel 2")</f>
        <v>channel 2</v>
      </c>
    </row>
    <row r="31">
      <c r="B31" s="123" t="s">
        <v>883</v>
      </c>
      <c r="C31" s="135" t="s">
        <v>219</v>
      </c>
      <c r="D31" s="123" t="s">
        <v>4293</v>
      </c>
      <c r="E31" s="11" t="str">
        <f>HYPERLINK("https://youtu.be/B1zw4JtnA0I","channel 1")</f>
        <v>channel 1</v>
      </c>
    </row>
    <row r="32">
      <c r="B32" s="123" t="s">
        <v>4258</v>
      </c>
      <c r="C32" s="77" t="s">
        <v>7</v>
      </c>
      <c r="D32" s="123" t="s">
        <v>4292</v>
      </c>
      <c r="E32" s="11" t="str">
        <f>HYPERLINK("https://youtu.be/hJ1TbpD6GuA","channel 2")</f>
        <v>channel 2</v>
      </c>
    </row>
    <row r="33">
      <c r="B33" s="123" t="s">
        <v>883</v>
      </c>
      <c r="C33" s="135" t="s">
        <v>440</v>
      </c>
      <c r="D33" s="123" t="s">
        <v>4294</v>
      </c>
      <c r="E33" s="11" t="str">
        <f>HYPERLINK("https://youtu.be/zEs_3KlN9R0","channel 1")</f>
        <v>channel 1</v>
      </c>
    </row>
    <row r="34">
      <c r="B34" s="123" t="s">
        <v>4258</v>
      </c>
      <c r="C34" s="135" t="s">
        <v>24</v>
      </c>
      <c r="D34" s="123" t="s">
        <v>4293</v>
      </c>
      <c r="E34" s="11" t="str">
        <f>HYPERLINK("https://youtu.be/iZgKgfnLIsc","channel 2")</f>
        <v>channel 2</v>
      </c>
    </row>
    <row r="35">
      <c r="B35" s="123" t="s">
        <v>4293</v>
      </c>
      <c r="C35" s="135" t="s">
        <v>183</v>
      </c>
      <c r="D35" s="123" t="s">
        <v>4292</v>
      </c>
      <c r="E35" s="11" t="str">
        <f>HYPERLINK("https://youtu.be/DtI869o9xPg","channel 1")</f>
        <v>channel 1</v>
      </c>
    </row>
    <row r="36">
      <c r="B36" s="123" t="s">
        <v>4258</v>
      </c>
      <c r="C36" s="135" t="s">
        <v>280</v>
      </c>
      <c r="D36" s="123" t="s">
        <v>4294</v>
      </c>
      <c r="E36" s="11" t="str">
        <f>HYPERLINK("https://youtu.be/wa-4WTUWOt8","channel 2")</f>
        <v>channel 2</v>
      </c>
    </row>
    <row r="37">
      <c r="B37" s="123" t="s">
        <v>4292</v>
      </c>
      <c r="C37" s="135" t="s">
        <v>291</v>
      </c>
      <c r="D37" s="123" t="s">
        <v>883</v>
      </c>
      <c r="E37" s="11" t="str">
        <f>HYPERLINK("https://youtu.be/hFdMF2MJQbY","channel 1")</f>
        <v>channel 1</v>
      </c>
    </row>
    <row r="38">
      <c r="B38" s="123" t="s">
        <v>4293</v>
      </c>
      <c r="C38" s="135" t="s">
        <v>160</v>
      </c>
      <c r="D38" s="123" t="s">
        <v>4294</v>
      </c>
      <c r="E38" s="11" t="str">
        <f>HYPERLINK("https://youtu.be/oTunjfC62LA","channel 2")</f>
        <v>channel 2</v>
      </c>
    </row>
    <row r="39">
      <c r="B39" s="123" t="s">
        <v>4258</v>
      </c>
      <c r="C39" s="135" t="s">
        <v>181</v>
      </c>
      <c r="D39" s="123" t="s">
        <v>883</v>
      </c>
      <c r="E39" s="11" t="str">
        <f>HYPERLINK("https://youtu.be/N1mAmI23whg","channel 1")</f>
        <v>channel 1</v>
      </c>
    </row>
    <row r="40">
      <c r="B40" s="123" t="s">
        <v>4292</v>
      </c>
      <c r="C40" s="135" t="s">
        <v>4296</v>
      </c>
      <c r="D40" s="123" t="s">
        <v>4294</v>
      </c>
      <c r="E40" s="11" t="str">
        <f>HYPERLINK("https://youtu.be/kL1NQRELgQQ","channel 2")</f>
        <v>channel 2</v>
      </c>
    </row>
    <row r="41">
      <c r="B41" s="123" t="s">
        <v>4293</v>
      </c>
      <c r="C41" s="135" t="s">
        <v>849</v>
      </c>
      <c r="D41" s="123" t="s">
        <v>883</v>
      </c>
      <c r="E41" s="11" t="str">
        <f>HYPERLINK("https://youtu.be/DMlfx9fvrBI","channel 1")</f>
        <v>channel 1</v>
      </c>
    </row>
    <row r="42">
      <c r="B42" s="123" t="s">
        <v>4292</v>
      </c>
      <c r="C42" s="135" t="s">
        <v>193</v>
      </c>
      <c r="D42" s="123" t="s">
        <v>4258</v>
      </c>
      <c r="E42" s="11" t="str">
        <f>HYPERLINK("https://youtu.be/b14IufTKJ7E","channel 2")</f>
        <v>channel 2</v>
      </c>
    </row>
    <row r="43">
      <c r="B43" s="123" t="s">
        <v>4294</v>
      </c>
      <c r="C43" s="135" t="s">
        <v>750</v>
      </c>
      <c r="D43" s="123" t="s">
        <v>883</v>
      </c>
      <c r="E43" s="11" t="str">
        <f>HYPERLINK("https://youtu.be/zX6-JkJjPMQ","channel 1")</f>
        <v>channel 1</v>
      </c>
    </row>
    <row r="44">
      <c r="B44" s="123" t="s">
        <v>4293</v>
      </c>
      <c r="C44" s="135" t="s">
        <v>193</v>
      </c>
      <c r="D44" s="123" t="s">
        <v>4258</v>
      </c>
      <c r="E44" s="11" t="str">
        <f>HYPERLINK("https://youtu.be/hwj2-ZFoo7A","channel 2")</f>
        <v>channel 2</v>
      </c>
    </row>
    <row r="45">
      <c r="B45" s="172"/>
      <c r="C45" s="172"/>
      <c r="D45" s="172"/>
      <c r="E45" s="172"/>
    </row>
    <row r="46">
      <c r="B46" s="172"/>
      <c r="C46" s="172"/>
      <c r="D46" s="172"/>
      <c r="E46" s="172"/>
    </row>
    <row r="47">
      <c r="B47" s="172"/>
      <c r="C47" s="172"/>
      <c r="D47" s="172"/>
      <c r="E47" s="172"/>
    </row>
    <row r="48">
      <c r="B48" s="172"/>
      <c r="C48" s="172"/>
      <c r="D48" s="172"/>
      <c r="E48" s="172"/>
    </row>
    <row r="49">
      <c r="B49" s="172"/>
      <c r="C49" s="172"/>
      <c r="D49" s="172"/>
      <c r="E49" s="172"/>
    </row>
    <row r="50">
      <c r="B50" s="172"/>
      <c r="C50" s="172"/>
      <c r="D50" s="172"/>
      <c r="E50" s="172"/>
    </row>
    <row r="51">
      <c r="B51" s="172"/>
      <c r="C51" s="172"/>
      <c r="D51" s="172"/>
      <c r="E51" s="172"/>
    </row>
    <row r="52">
      <c r="B52" s="172"/>
      <c r="C52" s="172"/>
      <c r="D52" s="172"/>
      <c r="E52" s="172"/>
    </row>
    <row r="53">
      <c r="B53" s="172"/>
      <c r="C53" s="172"/>
      <c r="D53" s="172"/>
      <c r="E53" s="172"/>
    </row>
    <row r="54">
      <c r="B54" s="172"/>
      <c r="C54" s="172"/>
      <c r="D54" s="172"/>
      <c r="E54" s="172"/>
    </row>
    <row r="55">
      <c r="B55" s="172"/>
      <c r="C55" s="172"/>
      <c r="D55" s="172"/>
      <c r="E55" s="172"/>
    </row>
    <row r="56">
      <c r="B56" s="172"/>
      <c r="C56" s="172"/>
      <c r="D56" s="172"/>
      <c r="E56" s="172"/>
    </row>
    <row r="57">
      <c r="B57" s="172"/>
      <c r="C57" s="172"/>
      <c r="D57" s="172"/>
      <c r="E57" s="172"/>
    </row>
    <row r="58">
      <c r="B58" s="172"/>
      <c r="C58" s="172"/>
      <c r="D58" s="172"/>
      <c r="E58" s="172"/>
    </row>
    <row r="59">
      <c r="B59" s="172"/>
      <c r="C59" s="172"/>
      <c r="D59" s="172"/>
      <c r="E59" s="172"/>
    </row>
    <row r="60">
      <c r="B60" s="172"/>
      <c r="C60" s="172"/>
      <c r="D60" s="172"/>
      <c r="E60" s="172"/>
    </row>
    <row r="61">
      <c r="B61" s="172"/>
      <c r="C61" s="172"/>
      <c r="D61" s="172"/>
      <c r="E61" s="172"/>
    </row>
    <row r="62">
      <c r="B62" s="172"/>
      <c r="C62" s="172"/>
      <c r="D62" s="172"/>
      <c r="E62" s="172"/>
    </row>
    <row r="63">
      <c r="B63" s="172"/>
      <c r="C63" s="172"/>
      <c r="D63" s="172"/>
      <c r="E63" s="172"/>
    </row>
    <row r="64">
      <c r="B64" s="172"/>
      <c r="C64" s="172"/>
      <c r="D64" s="172"/>
      <c r="E64" s="172"/>
    </row>
    <row r="65">
      <c r="B65" s="172"/>
      <c r="C65" s="172"/>
      <c r="D65" s="172"/>
      <c r="E65" s="172"/>
    </row>
    <row r="66">
      <c r="B66" s="172"/>
      <c r="C66" s="172"/>
      <c r="D66" s="172"/>
      <c r="E66" s="172"/>
    </row>
    <row r="67">
      <c r="B67" s="172"/>
      <c r="C67" s="172"/>
      <c r="D67" s="172"/>
      <c r="E67" s="172"/>
    </row>
    <row r="68">
      <c r="B68" s="172"/>
      <c r="C68" s="172"/>
      <c r="D68" s="172"/>
      <c r="E68" s="172"/>
    </row>
    <row r="69">
      <c r="B69" s="172"/>
      <c r="C69" s="172"/>
      <c r="D69" s="172"/>
      <c r="E69" s="172"/>
    </row>
    <row r="70">
      <c r="B70" s="172"/>
      <c r="C70" s="172"/>
      <c r="D70" s="172"/>
      <c r="E70" s="172"/>
    </row>
    <row r="71">
      <c r="B71" s="172"/>
      <c r="C71" s="172"/>
      <c r="D71" s="172"/>
      <c r="E71" s="172"/>
    </row>
    <row r="72">
      <c r="B72" s="172"/>
      <c r="C72" s="172"/>
      <c r="D72" s="172"/>
      <c r="E72" s="172"/>
    </row>
    <row r="73">
      <c r="B73" s="172"/>
      <c r="C73" s="172"/>
      <c r="D73" s="172"/>
      <c r="E73" s="172"/>
    </row>
    <row r="74">
      <c r="B74" s="172"/>
      <c r="C74" s="172"/>
      <c r="D74" s="172"/>
      <c r="E74" s="172"/>
    </row>
    <row r="75">
      <c r="B75" s="172"/>
      <c r="C75" s="172"/>
      <c r="D75" s="172"/>
      <c r="E75" s="172"/>
    </row>
    <row r="76">
      <c r="B76" s="172"/>
      <c r="C76" s="172"/>
      <c r="D76" s="172"/>
      <c r="E76" s="172"/>
    </row>
    <row r="77">
      <c r="B77" s="172"/>
      <c r="C77" s="172"/>
      <c r="D77" s="172"/>
      <c r="E77" s="172"/>
    </row>
    <row r="78">
      <c r="B78" s="172"/>
      <c r="C78" s="172"/>
      <c r="D78" s="172"/>
      <c r="E78" s="172"/>
    </row>
    <row r="79">
      <c r="B79" s="172"/>
      <c r="C79" s="172"/>
      <c r="D79" s="172"/>
      <c r="E79" s="172"/>
    </row>
    <row r="80">
      <c r="B80" s="172"/>
      <c r="C80" s="172"/>
      <c r="D80" s="172"/>
      <c r="E80" s="172"/>
    </row>
    <row r="81">
      <c r="B81" s="172"/>
      <c r="C81" s="172"/>
      <c r="D81" s="172"/>
      <c r="E81" s="172"/>
    </row>
    <row r="82">
      <c r="B82" s="172"/>
      <c r="C82" s="172"/>
      <c r="D82" s="172"/>
      <c r="E82" s="172"/>
    </row>
    <row r="83">
      <c r="B83" s="172"/>
      <c r="C83" s="172"/>
      <c r="D83" s="172"/>
      <c r="E83" s="172"/>
    </row>
    <row r="84">
      <c r="B84" s="172"/>
      <c r="C84" s="172"/>
      <c r="D84" s="172"/>
      <c r="E84" s="172"/>
    </row>
    <row r="85">
      <c r="B85" s="172"/>
      <c r="C85" s="172"/>
      <c r="D85" s="172"/>
      <c r="E85" s="172"/>
    </row>
    <row r="86">
      <c r="B86" s="172"/>
      <c r="C86" s="172"/>
      <c r="D86" s="172"/>
      <c r="E86" s="172"/>
    </row>
    <row r="87">
      <c r="B87" s="172"/>
      <c r="C87" s="172"/>
      <c r="D87" s="172"/>
      <c r="E87" s="172"/>
    </row>
    <row r="88">
      <c r="B88" s="172"/>
      <c r="C88" s="172"/>
      <c r="D88" s="172"/>
      <c r="E88" s="172"/>
    </row>
    <row r="89">
      <c r="B89" s="172"/>
      <c r="C89" s="172"/>
      <c r="D89" s="172"/>
      <c r="E89" s="172"/>
    </row>
    <row r="90">
      <c r="B90" s="172"/>
      <c r="C90" s="172"/>
      <c r="D90" s="172"/>
      <c r="E90" s="172"/>
    </row>
    <row r="91">
      <c r="B91" s="172"/>
      <c r="C91" s="172"/>
      <c r="D91" s="172"/>
      <c r="E91" s="172"/>
    </row>
    <row r="92">
      <c r="B92" s="172"/>
      <c r="C92" s="172"/>
      <c r="D92" s="172"/>
      <c r="E92" s="172"/>
    </row>
    <row r="93">
      <c r="B93" s="172"/>
      <c r="C93" s="172"/>
      <c r="D93" s="172"/>
      <c r="E93" s="172"/>
    </row>
    <row r="94">
      <c r="B94" s="172"/>
      <c r="C94" s="172"/>
      <c r="D94" s="172"/>
      <c r="E94" s="172"/>
    </row>
    <row r="95">
      <c r="B95" s="172"/>
      <c r="C95" s="172"/>
      <c r="D95" s="172"/>
      <c r="E95" s="172"/>
    </row>
    <row r="96">
      <c r="B96" s="172"/>
      <c r="C96" s="172"/>
      <c r="D96" s="172"/>
      <c r="E96" s="172"/>
    </row>
    <row r="97">
      <c r="B97" s="172"/>
      <c r="C97" s="172"/>
      <c r="D97" s="172"/>
      <c r="E97" s="172"/>
    </row>
    <row r="98">
      <c r="B98" s="172"/>
      <c r="C98" s="172"/>
      <c r="D98" s="172"/>
      <c r="E98" s="172"/>
    </row>
    <row r="99">
      <c r="B99" s="172"/>
      <c r="C99" s="172"/>
      <c r="D99" s="172"/>
      <c r="E99" s="172"/>
    </row>
    <row r="100">
      <c r="B100" s="172"/>
      <c r="C100" s="172"/>
      <c r="D100" s="172"/>
      <c r="E100" s="172"/>
    </row>
    <row r="101">
      <c r="B101" s="172"/>
      <c r="C101" s="172"/>
      <c r="D101" s="172"/>
      <c r="E101" s="172"/>
    </row>
    <row r="102">
      <c r="B102" s="172"/>
      <c r="C102" s="172"/>
      <c r="D102" s="172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2">
    <mergeCell ref="A1:A88"/>
    <mergeCell ref="B23:D23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1777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4297</v>
      </c>
      <c r="C3" s="179" t="s">
        <v>7</v>
      </c>
      <c r="D3" s="180" t="s">
        <v>190</v>
      </c>
      <c r="E3" s="158" t="str">
        <f>HYPERLINK("https://youtu.be/qMeY-QN-x6s","channel 1")</f>
        <v>channel 1</v>
      </c>
    </row>
    <row r="4">
      <c r="B4" s="110" t="s">
        <v>3860</v>
      </c>
      <c r="C4" s="135" t="s">
        <v>279</v>
      </c>
      <c r="D4" s="112" t="s">
        <v>4298</v>
      </c>
      <c r="E4" s="139" t="str">
        <f>HYPERLINK("https://youtu.be/7X8fFOZTgpc","channel 2")</f>
        <v>channel 2</v>
      </c>
    </row>
    <row r="5">
      <c r="B5" s="110" t="s">
        <v>1847</v>
      </c>
      <c r="C5" s="135" t="s">
        <v>545</v>
      </c>
      <c r="D5" s="112" t="s">
        <v>4297</v>
      </c>
      <c r="E5" s="158" t="str">
        <f>HYPERLINK("https://youtu.be/mR1HEMGNIiA","channel 1")</f>
        <v>channel 1</v>
      </c>
    </row>
    <row r="6">
      <c r="B6" s="110" t="s">
        <v>3860</v>
      </c>
      <c r="C6" s="135" t="s">
        <v>219</v>
      </c>
      <c r="D6" s="112" t="s">
        <v>190</v>
      </c>
      <c r="E6" s="139" t="str">
        <f>HYPERLINK("https://youtu.be/12ckLEb0HKw","channel 2")</f>
        <v>channel 2</v>
      </c>
    </row>
    <row r="7">
      <c r="B7" s="110" t="s">
        <v>1847</v>
      </c>
      <c r="C7" s="135" t="s">
        <v>219</v>
      </c>
      <c r="D7" s="112" t="s">
        <v>4298</v>
      </c>
      <c r="E7" s="158" t="str">
        <f>HYPERLINK("https://youtu.be/lHT2BJBhquI","channel 1")</f>
        <v>channel 1</v>
      </c>
    </row>
    <row r="8">
      <c r="B8" s="110" t="s">
        <v>3860</v>
      </c>
      <c r="C8" s="135" t="s">
        <v>158</v>
      </c>
      <c r="D8" s="112" t="s">
        <v>4297</v>
      </c>
      <c r="E8" s="139" t="str">
        <f>HYPERLINK("https://youtu.be/cEKYJ4q0_fk","channel 2")</f>
        <v>channel 2</v>
      </c>
    </row>
    <row r="9">
      <c r="B9" s="110" t="s">
        <v>1847</v>
      </c>
      <c r="C9" s="135" t="s">
        <v>164</v>
      </c>
      <c r="D9" s="112" t="s">
        <v>190</v>
      </c>
      <c r="E9" s="158" t="str">
        <f>HYPERLINK("https://youtu.be/PIh6igH1jJc","channel 1")</f>
        <v>channel 1</v>
      </c>
    </row>
    <row r="10">
      <c r="B10" s="110" t="s">
        <v>4298</v>
      </c>
      <c r="C10" s="135" t="s">
        <v>20</v>
      </c>
      <c r="D10" s="112" t="s">
        <v>4297</v>
      </c>
      <c r="E10" s="139" t="str">
        <f>HYPERLINK("https://youtu.be/sASXj8pGN88","channel 2")</f>
        <v>channel 2</v>
      </c>
    </row>
    <row r="11">
      <c r="B11" s="110" t="s">
        <v>1847</v>
      </c>
      <c r="C11" s="135" t="s">
        <v>442</v>
      </c>
      <c r="D11" s="112" t="s">
        <v>3860</v>
      </c>
      <c r="E11" s="158" t="str">
        <f>HYPERLINK("https://youtu.be/Yo3KSnp3uT4","channel 1")</f>
        <v>channel 1</v>
      </c>
    </row>
    <row r="12">
      <c r="B12" s="110" t="s">
        <v>4298</v>
      </c>
      <c r="C12" s="135" t="s">
        <v>404</v>
      </c>
      <c r="D12" s="112" t="s">
        <v>190</v>
      </c>
      <c r="E12" s="139" t="str">
        <f>HYPERLINK("https://youtu.be/f-YqzuBdX1Y","channel 2")</f>
        <v>channel 2</v>
      </c>
    </row>
    <row r="13">
      <c r="B13" s="110" t="s">
        <v>190</v>
      </c>
      <c r="C13" s="135" t="s">
        <v>7</v>
      </c>
      <c r="D13" s="112" t="s">
        <v>4297</v>
      </c>
      <c r="E13" s="158" t="str">
        <f>HYPERLINK("https://youtu.be/mpa_o9g9Y3g","channel 1")</f>
        <v>channel 1</v>
      </c>
    </row>
    <row r="14">
      <c r="B14" s="110" t="s">
        <v>4298</v>
      </c>
      <c r="C14" s="135" t="s">
        <v>442</v>
      </c>
      <c r="D14" s="112" t="s">
        <v>3860</v>
      </c>
      <c r="E14" s="139" t="str">
        <f>HYPERLINK("https://youtu.be/-ox-M_xbM1E","channel 2")</f>
        <v>channel 2</v>
      </c>
    </row>
    <row r="15">
      <c r="B15" s="110" t="s">
        <v>4297</v>
      </c>
      <c r="C15" s="135" t="s">
        <v>220</v>
      </c>
      <c r="D15" s="112" t="s">
        <v>1847</v>
      </c>
      <c r="E15" s="158" t="str">
        <f>HYPERLINK("https://youtu.be/FPccqXVlqVo","channel 1")</f>
        <v>channel 1</v>
      </c>
    </row>
    <row r="16">
      <c r="B16" s="110" t="s">
        <v>190</v>
      </c>
      <c r="C16" s="135" t="s">
        <v>20</v>
      </c>
      <c r="D16" s="112" t="s">
        <v>3860</v>
      </c>
      <c r="E16" s="139" t="str">
        <f>HYPERLINK("https://youtu.be/_H-Nq23iYVs","channel 2")</f>
        <v>channel 2</v>
      </c>
    </row>
    <row r="17">
      <c r="B17" s="110" t="s">
        <v>4298</v>
      </c>
      <c r="C17" s="135" t="s">
        <v>18</v>
      </c>
      <c r="D17" s="112" t="s">
        <v>1847</v>
      </c>
      <c r="E17" s="158" t="str">
        <f>HYPERLINK("https://youtu.be/vag5p-3Y8n8","channel 1")</f>
        <v>channel 1</v>
      </c>
    </row>
    <row r="18">
      <c r="B18" s="110" t="s">
        <v>4297</v>
      </c>
      <c r="C18" s="135" t="s">
        <v>155</v>
      </c>
      <c r="D18" s="112" t="s">
        <v>3860</v>
      </c>
      <c r="E18" s="139" t="str">
        <f>HYPERLINK("https://youtu.be/SpUjMB8f9_o","channel 2")</f>
        <v>channel 2</v>
      </c>
    </row>
    <row r="19">
      <c r="B19" s="110" t="s">
        <v>190</v>
      </c>
      <c r="C19" s="135" t="s">
        <v>44</v>
      </c>
      <c r="D19" s="112" t="s">
        <v>1847</v>
      </c>
      <c r="E19" s="158" t="str">
        <f>HYPERLINK("https://youtu.be/-XHGA42SDQw","channel 1")</f>
        <v>channel 1</v>
      </c>
    </row>
    <row r="20">
      <c r="B20" s="110" t="s">
        <v>4297</v>
      </c>
      <c r="C20" s="135" t="s">
        <v>155</v>
      </c>
      <c r="D20" s="112" t="s">
        <v>4298</v>
      </c>
      <c r="E20" s="139" t="str">
        <f>HYPERLINK("https://youtu.be/HSug0I1f6Sg","channel 2")</f>
        <v>channel 2</v>
      </c>
    </row>
    <row r="21">
      <c r="B21" s="110" t="s">
        <v>3860</v>
      </c>
      <c r="C21" s="135" t="s">
        <v>908</v>
      </c>
      <c r="D21" s="112" t="s">
        <v>1847</v>
      </c>
      <c r="E21" s="158" t="str">
        <f>HYPERLINK("https://youtu.be/9Z-CK9suaWI","channel 1")</f>
        <v>channel 1</v>
      </c>
    </row>
    <row r="22">
      <c r="B22" s="110" t="s">
        <v>190</v>
      </c>
      <c r="C22" s="135" t="s">
        <v>18</v>
      </c>
      <c r="D22" s="112" t="s">
        <v>4298</v>
      </c>
      <c r="E22" s="139" t="str">
        <f>HYPERLINK("https://youtu.be/Mzu3cAFuaow","channel 2")</f>
        <v>channel 2</v>
      </c>
    </row>
    <row r="23">
      <c r="B23" s="173" t="s">
        <v>2335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61" t="s">
        <v>4299</v>
      </c>
      <c r="C25" s="179" t="s">
        <v>442</v>
      </c>
      <c r="D25" s="180" t="s">
        <v>4300</v>
      </c>
      <c r="E25" s="158" t="str">
        <f>HYPERLINK("https://youtu.be/4FcSQs5DeEc","channel 1")</f>
        <v>channel 1</v>
      </c>
    </row>
    <row r="26">
      <c r="B26" s="110" t="s">
        <v>4301</v>
      </c>
      <c r="C26" s="135" t="s">
        <v>315</v>
      </c>
      <c r="D26" s="112" t="s">
        <v>4302</v>
      </c>
      <c r="E26" s="139" t="str">
        <f>HYPERLINK("https://youtu.be/Nw0K2vEkUlc","channel 2")</f>
        <v>channel 2</v>
      </c>
    </row>
    <row r="27">
      <c r="B27" s="110" t="s">
        <v>1475</v>
      </c>
      <c r="C27" s="135" t="s">
        <v>42</v>
      </c>
      <c r="D27" s="112" t="s">
        <v>4299</v>
      </c>
      <c r="E27" s="158" t="str">
        <f>HYPERLINK("https://youtu.be/ppep4Bp2q4o","channel 1")</f>
        <v>channel 1</v>
      </c>
    </row>
    <row r="28">
      <c r="B28" s="110" t="s">
        <v>4301</v>
      </c>
      <c r="C28" s="135" t="s">
        <v>640</v>
      </c>
      <c r="D28" s="112" t="s">
        <v>4300</v>
      </c>
      <c r="E28" s="139" t="str">
        <f>HYPERLINK("https://youtu.be/oSbrwXo7_so","channel 2")</f>
        <v>channel 2</v>
      </c>
    </row>
    <row r="29">
      <c r="B29" s="110" t="s">
        <v>1475</v>
      </c>
      <c r="C29" s="135" t="s">
        <v>750</v>
      </c>
      <c r="D29" s="112" t="s">
        <v>4302</v>
      </c>
      <c r="E29" s="158" t="str">
        <f>HYPERLINK("https://youtu.be/cT5RIXAYRII","channel 1")</f>
        <v>channel 1</v>
      </c>
    </row>
    <row r="30">
      <c r="B30" s="110" t="s">
        <v>4301</v>
      </c>
      <c r="C30" s="135" t="s">
        <v>181</v>
      </c>
      <c r="D30" s="112" t="s">
        <v>4299</v>
      </c>
      <c r="E30" s="139" t="str">
        <f>HYPERLINK("https://youtu.be/x10rOjEiw4k","channel 2")</f>
        <v>channel 2</v>
      </c>
    </row>
    <row r="31">
      <c r="B31" s="110" t="s">
        <v>1475</v>
      </c>
      <c r="C31" s="135" t="s">
        <v>161</v>
      </c>
      <c r="D31" s="112" t="s">
        <v>4300</v>
      </c>
      <c r="E31" s="158" t="str">
        <f>HYPERLINK("https://youtu.be/fnVE9hiTluM","channel 1")</f>
        <v>channel 1</v>
      </c>
    </row>
    <row r="32">
      <c r="B32" s="110" t="s">
        <v>4302</v>
      </c>
      <c r="C32" s="135" t="s">
        <v>324</v>
      </c>
      <c r="D32" s="112" t="s">
        <v>4299</v>
      </c>
      <c r="E32" s="139" t="str">
        <f>HYPERLINK("https://youtu.be/mG2evKwM9GU","channel 2")</f>
        <v>channel 2</v>
      </c>
    </row>
    <row r="33">
      <c r="B33" s="110" t="s">
        <v>1475</v>
      </c>
      <c r="C33" s="135" t="s">
        <v>554</v>
      </c>
      <c r="D33" s="112" t="s">
        <v>4301</v>
      </c>
      <c r="E33" s="158" t="str">
        <f>HYPERLINK("https://youtu.be/NoYGCJq_e7M","channel 1")</f>
        <v>channel 1</v>
      </c>
    </row>
    <row r="34">
      <c r="B34" s="110" t="s">
        <v>4302</v>
      </c>
      <c r="C34" s="135" t="s">
        <v>271</v>
      </c>
      <c r="D34" s="112" t="s">
        <v>4300</v>
      </c>
      <c r="E34" s="139" t="str">
        <f>HYPERLINK("https://youtu.be/kix84njIq-U","channel 2")</f>
        <v>channel 2</v>
      </c>
    </row>
    <row r="35">
      <c r="B35" s="110" t="s">
        <v>4300</v>
      </c>
      <c r="C35" s="135" t="s">
        <v>20</v>
      </c>
      <c r="D35" s="112" t="s">
        <v>4299</v>
      </c>
      <c r="E35" s="158" t="str">
        <f>HYPERLINK("https://youtu.be/f_djMRi1i10","channel 1")</f>
        <v>channel 1</v>
      </c>
    </row>
    <row r="36">
      <c r="B36" s="110" t="s">
        <v>4302</v>
      </c>
      <c r="C36" s="135" t="s">
        <v>640</v>
      </c>
      <c r="D36" s="112" t="s">
        <v>4301</v>
      </c>
      <c r="E36" s="139" t="str">
        <f>HYPERLINK("https://youtu.be/3PNsO7PXo38","channel 2")</f>
        <v>channel 2</v>
      </c>
    </row>
    <row r="37">
      <c r="B37" s="110" t="s">
        <v>4299</v>
      </c>
      <c r="C37" s="135" t="s">
        <v>18</v>
      </c>
      <c r="D37" s="112" t="s">
        <v>1475</v>
      </c>
      <c r="E37" s="158" t="str">
        <f>HYPERLINK("https://youtu.be/7eLv1n3pEs8","channel 1")</f>
        <v>channel 1</v>
      </c>
    </row>
    <row r="38">
      <c r="B38" s="110" t="s">
        <v>4300</v>
      </c>
      <c r="C38" s="135" t="s">
        <v>219</v>
      </c>
      <c r="D38" s="112" t="s">
        <v>4301</v>
      </c>
      <c r="E38" s="139" t="str">
        <f>HYPERLINK("https://youtu.be/v3W1oRnpfSk","channel 2")</f>
        <v>channel 2</v>
      </c>
    </row>
    <row r="39">
      <c r="B39" s="110" t="s">
        <v>4302</v>
      </c>
      <c r="C39" s="135" t="s">
        <v>41</v>
      </c>
      <c r="D39" s="112" t="s">
        <v>1475</v>
      </c>
      <c r="E39" s="158" t="str">
        <f>HYPERLINK("https://youtu.be/pp0nMukxhEs","channel 1")</f>
        <v>channel 1</v>
      </c>
    </row>
    <row r="40">
      <c r="B40" s="110" t="s">
        <v>4299</v>
      </c>
      <c r="C40" s="135" t="s">
        <v>173</v>
      </c>
      <c r="D40" s="112" t="s">
        <v>4301</v>
      </c>
      <c r="E40" s="139" t="str">
        <f>HYPERLINK("https://youtu.be/60kWIprmn9s","channel 2")</f>
        <v>channel 2</v>
      </c>
    </row>
    <row r="41">
      <c r="B41" s="110" t="s">
        <v>4300</v>
      </c>
      <c r="C41" s="135" t="s">
        <v>193</v>
      </c>
      <c r="D41" s="112" t="s">
        <v>1475</v>
      </c>
      <c r="E41" s="158" t="str">
        <f>HYPERLINK("https://youtu.be/Z3Gj1jpkxrw","channel 1")</f>
        <v>channel 1</v>
      </c>
    </row>
    <row r="42">
      <c r="B42" s="110" t="s">
        <v>4299</v>
      </c>
      <c r="C42" s="135" t="s">
        <v>237</v>
      </c>
      <c r="D42" s="112" t="s">
        <v>4302</v>
      </c>
      <c r="E42" s="139" t="str">
        <f>HYPERLINK("https://youtu.be/ZDBLQfvTxiI","channel 2")</f>
        <v>channel 2</v>
      </c>
    </row>
    <row r="43">
      <c r="B43" s="110" t="s">
        <v>4301</v>
      </c>
      <c r="C43" s="135" t="s">
        <v>336</v>
      </c>
      <c r="D43" s="112" t="s">
        <v>1475</v>
      </c>
      <c r="E43" s="158" t="str">
        <f>HYPERLINK("https://youtu.be/3VoVKSzWJSs","channel 1")</f>
        <v>channel 1</v>
      </c>
    </row>
    <row r="44">
      <c r="B44" s="110" t="s">
        <v>4300</v>
      </c>
      <c r="C44" s="135" t="s">
        <v>173</v>
      </c>
      <c r="D44" s="112" t="s">
        <v>4302</v>
      </c>
      <c r="E44" s="139" t="str">
        <f>HYPERLINK("https://youtu.be/d22GCDGlaq0","channel 2")</f>
        <v>channel 2</v>
      </c>
    </row>
    <row r="45">
      <c r="B45" s="173" t="s">
        <v>3300</v>
      </c>
      <c r="C45" s="37"/>
      <c r="D45" s="37"/>
      <c r="E45" s="38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61" t="s">
        <v>4303</v>
      </c>
      <c r="C47" s="179" t="s">
        <v>419</v>
      </c>
      <c r="D47" s="180" t="s">
        <v>3789</v>
      </c>
      <c r="E47" s="158" t="str">
        <f>HYPERLINK("https://youtu.be/zTheA3PMGjs","channel 1")</f>
        <v>channel 1</v>
      </c>
    </row>
    <row r="48">
      <c r="B48" s="110" t="s">
        <v>3815</v>
      </c>
      <c r="C48" s="135" t="s">
        <v>198</v>
      </c>
      <c r="D48" s="112" t="s">
        <v>1906</v>
      </c>
      <c r="E48" s="139" t="str">
        <f>HYPERLINK("https://youtu.be/009lVUfqKCQ","channel 2")</f>
        <v>channel 2</v>
      </c>
    </row>
    <row r="49">
      <c r="B49" s="110" t="s">
        <v>4133</v>
      </c>
      <c r="C49" s="135" t="s">
        <v>173</v>
      </c>
      <c r="D49" s="112" t="s">
        <v>4303</v>
      </c>
      <c r="E49" s="158" t="str">
        <f>HYPERLINK("https://youtu.be/Dv2kIZMqg6c","channel 1")</f>
        <v>channel 1</v>
      </c>
    </row>
    <row r="50">
      <c r="B50" s="110" t="s">
        <v>3815</v>
      </c>
      <c r="C50" s="135" t="s">
        <v>638</v>
      </c>
      <c r="D50" s="112" t="s">
        <v>3789</v>
      </c>
      <c r="E50" s="139" t="str">
        <f>HYPERLINK("https://youtu.be/PfYd_ahM_24","channel 2")</f>
        <v>channel 2</v>
      </c>
    </row>
    <row r="51">
      <c r="B51" s="110" t="s">
        <v>4133</v>
      </c>
      <c r="C51" s="135" t="s">
        <v>18</v>
      </c>
      <c r="D51" s="112" t="s">
        <v>1906</v>
      </c>
      <c r="E51" s="158" t="str">
        <f>HYPERLINK("https://youtu.be/qRcV7EwxyEs","channel 1")</f>
        <v>channel 1</v>
      </c>
    </row>
    <row r="52">
      <c r="B52" s="110" t="s">
        <v>3815</v>
      </c>
      <c r="C52" s="135" t="s">
        <v>1015</v>
      </c>
      <c r="D52" s="112" t="s">
        <v>4303</v>
      </c>
      <c r="E52" s="139" t="str">
        <f>HYPERLINK("https://youtu.be/0lVPnRhQlkI","channel 2")</f>
        <v>channel 2</v>
      </c>
    </row>
    <row r="53">
      <c r="B53" s="110" t="s">
        <v>4133</v>
      </c>
      <c r="C53" s="135" t="s">
        <v>161</v>
      </c>
      <c r="D53" s="112" t="s">
        <v>3789</v>
      </c>
      <c r="E53" s="158" t="str">
        <f>HYPERLINK("https://youtu.be/Wr8bBs6X4tY","channel 1")</f>
        <v>channel 1</v>
      </c>
    </row>
    <row r="54">
      <c r="B54" s="110" t="s">
        <v>1906</v>
      </c>
      <c r="C54" s="135" t="s">
        <v>20</v>
      </c>
      <c r="D54" s="112" t="s">
        <v>4303</v>
      </c>
      <c r="E54" s="139" t="str">
        <f>HYPERLINK("https://youtu.be/C2OM3lppO6Q","channel 2")</f>
        <v>channel 2</v>
      </c>
    </row>
    <row r="55">
      <c r="B55" s="110" t="s">
        <v>4133</v>
      </c>
      <c r="C55" s="135" t="s">
        <v>327</v>
      </c>
      <c r="D55" s="112" t="s">
        <v>3815</v>
      </c>
      <c r="E55" s="158" t="str">
        <f>HYPERLINK("https://youtu.be/b3ZP6aNmXo8","channel 1")</f>
        <v>channel 1</v>
      </c>
    </row>
    <row r="56">
      <c r="B56" s="110" t="s">
        <v>1906</v>
      </c>
      <c r="C56" s="135" t="s">
        <v>1120</v>
      </c>
      <c r="D56" s="112" t="s">
        <v>3789</v>
      </c>
      <c r="E56" s="139" t="str">
        <f>HYPERLINK("https://youtu.be/trx9yYe0c8E","channel 2")</f>
        <v>channel 2</v>
      </c>
    </row>
    <row r="57">
      <c r="B57" s="110" t="s">
        <v>3789</v>
      </c>
      <c r="C57" s="135" t="s">
        <v>712</v>
      </c>
      <c r="D57" s="112" t="s">
        <v>4303</v>
      </c>
      <c r="E57" s="158" t="str">
        <f>HYPERLINK("https://youtu.be/Pp3NcmZ2b98","channel 1")</f>
        <v>channel 1</v>
      </c>
    </row>
    <row r="58">
      <c r="B58" s="110" t="s">
        <v>1906</v>
      </c>
      <c r="C58" s="135" t="s">
        <v>161</v>
      </c>
      <c r="D58" s="112" t="s">
        <v>3815</v>
      </c>
      <c r="E58" s="139" t="str">
        <f>HYPERLINK("https://youtu.be/ePJHDrP8X3I","channel 2")</f>
        <v>channel 2</v>
      </c>
    </row>
    <row r="59">
      <c r="B59" s="110" t="s">
        <v>4303</v>
      </c>
      <c r="C59" s="135" t="s">
        <v>43</v>
      </c>
      <c r="D59" s="112" t="s">
        <v>4133</v>
      </c>
      <c r="E59" s="158" t="str">
        <f>HYPERLINK("https://youtu.be/GOlNATJulLw","channel 1")</f>
        <v>channel 1</v>
      </c>
    </row>
    <row r="60">
      <c r="B60" s="110" t="s">
        <v>3789</v>
      </c>
      <c r="C60" s="135" t="s">
        <v>43</v>
      </c>
      <c r="D60" s="112" t="s">
        <v>3815</v>
      </c>
      <c r="E60" s="139" t="str">
        <f>HYPERLINK("https://youtu.be/xnIzsCGUGeY","channel 2")</f>
        <v>channel 2</v>
      </c>
    </row>
    <row r="61">
      <c r="B61" s="110" t="s">
        <v>1906</v>
      </c>
      <c r="C61" s="181" t="s">
        <v>27</v>
      </c>
      <c r="D61" s="112" t="s">
        <v>4133</v>
      </c>
      <c r="E61" s="158" t="str">
        <f>HYPERLINK("https://youtu.be/K8tA-adp02o","channel 1")</f>
        <v>channel 1</v>
      </c>
    </row>
    <row r="62">
      <c r="B62" s="110" t="s">
        <v>4303</v>
      </c>
      <c r="C62" s="135" t="s">
        <v>237</v>
      </c>
      <c r="D62" s="112" t="s">
        <v>3815</v>
      </c>
      <c r="E62" s="139" t="str">
        <f>HYPERLINK("https://youtu.be/2ZKUXacEWwo","channel 2")</f>
        <v>channel 2</v>
      </c>
    </row>
    <row r="63">
      <c r="B63" s="110" t="s">
        <v>3789</v>
      </c>
      <c r="C63" s="135" t="s">
        <v>38</v>
      </c>
      <c r="D63" s="112" t="s">
        <v>4133</v>
      </c>
      <c r="E63" s="158" t="str">
        <f>HYPERLINK("https://youtu.be/vemT11ugk9M","channel 1")</f>
        <v>channel 1</v>
      </c>
    </row>
    <row r="64">
      <c r="B64" s="110" t="s">
        <v>4303</v>
      </c>
      <c r="C64" s="135" t="s">
        <v>181</v>
      </c>
      <c r="D64" s="112" t="s">
        <v>1906</v>
      </c>
      <c r="E64" s="139" t="str">
        <f>HYPERLINK("https://youtu.be/3hayOTqs264","channel 2")</f>
        <v>channel 2</v>
      </c>
    </row>
    <row r="65">
      <c r="B65" s="110" t="s">
        <v>3815</v>
      </c>
      <c r="C65" s="135" t="s">
        <v>556</v>
      </c>
      <c r="D65" s="112" t="s">
        <v>4133</v>
      </c>
      <c r="E65" s="158" t="str">
        <f>HYPERLINK("https://youtu.be/J1VA_iUGKhA","channel 1")</f>
        <v>channel 1</v>
      </c>
    </row>
    <row r="66">
      <c r="B66" s="110" t="s">
        <v>3789</v>
      </c>
      <c r="C66" s="135" t="s">
        <v>279</v>
      </c>
      <c r="D66" s="112" t="s">
        <v>1906</v>
      </c>
      <c r="E66" s="139" t="str">
        <f>HYPERLINK("https://youtu.be/Ls6RD8vOW6E","channel 2")</f>
        <v>channel 2</v>
      </c>
    </row>
    <row r="67">
      <c r="B67" s="173" t="s">
        <v>3011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61" t="s">
        <v>4304</v>
      </c>
      <c r="C69" s="179" t="s">
        <v>301</v>
      </c>
      <c r="D69" s="180" t="s">
        <v>4305</v>
      </c>
      <c r="E69" s="158" t="str">
        <f>HYPERLINK("https://youtu.be/TKWEodvQjNI","channel 1")</f>
        <v>channel 1</v>
      </c>
    </row>
    <row r="70">
      <c r="B70" s="110" t="s">
        <v>4306</v>
      </c>
      <c r="C70" s="135" t="s">
        <v>185</v>
      </c>
      <c r="D70" s="112" t="s">
        <v>4307</v>
      </c>
      <c r="E70" s="139" t="str">
        <f>HYPERLINK("https://youtu.be/E0mfunJrT_0","channel 2")</f>
        <v>channel 2</v>
      </c>
    </row>
    <row r="71">
      <c r="B71" s="110" t="s">
        <v>4308</v>
      </c>
      <c r="C71" s="135" t="s">
        <v>209</v>
      </c>
      <c r="D71" s="112" t="s">
        <v>4304</v>
      </c>
      <c r="E71" s="158" t="str">
        <f>HYPERLINK("https://youtu.be/xStPwgVPb8Q","channel 1")</f>
        <v>channel 1</v>
      </c>
    </row>
    <row r="72">
      <c r="B72" s="110" t="s">
        <v>4306</v>
      </c>
      <c r="C72" s="135" t="s">
        <v>7</v>
      </c>
      <c r="D72" s="112" t="s">
        <v>4305</v>
      </c>
      <c r="E72" s="139" t="str">
        <f>HYPERLINK("https://youtu.be/r7LH-XaGJzU","channel 2")</f>
        <v>channel 2</v>
      </c>
    </row>
    <row r="73">
      <c r="B73" s="110" t="s">
        <v>4308</v>
      </c>
      <c r="C73" s="135" t="s">
        <v>218</v>
      </c>
      <c r="D73" s="112" t="s">
        <v>4307</v>
      </c>
      <c r="E73" s="158" t="str">
        <f>HYPERLINK("https://youtu.be/4JI1gz2hrdM","channel 1")</f>
        <v>channel 1</v>
      </c>
    </row>
    <row r="74">
      <c r="B74" s="110" t="s">
        <v>4306</v>
      </c>
      <c r="C74" s="135" t="s">
        <v>181</v>
      </c>
      <c r="D74" s="112" t="s">
        <v>4304</v>
      </c>
      <c r="E74" s="139" t="str">
        <f>HYPERLINK("https://youtu.be/VT6WRD_R4UM","channel 2")</f>
        <v>channel 2</v>
      </c>
    </row>
    <row r="75">
      <c r="B75" s="110" t="s">
        <v>4308</v>
      </c>
      <c r="C75" s="135" t="s">
        <v>291</v>
      </c>
      <c r="D75" s="112" t="s">
        <v>4305</v>
      </c>
      <c r="E75" s="158" t="str">
        <f>HYPERLINK("https://youtu.be/YcMBjvv5RP4","channel 1")</f>
        <v>channel 1</v>
      </c>
    </row>
    <row r="76">
      <c r="B76" s="110" t="s">
        <v>4307</v>
      </c>
      <c r="C76" s="135" t="s">
        <v>17</v>
      </c>
      <c r="D76" s="112" t="s">
        <v>4304</v>
      </c>
      <c r="E76" s="139" t="str">
        <f>HYPERLINK("https://youtu.be/tmtpMJVsr5s","channel 2")</f>
        <v>channel 2</v>
      </c>
    </row>
    <row r="77">
      <c r="B77" s="110" t="s">
        <v>4308</v>
      </c>
      <c r="C77" s="135" t="s">
        <v>1066</v>
      </c>
      <c r="D77" s="112" t="s">
        <v>4306</v>
      </c>
      <c r="E77" s="158" t="str">
        <f>HYPERLINK("https://youtu.be/Fa3q0S6GArk","channel 1")</f>
        <v>channel 1</v>
      </c>
    </row>
    <row r="78">
      <c r="B78" s="110" t="s">
        <v>4307</v>
      </c>
      <c r="C78" s="135" t="s">
        <v>185</v>
      </c>
      <c r="D78" s="112" t="s">
        <v>4305</v>
      </c>
      <c r="E78" s="139" t="str">
        <f>HYPERLINK("https://youtu.be/cW7ESv2i5To","channel 2")</f>
        <v>channel 2</v>
      </c>
    </row>
    <row r="79">
      <c r="B79" s="110" t="s">
        <v>4305</v>
      </c>
      <c r="C79" s="135" t="s">
        <v>159</v>
      </c>
      <c r="D79" s="112" t="s">
        <v>4304</v>
      </c>
      <c r="E79" s="158" t="str">
        <f>HYPERLINK("https://youtu.be/dzvpl2tnWvM","channel 1")</f>
        <v>channel 1</v>
      </c>
    </row>
    <row r="80">
      <c r="B80" s="110" t="s">
        <v>4307</v>
      </c>
      <c r="C80" s="135" t="s">
        <v>216</v>
      </c>
      <c r="D80" s="112" t="s">
        <v>4306</v>
      </c>
      <c r="E80" s="139" t="str">
        <f>HYPERLINK("https://youtu.be/R4xrcaRHOE0","channel 2")</f>
        <v>channel 2</v>
      </c>
    </row>
    <row r="81">
      <c r="B81" s="110" t="s">
        <v>4304</v>
      </c>
      <c r="C81" s="135" t="s">
        <v>177</v>
      </c>
      <c r="D81" s="112" t="s">
        <v>4308</v>
      </c>
      <c r="E81" s="158" t="str">
        <f>HYPERLINK("https://youtu.be/SPoj5bJJY_E","channel 1")</f>
        <v>channel 1</v>
      </c>
    </row>
    <row r="82">
      <c r="B82" s="110" t="s">
        <v>4305</v>
      </c>
      <c r="C82" s="135" t="s">
        <v>230</v>
      </c>
      <c r="D82" s="112" t="s">
        <v>4306</v>
      </c>
      <c r="E82" s="139" t="str">
        <f>HYPERLINK("https://youtu.be/ODmnYxFi8Lo","channel 2")</f>
        <v>channel 2</v>
      </c>
    </row>
    <row r="83">
      <c r="B83" s="110" t="s">
        <v>4307</v>
      </c>
      <c r="C83" s="135" t="s">
        <v>7</v>
      </c>
      <c r="D83" s="112" t="s">
        <v>4308</v>
      </c>
      <c r="E83" s="158" t="str">
        <f>HYPERLINK("https://youtu.be/olqgpjVxsiE","channel 1")</f>
        <v>channel 1</v>
      </c>
    </row>
    <row r="84">
      <c r="B84" s="110" t="s">
        <v>4304</v>
      </c>
      <c r="C84" s="135" t="s">
        <v>216</v>
      </c>
      <c r="D84" s="112" t="s">
        <v>4306</v>
      </c>
      <c r="E84" s="139" t="str">
        <f>HYPERLINK("https://youtu.be/mcB1zr_J5eU","channel 2")</f>
        <v>channel 2</v>
      </c>
    </row>
    <row r="85">
      <c r="B85" s="110" t="s">
        <v>4305</v>
      </c>
      <c r="C85" s="135" t="s">
        <v>574</v>
      </c>
      <c r="D85" s="112" t="s">
        <v>4308</v>
      </c>
      <c r="E85" s="158" t="str">
        <f>HYPERLINK("https://youtu.be/1CDWIiuLf8s","channel 1")</f>
        <v>channel 1</v>
      </c>
    </row>
    <row r="86">
      <c r="B86" s="110" t="s">
        <v>4304</v>
      </c>
      <c r="C86" s="135" t="s">
        <v>573</v>
      </c>
      <c r="D86" s="112" t="s">
        <v>4307</v>
      </c>
      <c r="E86" s="139" t="str">
        <f>HYPERLINK("https://youtu.be/veFVO74_Hy0","channel 2")</f>
        <v>channel 2</v>
      </c>
    </row>
    <row r="87">
      <c r="B87" s="110" t="s">
        <v>4306</v>
      </c>
      <c r="C87" s="135" t="s">
        <v>168</v>
      </c>
      <c r="D87" s="112" t="s">
        <v>4308</v>
      </c>
      <c r="E87" s="158" t="str">
        <f>HYPERLINK("https://youtu.be/61uhsuCb3o4","channel 1")</f>
        <v>channel 1</v>
      </c>
    </row>
    <row r="88">
      <c r="B88" s="110" t="s">
        <v>4305</v>
      </c>
      <c r="C88" s="135" t="s">
        <v>18</v>
      </c>
      <c r="D88" s="112" t="s">
        <v>4307</v>
      </c>
      <c r="E88" s="139" t="str">
        <f>HYPERLINK("https://youtu.be/dD8lNFyQQnU","channel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2882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3679</v>
      </c>
      <c r="C3" s="179" t="s">
        <v>173</v>
      </c>
      <c r="D3" s="180" t="s">
        <v>4309</v>
      </c>
      <c r="E3" s="158" t="str">
        <f>HYPERLINK("https://youtu.be/xyjLK89Xf-4","channel 1")</f>
        <v>channel 1</v>
      </c>
    </row>
    <row r="4">
      <c r="B4" s="110" t="s">
        <v>422</v>
      </c>
      <c r="C4" s="135" t="s">
        <v>158</v>
      </c>
      <c r="D4" s="112" t="s">
        <v>4056</v>
      </c>
      <c r="E4" s="139" t="str">
        <f>HYPERLINK("https://youtu.be/n4vyhzLyELE","channel 2")</f>
        <v>channel 2</v>
      </c>
    </row>
    <row r="5">
      <c r="B5" s="110" t="s">
        <v>4188</v>
      </c>
      <c r="C5" s="135" t="s">
        <v>194</v>
      </c>
      <c r="D5" s="112" t="s">
        <v>3679</v>
      </c>
      <c r="E5" s="158" t="str">
        <f>HYPERLINK("https://youtu.be/0OvcudTO0yc","channel 1")</f>
        <v>channel 1</v>
      </c>
    </row>
    <row r="6">
      <c r="B6" s="110" t="s">
        <v>422</v>
      </c>
      <c r="C6" s="135" t="s">
        <v>208</v>
      </c>
      <c r="D6" s="112" t="s">
        <v>4309</v>
      </c>
      <c r="E6" s="139" t="str">
        <f>HYPERLINK("https://youtu.be/970erMVfDAo","channel 2")</f>
        <v>channel 2</v>
      </c>
    </row>
    <row r="7">
      <c r="B7" s="110" t="s">
        <v>4188</v>
      </c>
      <c r="C7" s="135" t="s">
        <v>181</v>
      </c>
      <c r="D7" s="112" t="s">
        <v>4056</v>
      </c>
      <c r="E7" s="69" t="str">
        <f>HYPERLINK("https://youtu.be/1tjDzjB5YZ4","channel 1")</f>
        <v>channel 1</v>
      </c>
    </row>
    <row r="8">
      <c r="B8" s="110" t="s">
        <v>422</v>
      </c>
      <c r="C8" s="135" t="s">
        <v>19</v>
      </c>
      <c r="D8" s="112" t="s">
        <v>3679</v>
      </c>
      <c r="E8" s="138" t="str">
        <f>HYPERLINK("https://youtu.be/rKgcEM1aiRU","channel 2")</f>
        <v>channel 2</v>
      </c>
    </row>
    <row r="9">
      <c r="B9" s="110" t="s">
        <v>4188</v>
      </c>
      <c r="C9" s="135" t="s">
        <v>302</v>
      </c>
      <c r="D9" s="112" t="s">
        <v>4309</v>
      </c>
      <c r="E9" s="69" t="str">
        <f>HYPERLINK("https://youtu.be/5bQdc7l18K4","channel 1")</f>
        <v>channel 1</v>
      </c>
    </row>
    <row r="10">
      <c r="B10" s="110" t="s">
        <v>4056</v>
      </c>
      <c r="C10" s="135" t="s">
        <v>185</v>
      </c>
      <c r="D10" s="112" t="s">
        <v>3679</v>
      </c>
      <c r="E10" s="138" t="str">
        <f>HYPERLINK("https://youtu.be/cWJHauP-wAU","channel 2")</f>
        <v>channel 2</v>
      </c>
    </row>
    <row r="11">
      <c r="B11" s="110" t="s">
        <v>4188</v>
      </c>
      <c r="C11" s="135" t="s">
        <v>338</v>
      </c>
      <c r="D11" s="112" t="s">
        <v>422</v>
      </c>
      <c r="E11" s="69" t="str">
        <f>HYPERLINK("https://youtu.be/py7dPnKTKTo","channel 1")</f>
        <v>channel 1</v>
      </c>
    </row>
    <row r="12">
      <c r="B12" s="110" t="s">
        <v>4056</v>
      </c>
      <c r="C12" s="135" t="s">
        <v>27</v>
      </c>
      <c r="D12" s="112" t="s">
        <v>4309</v>
      </c>
      <c r="E12" s="138" t="str">
        <f>HYPERLINK("https://youtu.be/Kq5zFxmTVkQ","channel 2")</f>
        <v>channel 2</v>
      </c>
    </row>
    <row r="13">
      <c r="B13" s="110" t="s">
        <v>4309</v>
      </c>
      <c r="C13" s="135" t="s">
        <v>508</v>
      </c>
      <c r="D13" s="112" t="s">
        <v>3679</v>
      </c>
      <c r="E13" s="69" t="str">
        <f>HYPERLINK("https://youtu.be/9Y32A2fRa2o","channel 1")</f>
        <v>channel 1</v>
      </c>
    </row>
    <row r="14">
      <c r="B14" s="110" t="s">
        <v>4056</v>
      </c>
      <c r="C14" s="135" t="s">
        <v>1553</v>
      </c>
      <c r="D14" s="112" t="s">
        <v>422</v>
      </c>
      <c r="E14" s="138" t="str">
        <f>HYPERLINK("https://youtu.be/rpByql7mi1s","channel 2")</f>
        <v>channel 2</v>
      </c>
    </row>
    <row r="15">
      <c r="B15" s="110" t="s">
        <v>3679</v>
      </c>
      <c r="C15" s="135" t="s">
        <v>229</v>
      </c>
      <c r="D15" s="112" t="s">
        <v>4188</v>
      </c>
      <c r="E15" s="69" t="str">
        <f>HYPERLINK("https://youtu.be/GZuHKWg7Fd8","channel 1")</f>
        <v>channel 1</v>
      </c>
    </row>
    <row r="16">
      <c r="B16" s="110" t="s">
        <v>4309</v>
      </c>
      <c r="C16" s="135" t="s">
        <v>158</v>
      </c>
      <c r="D16" s="112" t="s">
        <v>422</v>
      </c>
      <c r="E16" s="138" t="str">
        <f>HYPERLINK("https://youtu.be/29dCuF2a9qY","channel 2")</f>
        <v>channel 2</v>
      </c>
    </row>
    <row r="17">
      <c r="B17" s="110" t="s">
        <v>4056</v>
      </c>
      <c r="C17" s="135" t="s">
        <v>14</v>
      </c>
      <c r="D17" s="112" t="s">
        <v>4188</v>
      </c>
      <c r="E17" s="69" t="str">
        <f>HYPERLINK("https://youtu.be/zfxOEOOxF90","channel 1")</f>
        <v>channel 1</v>
      </c>
    </row>
    <row r="18">
      <c r="B18" s="110" t="s">
        <v>3679</v>
      </c>
      <c r="C18" s="135" t="s">
        <v>18</v>
      </c>
      <c r="D18" s="112" t="s">
        <v>422</v>
      </c>
      <c r="E18" s="138" t="str">
        <f>HYPERLINK("https://youtu.be/H3mQ4gVMl8I","channel 2")</f>
        <v>channel 2</v>
      </c>
    </row>
    <row r="19">
      <c r="B19" s="110" t="s">
        <v>4309</v>
      </c>
      <c r="C19" s="135" t="s">
        <v>158</v>
      </c>
      <c r="D19" s="112" t="s">
        <v>4188</v>
      </c>
      <c r="E19" s="69" t="str">
        <f>HYPERLINK("https://youtu.be/CUZdgbB4bbs","channel 1")</f>
        <v>channel 1</v>
      </c>
    </row>
    <row r="20">
      <c r="B20" s="110" t="s">
        <v>3679</v>
      </c>
      <c r="C20" s="135" t="s">
        <v>205</v>
      </c>
      <c r="D20" s="112" t="s">
        <v>4056</v>
      </c>
      <c r="E20" s="138" t="str">
        <f>HYPERLINK("https://youtu.be/_Ii452JpzU0","channel 2")</f>
        <v>channel 2</v>
      </c>
    </row>
    <row r="21">
      <c r="B21" s="110" t="s">
        <v>422</v>
      </c>
      <c r="C21" s="135" t="s">
        <v>210</v>
      </c>
      <c r="D21" s="112" t="s">
        <v>4188</v>
      </c>
      <c r="E21" s="69" t="str">
        <f>HYPERLINK("https://youtu.be/Iw-uwAy2QyA","channel 1")</f>
        <v>channel 1</v>
      </c>
    </row>
    <row r="22">
      <c r="B22" s="110" t="s">
        <v>4309</v>
      </c>
      <c r="C22" s="135" t="s">
        <v>193</v>
      </c>
      <c r="D22" s="112" t="s">
        <v>4056</v>
      </c>
      <c r="E22" s="138" t="str">
        <f>HYPERLINK("https://youtu.be/8iZZ29GM2ZI","channel 2")</f>
        <v>channel 2</v>
      </c>
    </row>
    <row r="23">
      <c r="B23" s="173" t="s">
        <v>1782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61" t="s">
        <v>3525</v>
      </c>
      <c r="C25" s="179" t="s">
        <v>18</v>
      </c>
      <c r="D25" s="180" t="s">
        <v>3556</v>
      </c>
      <c r="E25" s="158" t="str">
        <f>HYPERLINK("https://youtu.be/AOcRHwFJ5RY","channel 1")</f>
        <v>channel 1</v>
      </c>
    </row>
    <row r="26">
      <c r="B26" s="110" t="s">
        <v>4310</v>
      </c>
      <c r="C26" s="135" t="s">
        <v>309</v>
      </c>
      <c r="D26" s="112" t="s">
        <v>4311</v>
      </c>
      <c r="E26" s="139" t="str">
        <f>HYPERLINK("https://youtu.be/oGkyJDFOMYY","channel 2")</f>
        <v>channel 2</v>
      </c>
    </row>
    <row r="27">
      <c r="B27" s="110" t="s">
        <v>3461</v>
      </c>
      <c r="C27" s="135" t="s">
        <v>19</v>
      </c>
      <c r="D27" s="112" t="s">
        <v>3525</v>
      </c>
      <c r="E27" s="158" t="str">
        <f>HYPERLINK("https://youtu.be/2g6eFmoe0DU","channel 1")</f>
        <v>channel 1</v>
      </c>
    </row>
    <row r="28">
      <c r="B28" s="110" t="s">
        <v>4310</v>
      </c>
      <c r="C28" s="135" t="s">
        <v>162</v>
      </c>
      <c r="D28" s="112" t="s">
        <v>3556</v>
      </c>
      <c r="E28" s="139" t="str">
        <f>HYPERLINK("https://youtu.be/ZKsVCpYkVtw","channel 2")</f>
        <v>channel 2</v>
      </c>
    </row>
    <row r="29">
      <c r="B29" s="110" t="s">
        <v>3461</v>
      </c>
      <c r="C29" s="135" t="s">
        <v>219</v>
      </c>
      <c r="D29" s="112" t="s">
        <v>4311</v>
      </c>
      <c r="E29" s="69" t="str">
        <f>HYPERLINK("https://youtu.be/pR6lBt_wdu4","channel 1")</f>
        <v>channel 1</v>
      </c>
    </row>
    <row r="30">
      <c r="B30" s="110" t="s">
        <v>4310</v>
      </c>
      <c r="C30" s="135" t="s">
        <v>155</v>
      </c>
      <c r="D30" s="112" t="s">
        <v>3525</v>
      </c>
      <c r="E30" s="138" t="str">
        <f>HYPERLINK("https://youtu.be/VhL6YYaNS-g","channel 2")</f>
        <v>channel 2</v>
      </c>
    </row>
    <row r="31">
      <c r="B31" s="110" t="s">
        <v>3461</v>
      </c>
      <c r="C31" s="135" t="s">
        <v>209</v>
      </c>
      <c r="D31" s="112" t="s">
        <v>3556</v>
      </c>
      <c r="E31" s="69" t="str">
        <f>HYPERLINK("https://youtu.be/auHShgmXjuI","channel 1")</f>
        <v>channel 1</v>
      </c>
    </row>
    <row r="32">
      <c r="B32" s="110" t="s">
        <v>4311</v>
      </c>
      <c r="C32" s="135" t="s">
        <v>185</v>
      </c>
      <c r="D32" s="112" t="s">
        <v>3525</v>
      </c>
      <c r="E32" s="138" t="str">
        <f>HYPERLINK("https://youtu.be/V6l-aln60YE","channel 2")</f>
        <v>channel 2</v>
      </c>
    </row>
    <row r="33">
      <c r="B33" s="110" t="s">
        <v>3461</v>
      </c>
      <c r="C33" s="135" t="s">
        <v>292</v>
      </c>
      <c r="D33" s="112" t="s">
        <v>4310</v>
      </c>
      <c r="E33" s="69" t="str">
        <f>HYPERLINK("https://youtu.be/GQrPGHxxCA0","channel 1")</f>
        <v>channel 1</v>
      </c>
    </row>
    <row r="34">
      <c r="B34" s="110" t="s">
        <v>4311</v>
      </c>
      <c r="C34" s="135" t="s">
        <v>1120</v>
      </c>
      <c r="D34" s="112" t="s">
        <v>3556</v>
      </c>
      <c r="E34" s="138" t="str">
        <f>HYPERLINK("https://youtu.be/gmvWljZ_mTY","channel 2")</f>
        <v>channel 2</v>
      </c>
    </row>
    <row r="35">
      <c r="B35" s="110" t="s">
        <v>3556</v>
      </c>
      <c r="C35" s="135" t="s">
        <v>18</v>
      </c>
      <c r="D35" s="112" t="s">
        <v>3525</v>
      </c>
      <c r="E35" s="69" t="str">
        <f>HYPERLINK("https://youtu.be/MTl14QnyU7w","channel 1")</f>
        <v>channel 1</v>
      </c>
    </row>
    <row r="36">
      <c r="B36" s="110" t="s">
        <v>4311</v>
      </c>
      <c r="C36" s="135" t="s">
        <v>393</v>
      </c>
      <c r="D36" s="112" t="s">
        <v>4310</v>
      </c>
      <c r="E36" s="138" t="str">
        <f>HYPERLINK("https://youtu.be/hPfJ9xrNbJE","channel 2")</f>
        <v>channel 2</v>
      </c>
    </row>
    <row r="37">
      <c r="B37" s="110" t="s">
        <v>3525</v>
      </c>
      <c r="C37" s="135" t="s">
        <v>210</v>
      </c>
      <c r="D37" s="112" t="s">
        <v>3461</v>
      </c>
      <c r="E37" s="69" t="str">
        <f>HYPERLINK("https://youtu.be/kgTUBOkpm-s","channel 1")</f>
        <v>channel 1</v>
      </c>
    </row>
    <row r="38">
      <c r="B38" s="110" t="s">
        <v>3556</v>
      </c>
      <c r="C38" s="135" t="s">
        <v>158</v>
      </c>
      <c r="D38" s="112" t="s">
        <v>4310</v>
      </c>
      <c r="E38" s="138" t="str">
        <f>HYPERLINK("https://youtu.be/6TQYD88o2J4","channel 2")</f>
        <v>channel 2</v>
      </c>
    </row>
    <row r="39">
      <c r="B39" s="110" t="s">
        <v>4311</v>
      </c>
      <c r="C39" s="135" t="s">
        <v>302</v>
      </c>
      <c r="D39" s="112" t="s">
        <v>3461</v>
      </c>
      <c r="E39" s="69" t="str">
        <f>HYPERLINK("https://youtu.be/wTDqc3r8wq8","channel 1")</f>
        <v>channel 1</v>
      </c>
    </row>
    <row r="40">
      <c r="B40" s="110" t="s">
        <v>3525</v>
      </c>
      <c r="C40" s="135" t="s">
        <v>41</v>
      </c>
      <c r="D40" s="112" t="s">
        <v>4310</v>
      </c>
      <c r="E40" s="138" t="str">
        <f>HYPERLINK("https://youtu.be/hrDCTEVdCfQ","channel 2")</f>
        <v>channel 2</v>
      </c>
    </row>
    <row r="41">
      <c r="B41" s="110" t="s">
        <v>3556</v>
      </c>
      <c r="C41" s="135" t="s">
        <v>198</v>
      </c>
      <c r="D41" s="112" t="s">
        <v>3461</v>
      </c>
      <c r="E41" s="69" t="str">
        <f>HYPERLINK("https://youtu.be/knDtV3RG_sw","channel 1")</f>
        <v>channel 1</v>
      </c>
    </row>
    <row r="42">
      <c r="B42" s="110" t="s">
        <v>3525</v>
      </c>
      <c r="C42" s="135" t="s">
        <v>302</v>
      </c>
      <c r="D42" s="112" t="s">
        <v>4311</v>
      </c>
      <c r="E42" s="138" t="str">
        <f>HYPERLINK("https://youtu.be/lWxYPSW5Y40","channel 2")</f>
        <v>channel 2</v>
      </c>
    </row>
    <row r="43">
      <c r="B43" s="110" t="s">
        <v>4310</v>
      </c>
      <c r="C43" s="135" t="s">
        <v>219</v>
      </c>
      <c r="D43" s="112" t="s">
        <v>3461</v>
      </c>
      <c r="E43" s="69" t="str">
        <f>HYPERLINK("https://youtu.be/10fXITNKVt8","channel 1")</f>
        <v>channel 1</v>
      </c>
    </row>
    <row r="44">
      <c r="B44" s="110" t="s">
        <v>3556</v>
      </c>
      <c r="C44" s="135" t="s">
        <v>279</v>
      </c>
      <c r="D44" s="112" t="s">
        <v>4311</v>
      </c>
      <c r="E44" s="138" t="str">
        <f>HYPERLINK("https://youtu.be/EsMOa4VvTao","channel 2")</f>
        <v>channel 2</v>
      </c>
    </row>
    <row r="45">
      <c r="B45" s="173" t="s">
        <v>2483</v>
      </c>
      <c r="C45" s="37"/>
      <c r="D45" s="37"/>
      <c r="E45" s="38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61" t="s">
        <v>4312</v>
      </c>
      <c r="C47" s="179" t="s">
        <v>34</v>
      </c>
      <c r="D47" s="180" t="s">
        <v>4313</v>
      </c>
      <c r="E47" s="158" t="str">
        <f>HYPERLINK("https://youtu.be/PaTpHg2lFn8","channel 1")</f>
        <v>channel 1</v>
      </c>
    </row>
    <row r="48">
      <c r="B48" s="110" t="s">
        <v>3839</v>
      </c>
      <c r="C48" s="135" t="s">
        <v>185</v>
      </c>
      <c r="D48" s="112" t="s">
        <v>3219</v>
      </c>
      <c r="E48" s="139" t="str">
        <f>HYPERLINK("https://youtu.be/eNDbAfpI568","channel 2")</f>
        <v>channel 2</v>
      </c>
    </row>
    <row r="49">
      <c r="B49" s="110" t="s">
        <v>3987</v>
      </c>
      <c r="C49" s="135" t="s">
        <v>404</v>
      </c>
      <c r="D49" s="112" t="s">
        <v>4312</v>
      </c>
      <c r="E49" s="158" t="str">
        <f>HYPERLINK("https://youtu.be/Ubyw8Slcadk","channel 1")</f>
        <v>channel 1</v>
      </c>
    </row>
    <row r="50">
      <c r="B50" s="110" t="s">
        <v>3839</v>
      </c>
      <c r="C50" s="135" t="s">
        <v>17</v>
      </c>
      <c r="D50" s="112" t="s">
        <v>4313</v>
      </c>
      <c r="E50" s="139" t="str">
        <f>HYPERLINK("https://youtu.be/FDpipli9kXw","channel 2")</f>
        <v>channel 2</v>
      </c>
    </row>
    <row r="51">
      <c r="B51" s="110" t="s">
        <v>3987</v>
      </c>
      <c r="C51" s="135" t="s">
        <v>517</v>
      </c>
      <c r="D51" s="112" t="s">
        <v>3219</v>
      </c>
      <c r="E51" s="69" t="str">
        <f>HYPERLINK("https://youtu.be/8w84LVC7ObA","channel 1")</f>
        <v>channel 1</v>
      </c>
    </row>
    <row r="52">
      <c r="B52" s="110" t="s">
        <v>3839</v>
      </c>
      <c r="C52" s="135" t="s">
        <v>344</v>
      </c>
      <c r="D52" s="112" t="s">
        <v>4312</v>
      </c>
      <c r="E52" s="138" t="str">
        <f>HYPERLINK("https://youtu.be/fQplMZos6bU","channel 2")</f>
        <v>channel 2</v>
      </c>
    </row>
    <row r="53">
      <c r="B53" s="110" t="s">
        <v>3987</v>
      </c>
      <c r="C53" s="135" t="s">
        <v>19</v>
      </c>
      <c r="D53" s="112" t="s">
        <v>4313</v>
      </c>
      <c r="E53" s="69" t="str">
        <f>HYPERLINK("https://youtu.be/5cN9QwuC3l0","channel 1")</f>
        <v>channel 1</v>
      </c>
    </row>
    <row r="54">
      <c r="B54" s="110" t="s">
        <v>3219</v>
      </c>
      <c r="C54" s="135" t="s">
        <v>161</v>
      </c>
      <c r="D54" s="112" t="s">
        <v>4312</v>
      </c>
      <c r="E54" s="138" t="str">
        <f>HYPERLINK("https://youtu.be/4wUwUYJBZTw","channel 2")</f>
        <v>channel 2</v>
      </c>
    </row>
    <row r="55">
      <c r="B55" s="110" t="s">
        <v>3987</v>
      </c>
      <c r="C55" s="135" t="s">
        <v>27</v>
      </c>
      <c r="D55" s="112" t="s">
        <v>3839</v>
      </c>
      <c r="E55" s="69" t="str">
        <f>HYPERLINK("https://youtu.be/ueJ963eN7zI","channel 1")</f>
        <v>channel 1</v>
      </c>
    </row>
    <row r="56">
      <c r="B56" s="110" t="s">
        <v>3219</v>
      </c>
      <c r="C56" s="135" t="s">
        <v>158</v>
      </c>
      <c r="D56" s="112" t="s">
        <v>4313</v>
      </c>
      <c r="E56" s="138" t="str">
        <f>HYPERLINK("https://youtu.be/o_mGojT4bzw","channel 2")</f>
        <v>channel 2</v>
      </c>
    </row>
    <row r="57">
      <c r="B57" s="110" t="s">
        <v>4313</v>
      </c>
      <c r="C57" s="135" t="s">
        <v>302</v>
      </c>
      <c r="D57" s="112" t="s">
        <v>4312</v>
      </c>
      <c r="E57" s="69" t="str">
        <f>HYPERLINK("https://youtu.be/jMZCEXJy-RA","channel 1")</f>
        <v>channel 1</v>
      </c>
    </row>
    <row r="58">
      <c r="B58" s="110" t="s">
        <v>3219</v>
      </c>
      <c r="C58" s="135" t="s">
        <v>233</v>
      </c>
      <c r="D58" s="112" t="s">
        <v>3839</v>
      </c>
      <c r="E58" s="138" t="str">
        <f>HYPERLINK("https://youtu.be/R9ytnC8uwT0","channel 2")</f>
        <v>channel 2</v>
      </c>
    </row>
    <row r="59">
      <c r="B59" s="110" t="s">
        <v>4312</v>
      </c>
      <c r="C59" s="135" t="s">
        <v>181</v>
      </c>
      <c r="D59" s="112" t="s">
        <v>3987</v>
      </c>
      <c r="E59" s="69" t="str">
        <f>HYPERLINK("https://youtu.be/h2_8dp8XMqs","channel 1")</f>
        <v>channel 1</v>
      </c>
    </row>
    <row r="60">
      <c r="B60" s="110" t="s">
        <v>4313</v>
      </c>
      <c r="C60" s="135" t="s">
        <v>41</v>
      </c>
      <c r="D60" s="112" t="s">
        <v>3839</v>
      </c>
      <c r="E60" s="138" t="str">
        <f>HYPERLINK("https://youtu.be/6EZdKHabteU","channel 2")</f>
        <v>channel 2</v>
      </c>
    </row>
    <row r="61">
      <c r="B61" s="110" t="s">
        <v>3219</v>
      </c>
      <c r="C61" s="181" t="s">
        <v>248</v>
      </c>
      <c r="D61" s="112" t="s">
        <v>3987</v>
      </c>
      <c r="E61" s="69" t="str">
        <f>HYPERLINK("https://youtu.be/YEi2JHeX2bo","channel 1")</f>
        <v>channel 1</v>
      </c>
    </row>
    <row r="62">
      <c r="B62" s="110" t="s">
        <v>4312</v>
      </c>
      <c r="C62" s="135" t="s">
        <v>856</v>
      </c>
      <c r="D62" s="112" t="s">
        <v>3839</v>
      </c>
      <c r="E62" s="138" t="str">
        <f>HYPERLINK("https://youtu.be/OclXpgwTXI4","channel 2")</f>
        <v>channel 2</v>
      </c>
    </row>
    <row r="63">
      <c r="B63" s="110" t="s">
        <v>4313</v>
      </c>
      <c r="C63" s="135" t="s">
        <v>36</v>
      </c>
      <c r="D63" s="112" t="s">
        <v>3987</v>
      </c>
      <c r="E63" s="69" t="str">
        <f>HYPERLINK("https://youtu.be/9j8DRsC5KkU","channel 1")</f>
        <v>channel 1</v>
      </c>
    </row>
    <row r="64">
      <c r="B64" s="110" t="s">
        <v>4312</v>
      </c>
      <c r="C64" s="135" t="s">
        <v>44</v>
      </c>
      <c r="D64" s="112" t="s">
        <v>3219</v>
      </c>
      <c r="E64" s="138" t="str">
        <f>HYPERLINK("https://youtu.be/lrjFPHhoJkQ","channel 2")</f>
        <v>channel 2</v>
      </c>
    </row>
    <row r="65">
      <c r="B65" s="110" t="s">
        <v>3839</v>
      </c>
      <c r="C65" s="135" t="s">
        <v>219</v>
      </c>
      <c r="D65" s="112" t="s">
        <v>3987</v>
      </c>
      <c r="E65" s="69" t="str">
        <f>HYPERLINK("https://youtu.be/0oOqi6wKoC4","channel 1")</f>
        <v>channel 1</v>
      </c>
    </row>
    <row r="66">
      <c r="B66" s="110" t="s">
        <v>4313</v>
      </c>
      <c r="C66" s="135" t="s">
        <v>38</v>
      </c>
      <c r="D66" s="112" t="s">
        <v>3219</v>
      </c>
      <c r="E66" s="138" t="str">
        <f>HYPERLINK("https://youtu.be/DDd0V_gxnzY","channel 2")</f>
        <v>channel 2</v>
      </c>
    </row>
    <row r="67">
      <c r="B67" s="173" t="s">
        <v>4314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61" t="s">
        <v>4315</v>
      </c>
      <c r="C69" s="179" t="s">
        <v>219</v>
      </c>
      <c r="D69" s="180" t="s">
        <v>3895</v>
      </c>
      <c r="E69" s="158" t="str">
        <f>HYPERLINK("https://youtu.be/kCi1FzodwAU","channel 1")</f>
        <v>channel 1</v>
      </c>
    </row>
    <row r="70">
      <c r="B70" s="110" t="s">
        <v>3892</v>
      </c>
      <c r="C70" s="135" t="s">
        <v>177</v>
      </c>
      <c r="D70" s="112" t="s">
        <v>2102</v>
      </c>
      <c r="E70" s="139" t="str">
        <f>HYPERLINK("https://youtu.be/OTyO3KY5jRM","channel 2")</f>
        <v>channel 2</v>
      </c>
    </row>
    <row r="71">
      <c r="B71" s="110" t="s">
        <v>4316</v>
      </c>
      <c r="C71" s="135" t="s">
        <v>316</v>
      </c>
      <c r="D71" s="112" t="s">
        <v>4315</v>
      </c>
      <c r="E71" s="158" t="str">
        <f>HYPERLINK("https://youtu.be/dk_oIBeD44U","channel 1")</f>
        <v>channel 1</v>
      </c>
    </row>
    <row r="72">
      <c r="B72" s="110" t="s">
        <v>3892</v>
      </c>
      <c r="C72" s="135" t="s">
        <v>419</v>
      </c>
      <c r="D72" s="112" t="s">
        <v>3895</v>
      </c>
      <c r="E72" s="139" t="str">
        <f>HYPERLINK("https://youtu.be/VwFTdxi3dyc","channel 2")</f>
        <v>channel 2</v>
      </c>
    </row>
    <row r="73">
      <c r="B73" s="110" t="s">
        <v>4316</v>
      </c>
      <c r="C73" s="135" t="s">
        <v>173</v>
      </c>
      <c r="D73" s="112" t="s">
        <v>2102</v>
      </c>
      <c r="E73" s="69" t="str">
        <f>HYPERLINK("https://youtu.be/wG3UqzbwVLk","channel 1")</f>
        <v>channel 1</v>
      </c>
    </row>
    <row r="74">
      <c r="B74" s="110" t="s">
        <v>3892</v>
      </c>
      <c r="C74" s="135" t="s">
        <v>219</v>
      </c>
      <c r="D74" s="112" t="s">
        <v>4315</v>
      </c>
      <c r="E74" s="138" t="str">
        <f>HYPERLINK("https://youtu.be/O-c1jd3GgtI","channel 2")</f>
        <v>channel 2</v>
      </c>
    </row>
    <row r="75">
      <c r="B75" s="110" t="s">
        <v>4316</v>
      </c>
      <c r="C75" s="135" t="s">
        <v>362</v>
      </c>
      <c r="D75" s="112" t="s">
        <v>3895</v>
      </c>
      <c r="E75" s="69" t="str">
        <f>HYPERLINK("https://youtu.be/AJStd4ifAU0","channel 1")</f>
        <v>channel 1</v>
      </c>
    </row>
    <row r="76">
      <c r="B76" s="110" t="s">
        <v>2102</v>
      </c>
      <c r="C76" s="135" t="s">
        <v>250</v>
      </c>
      <c r="D76" s="112" t="s">
        <v>4315</v>
      </c>
      <c r="E76" s="138" t="str">
        <f>HYPERLINK("https://youtu.be/EoT3OabRWPQ","channel 2")</f>
        <v>channel 2</v>
      </c>
    </row>
    <row r="77">
      <c r="B77" s="110" t="s">
        <v>4316</v>
      </c>
      <c r="C77" s="135" t="s">
        <v>20</v>
      </c>
      <c r="D77" s="112" t="s">
        <v>3892</v>
      </c>
      <c r="E77" s="69" t="str">
        <f>HYPERLINK("https://youtu.be/RAyJIn0H8L0","channel 1")</f>
        <v>channel 1</v>
      </c>
    </row>
    <row r="78">
      <c r="B78" s="110" t="s">
        <v>2102</v>
      </c>
      <c r="C78" s="135" t="s">
        <v>171</v>
      </c>
      <c r="D78" s="112" t="s">
        <v>3895</v>
      </c>
      <c r="E78" s="138" t="str">
        <f>HYPERLINK("https://youtu.be/34sDWexNs_U","channel 2")</f>
        <v>channel 2</v>
      </c>
    </row>
    <row r="79">
      <c r="B79" s="110" t="s">
        <v>3895</v>
      </c>
      <c r="C79" s="135" t="s">
        <v>219</v>
      </c>
      <c r="D79" s="112" t="s">
        <v>4315</v>
      </c>
      <c r="E79" s="69" t="str">
        <f>HYPERLINK("https://youtu.be/FRt04lLQg9I","channel 1")</f>
        <v>channel 1</v>
      </c>
    </row>
    <row r="80">
      <c r="B80" s="110" t="s">
        <v>2102</v>
      </c>
      <c r="C80" s="135" t="s">
        <v>248</v>
      </c>
      <c r="D80" s="112" t="s">
        <v>3892</v>
      </c>
      <c r="E80" s="138" t="str">
        <f>HYPERLINK("https://youtu.be/ILaJIIPthlA","channel 2")</f>
        <v>channel 2</v>
      </c>
    </row>
    <row r="81">
      <c r="B81" s="110" t="s">
        <v>4315</v>
      </c>
      <c r="C81" s="135" t="s">
        <v>195</v>
      </c>
      <c r="D81" s="112" t="s">
        <v>4316</v>
      </c>
      <c r="E81" s="69" t="str">
        <f>HYPERLINK("https://youtu.be/JfGdFQPtQR4","channel 1")</f>
        <v>channel 1</v>
      </c>
    </row>
    <row r="82">
      <c r="B82" s="110" t="s">
        <v>3895</v>
      </c>
      <c r="C82" s="135" t="s">
        <v>524</v>
      </c>
      <c r="D82" s="112" t="s">
        <v>3892</v>
      </c>
      <c r="E82" s="138" t="str">
        <f>HYPERLINK("https://youtu.be/pyFPhQ20Py8","channel 2")</f>
        <v>channel 2</v>
      </c>
    </row>
    <row r="83">
      <c r="B83" s="110" t="s">
        <v>2102</v>
      </c>
      <c r="C83" s="135" t="s">
        <v>257</v>
      </c>
      <c r="D83" s="112" t="s">
        <v>4316</v>
      </c>
      <c r="E83" s="69" t="str">
        <f>HYPERLINK("https://youtu.be/ZzzbDSlAnW4","channel 1")</f>
        <v>channel 1</v>
      </c>
    </row>
    <row r="84">
      <c r="B84" s="110" t="s">
        <v>4315</v>
      </c>
      <c r="C84" s="135" t="s">
        <v>231</v>
      </c>
      <c r="D84" s="112" t="s">
        <v>3892</v>
      </c>
      <c r="E84" s="138" t="str">
        <f>HYPERLINK("https://youtu.be/gXGzXleILeQ","channel 2")</f>
        <v>channel 2</v>
      </c>
    </row>
    <row r="85">
      <c r="B85" s="110" t="s">
        <v>3895</v>
      </c>
      <c r="C85" s="135" t="s">
        <v>1226</v>
      </c>
      <c r="D85" s="112" t="s">
        <v>4316</v>
      </c>
      <c r="E85" s="69" t="str">
        <f>HYPERLINK("https://youtu.be/JAFbXQlDrlY","channel 1")</f>
        <v>channel 1</v>
      </c>
    </row>
    <row r="86">
      <c r="B86" s="110" t="s">
        <v>4315</v>
      </c>
      <c r="C86" s="135" t="s">
        <v>209</v>
      </c>
      <c r="D86" s="112" t="s">
        <v>2102</v>
      </c>
      <c r="E86" s="138" t="str">
        <f>HYPERLINK("https://youtu.be/XA1SQUyRDyY","channel 2")</f>
        <v>channel 2</v>
      </c>
    </row>
    <row r="87">
      <c r="B87" s="110" t="s">
        <v>3892</v>
      </c>
      <c r="C87" s="135" t="s">
        <v>181</v>
      </c>
      <c r="D87" s="112" t="s">
        <v>4316</v>
      </c>
      <c r="E87" s="69" t="str">
        <f>HYPERLINK("https://youtu.be/dAusmdagxS4","channel 1")</f>
        <v>channel 1</v>
      </c>
    </row>
    <row r="88">
      <c r="B88" s="110" t="s">
        <v>3895</v>
      </c>
      <c r="C88" s="135" t="s">
        <v>43</v>
      </c>
      <c r="D88" s="112" t="s">
        <v>2102</v>
      </c>
      <c r="E88" s="138" t="str">
        <f>HYPERLINK("https://youtu.be/NqMoC_w1QTs","channel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4256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4317</v>
      </c>
      <c r="C3" s="179" t="s">
        <v>208</v>
      </c>
      <c r="D3" s="186" t="s">
        <v>3208</v>
      </c>
      <c r="E3" s="158" t="str">
        <f>HYPERLINK("https://youtu.be/O3GJCMZIOiQ","channel 1")</f>
        <v>channel 1</v>
      </c>
    </row>
    <row r="4">
      <c r="B4" s="123" t="s">
        <v>4095</v>
      </c>
      <c r="C4" s="135" t="s">
        <v>23</v>
      </c>
      <c r="D4" s="124" t="s">
        <v>4318</v>
      </c>
      <c r="E4" s="139" t="str">
        <f>HYPERLINK("https://youtu.be/SXghyOasdsY","channel 2")</f>
        <v>channel 2</v>
      </c>
    </row>
    <row r="5">
      <c r="B5" s="123" t="s">
        <v>4319</v>
      </c>
      <c r="C5" s="135" t="s">
        <v>158</v>
      </c>
      <c r="D5" s="124" t="s">
        <v>4317</v>
      </c>
      <c r="E5" s="158" t="str">
        <f>HYPERLINK("https://youtu.be/o1vV3BAB9us","channel 1")</f>
        <v>channel 1</v>
      </c>
    </row>
    <row r="6">
      <c r="B6" s="123" t="s">
        <v>4095</v>
      </c>
      <c r="C6" s="135" t="s">
        <v>7</v>
      </c>
      <c r="D6" s="124" t="s">
        <v>3208</v>
      </c>
      <c r="E6" s="139" t="str">
        <f>HYPERLINK("https://youtu.be/wFlB4yU-aNY","channel 2")</f>
        <v>channel 2</v>
      </c>
    </row>
    <row r="7">
      <c r="B7" s="123" t="s">
        <v>4319</v>
      </c>
      <c r="C7" s="135" t="s">
        <v>575</v>
      </c>
      <c r="D7" s="124" t="s">
        <v>4318</v>
      </c>
      <c r="E7" s="158" t="str">
        <f>HYPERLINK("https://youtu.be/_iBN4RTjIS8","channel 1")</f>
        <v>channel 1</v>
      </c>
    </row>
    <row r="8">
      <c r="B8" s="123" t="s">
        <v>4095</v>
      </c>
      <c r="C8" s="135" t="s">
        <v>248</v>
      </c>
      <c r="D8" s="124" t="s">
        <v>4317</v>
      </c>
      <c r="E8" s="139" t="str">
        <f>HYPERLINK("https://youtu.be/PKoodpQdh_w","channel 2")</f>
        <v>channel 2</v>
      </c>
    </row>
    <row r="9">
      <c r="B9" s="123" t="s">
        <v>4319</v>
      </c>
      <c r="C9" s="135" t="s">
        <v>1107</v>
      </c>
      <c r="D9" s="124" t="s">
        <v>3208</v>
      </c>
      <c r="E9" s="158" t="str">
        <f>HYPERLINK("https://youtu.be/AI_-VS0jjlo","channel 1")</f>
        <v>channel 1</v>
      </c>
    </row>
    <row r="10">
      <c r="B10" s="123" t="s">
        <v>4318</v>
      </c>
      <c r="C10" s="135" t="s">
        <v>41</v>
      </c>
      <c r="D10" s="124" t="s">
        <v>4317</v>
      </c>
      <c r="E10" s="139" t="str">
        <f>HYPERLINK("https://youtu.be/9nHnQ9apFKc","channel 2")</f>
        <v>channel 2</v>
      </c>
    </row>
    <row r="11">
      <c r="B11" s="123" t="s">
        <v>4319</v>
      </c>
      <c r="C11" s="135" t="s">
        <v>313</v>
      </c>
      <c r="D11" s="124" t="s">
        <v>4095</v>
      </c>
      <c r="E11" s="158" t="str">
        <f>HYPERLINK("https://youtu.be/sOfAcXDmWXA","channel 1")</f>
        <v>channel 1</v>
      </c>
    </row>
    <row r="12">
      <c r="B12" s="123" t="s">
        <v>4318</v>
      </c>
      <c r="C12" s="135" t="s">
        <v>23</v>
      </c>
      <c r="D12" s="124" t="s">
        <v>3208</v>
      </c>
      <c r="E12" s="139" t="str">
        <f>HYPERLINK("https://youtu.be/vUrd6G7BlQo","channel 2")</f>
        <v>channel 2</v>
      </c>
    </row>
    <row r="13">
      <c r="B13" s="123" t="s">
        <v>3208</v>
      </c>
      <c r="C13" s="135" t="s">
        <v>23</v>
      </c>
      <c r="D13" s="124" t="s">
        <v>4317</v>
      </c>
      <c r="E13" s="158" t="str">
        <f>HYPERLINK("https://youtu.be/Idw-l00kfsc","channel 1")</f>
        <v>channel 1</v>
      </c>
    </row>
    <row r="14">
      <c r="B14" s="123" t="s">
        <v>4318</v>
      </c>
      <c r="C14" s="135" t="s">
        <v>181</v>
      </c>
      <c r="D14" s="124" t="s">
        <v>4095</v>
      </c>
      <c r="E14" s="139" t="str">
        <f>HYPERLINK("https://youtu.be/bz8xKRNkWEM","channel 2")</f>
        <v>channel 2</v>
      </c>
    </row>
    <row r="15">
      <c r="B15" s="123" t="s">
        <v>4317</v>
      </c>
      <c r="C15" s="135" t="s">
        <v>517</v>
      </c>
      <c r="D15" s="124" t="s">
        <v>4319</v>
      </c>
      <c r="E15" s="158" t="str">
        <f>HYPERLINK("https://youtu.be/QkpF34cyJAs","channel 1")</f>
        <v>channel 1</v>
      </c>
    </row>
    <row r="16">
      <c r="B16" s="123" t="s">
        <v>3208</v>
      </c>
      <c r="C16" s="135" t="s">
        <v>19</v>
      </c>
      <c r="D16" s="124" t="s">
        <v>4095</v>
      </c>
      <c r="E16" s="139" t="str">
        <f>HYPERLINK("https://youtu.be/4DurPocWjpQ","channel 2")</f>
        <v>channel 2</v>
      </c>
    </row>
    <row r="17">
      <c r="B17" s="123" t="s">
        <v>4318</v>
      </c>
      <c r="C17" s="135" t="s">
        <v>166</v>
      </c>
      <c r="D17" s="124" t="s">
        <v>4319</v>
      </c>
      <c r="E17" s="158" t="str">
        <f>HYPERLINK("https://youtu.be/jlmLDA5iKMs","channel 1")</f>
        <v>channel 1</v>
      </c>
    </row>
    <row r="18">
      <c r="B18" s="123" t="s">
        <v>4317</v>
      </c>
      <c r="C18" s="135" t="s">
        <v>177</v>
      </c>
      <c r="D18" s="124" t="s">
        <v>4095</v>
      </c>
      <c r="E18" s="139" t="str">
        <f>HYPERLINK("https://youtu.be/jlxP2uBp5No","channel 2")</f>
        <v>channel 2</v>
      </c>
    </row>
    <row r="19">
      <c r="B19" s="123" t="s">
        <v>3208</v>
      </c>
      <c r="C19" s="135" t="s">
        <v>425</v>
      </c>
      <c r="D19" s="124" t="s">
        <v>4319</v>
      </c>
      <c r="E19" s="158" t="str">
        <f>HYPERLINK("https://youtu.be/w3yd7jtGV4s","channel 1")</f>
        <v>channel 1</v>
      </c>
    </row>
    <row r="20">
      <c r="B20" s="123" t="s">
        <v>4317</v>
      </c>
      <c r="C20" s="135" t="s">
        <v>24</v>
      </c>
      <c r="D20" s="124" t="s">
        <v>4318</v>
      </c>
      <c r="E20" s="139" t="str">
        <f>HYPERLINK("https://youtu.be/ZRsYx-sQCKM","channel 2")</f>
        <v>channel 2</v>
      </c>
    </row>
    <row r="21">
      <c r="B21" s="123" t="s">
        <v>4095</v>
      </c>
      <c r="C21" s="135" t="s">
        <v>2600</v>
      </c>
      <c r="D21" s="124" t="s">
        <v>4319</v>
      </c>
      <c r="E21" s="158" t="str">
        <f>HYPERLINK("https://youtu.be/WJ-MvXmxMGY","channel 1")</f>
        <v>channel 1</v>
      </c>
    </row>
    <row r="22">
      <c r="B22" s="123" t="s">
        <v>3208</v>
      </c>
      <c r="C22" s="135" t="s">
        <v>158</v>
      </c>
      <c r="D22" s="124" t="s">
        <v>4318</v>
      </c>
      <c r="E22" s="139" t="str">
        <f>HYPERLINK("https://youtu.be/6vQPH0ophuE","channel 2")</f>
        <v>channel 2</v>
      </c>
    </row>
    <row r="23">
      <c r="B23" s="173" t="s">
        <v>2207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123" t="s">
        <v>4320</v>
      </c>
      <c r="C25" s="135" t="s">
        <v>218</v>
      </c>
      <c r="D25" s="124" t="s">
        <v>4141</v>
      </c>
      <c r="E25" s="158" t="str">
        <f>HYPERLINK("https://youtu.be/jjm1Wz7hB1I","channel 1")</f>
        <v>channel 1</v>
      </c>
    </row>
    <row r="26">
      <c r="B26" s="123" t="s">
        <v>2775</v>
      </c>
      <c r="C26" s="135" t="s">
        <v>566</v>
      </c>
      <c r="D26" s="124" t="s">
        <v>4321</v>
      </c>
      <c r="E26" s="139" t="str">
        <f>HYPERLINK("https://youtu.be/7NMZkRTOhDY","channel 2")</f>
        <v>channel 2</v>
      </c>
    </row>
    <row r="27">
      <c r="B27" s="123" t="s">
        <v>3850</v>
      </c>
      <c r="C27" s="135" t="s">
        <v>193</v>
      </c>
      <c r="D27" s="124" t="s">
        <v>4320</v>
      </c>
      <c r="E27" s="158" t="str">
        <f>HYPERLINK("https://youtu.be/1Z1VFKRzD7I","channel 1")</f>
        <v>channel 1</v>
      </c>
    </row>
    <row r="28">
      <c r="B28" s="123" t="s">
        <v>2775</v>
      </c>
      <c r="C28" s="135" t="s">
        <v>20</v>
      </c>
      <c r="D28" s="124" t="s">
        <v>4141</v>
      </c>
      <c r="E28" s="139" t="str">
        <f>HYPERLINK("https://youtu.be/OJZksrToz5g","channel 2")</f>
        <v>channel 2</v>
      </c>
    </row>
    <row r="29">
      <c r="B29" s="123" t="s">
        <v>3850</v>
      </c>
      <c r="C29" s="135" t="s">
        <v>549</v>
      </c>
      <c r="D29" s="124" t="s">
        <v>4321</v>
      </c>
      <c r="E29" s="158" t="str">
        <f>HYPERLINK("https://youtu.be/YYpTyRIALpM","channel 1")</f>
        <v>channel 1</v>
      </c>
    </row>
    <row r="30">
      <c r="B30" s="123" t="s">
        <v>2775</v>
      </c>
      <c r="C30" s="135" t="s">
        <v>576</v>
      </c>
      <c r="D30" s="124" t="s">
        <v>4320</v>
      </c>
      <c r="E30" s="139" t="str">
        <f>HYPERLINK("https://youtu.be/nynlBDuAQNc","channel 2")</f>
        <v>channel 2</v>
      </c>
    </row>
    <row r="31">
      <c r="B31" s="123" t="s">
        <v>3850</v>
      </c>
      <c r="C31" s="57" t="s">
        <v>302</v>
      </c>
      <c r="D31" s="124" t="s">
        <v>4141</v>
      </c>
      <c r="E31" s="158" t="str">
        <f>HYPERLINK("https://youtu.be/Q8EqGFaPWrA","channel 1")</f>
        <v>channel 1</v>
      </c>
    </row>
    <row r="32">
      <c r="B32" s="123" t="s">
        <v>4321</v>
      </c>
      <c r="C32" s="187" t="s">
        <v>1188</v>
      </c>
      <c r="D32" s="124" t="s">
        <v>4320</v>
      </c>
      <c r="E32" s="139" t="str">
        <f>HYPERLINK("https://youtu.be/JWl-4y6v4oE","channel 2")</f>
        <v>channel 2</v>
      </c>
    </row>
    <row r="33">
      <c r="B33" s="123" t="s">
        <v>3850</v>
      </c>
      <c r="C33" s="135" t="s">
        <v>334</v>
      </c>
      <c r="D33" s="124" t="s">
        <v>2775</v>
      </c>
      <c r="E33" s="158" t="str">
        <f>HYPERLINK("https://youtu.be/-yIwoZhVQSQ","channel 1")</f>
        <v>channel 1</v>
      </c>
    </row>
    <row r="34">
      <c r="B34" s="56" t="s">
        <v>4321</v>
      </c>
      <c r="C34" s="57" t="s">
        <v>17</v>
      </c>
      <c r="D34" s="56" t="s">
        <v>4141</v>
      </c>
      <c r="E34" s="139" t="str">
        <f>HYPERLINK("https://youtu.be/f_ZZ2D7uDL8","channel 2")</f>
        <v>channel 2</v>
      </c>
    </row>
    <row r="35">
      <c r="B35" s="56" t="s">
        <v>4141</v>
      </c>
      <c r="C35" s="57" t="s">
        <v>525</v>
      </c>
      <c r="D35" s="56" t="s">
        <v>4320</v>
      </c>
      <c r="E35" s="158" t="str">
        <f>HYPERLINK("https://youtu.be/XvKdK4wdjj4","channel 1")</f>
        <v>channel 1</v>
      </c>
    </row>
    <row r="36">
      <c r="B36" s="56" t="s">
        <v>4321</v>
      </c>
      <c r="C36" s="57" t="s">
        <v>291</v>
      </c>
      <c r="D36" s="56" t="s">
        <v>2775</v>
      </c>
      <c r="E36" s="139" t="str">
        <f>HYPERLINK("https://youtu.be/k154nE6V1g8","channel 2")</f>
        <v>channel 2</v>
      </c>
    </row>
    <row r="37">
      <c r="B37" s="56" t="s">
        <v>4320</v>
      </c>
      <c r="C37" s="57" t="s">
        <v>195</v>
      </c>
      <c r="D37" s="56" t="s">
        <v>3850</v>
      </c>
      <c r="E37" s="158" t="str">
        <f>HYPERLINK("https://youtu.be/P0XAd4b3oBE","channel 1")</f>
        <v>channel 1</v>
      </c>
    </row>
    <row r="38">
      <c r="B38" s="56" t="s">
        <v>4141</v>
      </c>
      <c r="C38" s="57" t="s">
        <v>181</v>
      </c>
      <c r="D38" s="56" t="s">
        <v>2775</v>
      </c>
      <c r="E38" s="139" t="str">
        <f>HYPERLINK("https://youtu.be/-RZQuPom1QY","channel 2")</f>
        <v>channel 2</v>
      </c>
    </row>
    <row r="39">
      <c r="B39" s="56" t="s">
        <v>4321</v>
      </c>
      <c r="C39" s="57" t="s">
        <v>7</v>
      </c>
      <c r="D39" s="56" t="s">
        <v>3850</v>
      </c>
      <c r="E39" s="158" t="str">
        <f>HYPERLINK("https://youtu.be/HRkihnMXbx0","channel 1")</f>
        <v>channel 1</v>
      </c>
    </row>
    <row r="40">
      <c r="B40" s="56" t="s">
        <v>4320</v>
      </c>
      <c r="C40" s="57" t="s">
        <v>22</v>
      </c>
      <c r="D40" s="56" t="s">
        <v>2775</v>
      </c>
      <c r="E40" s="139" t="str">
        <f>HYPERLINK("https://youtu.be/nRnSrMUALjw","channel 2")</f>
        <v>channel 2</v>
      </c>
    </row>
    <row r="41">
      <c r="B41" s="56" t="s">
        <v>4141</v>
      </c>
      <c r="C41" s="57" t="s">
        <v>43</v>
      </c>
      <c r="D41" s="56" t="s">
        <v>3850</v>
      </c>
      <c r="E41" s="158" t="str">
        <f>HYPERLINK("https://youtu.be/VK-wR-k0dSU","channel 1")</f>
        <v>channel 1</v>
      </c>
    </row>
    <row r="42">
      <c r="B42" s="56" t="s">
        <v>4320</v>
      </c>
      <c r="C42" s="57" t="s">
        <v>14</v>
      </c>
      <c r="D42" s="56" t="s">
        <v>4321</v>
      </c>
      <c r="E42" s="139" t="str">
        <f>HYPERLINK("https://youtu.be/OWribqnDrt4","channel 2")</f>
        <v>channel 2</v>
      </c>
    </row>
    <row r="43">
      <c r="B43" s="56" t="s">
        <v>2775</v>
      </c>
      <c r="C43" s="57" t="s">
        <v>233</v>
      </c>
      <c r="D43" s="56" t="s">
        <v>3850</v>
      </c>
      <c r="E43" s="158" t="str">
        <f>HYPERLINK("https://youtu.be/vq-eQuKC1FY","channel 1")</f>
        <v>channel 1</v>
      </c>
    </row>
    <row r="44">
      <c r="B44" s="56" t="s">
        <v>4141</v>
      </c>
      <c r="C44" s="57" t="s">
        <v>24</v>
      </c>
      <c r="D44" s="56" t="s">
        <v>4321</v>
      </c>
      <c r="E44" s="139" t="str">
        <f>HYPERLINK("https://youtu.be/7RZHq1e_37Q","channel 2")</f>
        <v>channel 2</v>
      </c>
    </row>
    <row r="45">
      <c r="B45" s="173" t="s">
        <v>2653</v>
      </c>
      <c r="C45" s="37"/>
      <c r="D45" s="37"/>
      <c r="E45" s="38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56" t="s">
        <v>4322</v>
      </c>
      <c r="C47" s="179" t="s">
        <v>20</v>
      </c>
      <c r="D47" s="186" t="s">
        <v>4323</v>
      </c>
      <c r="E47" s="158" t="str">
        <f>HYPERLINK("https://youtu.be/F_qsK7c09_w","channel 1")</f>
        <v>channel 1</v>
      </c>
    </row>
    <row r="48">
      <c r="B48" s="123" t="s">
        <v>4262</v>
      </c>
      <c r="C48" s="135" t="s">
        <v>638</v>
      </c>
      <c r="D48" s="124" t="s">
        <v>3843</v>
      </c>
      <c r="E48" s="139" t="str">
        <f>HYPERLINK("https://youtu.be/n2iRAwZ54EA","channel 2")</f>
        <v>channel 2</v>
      </c>
    </row>
    <row r="49">
      <c r="B49" s="123" t="s">
        <v>4165</v>
      </c>
      <c r="C49" s="135" t="s">
        <v>165</v>
      </c>
      <c r="D49" s="124" t="s">
        <v>4322</v>
      </c>
      <c r="E49" s="158" t="str">
        <f>HYPERLINK("https://youtu.be/3Zzo0G9F2dQ","channel 1")</f>
        <v>channel 1</v>
      </c>
    </row>
    <row r="50">
      <c r="B50" s="123" t="s">
        <v>4262</v>
      </c>
      <c r="C50" s="135" t="s">
        <v>164</v>
      </c>
      <c r="D50" s="124" t="s">
        <v>4323</v>
      </c>
      <c r="E50" s="139" t="str">
        <f>HYPERLINK("https://youtu.be/7J5I95nN5bY","channel 2")</f>
        <v>channel 2</v>
      </c>
    </row>
    <row r="51">
      <c r="B51" s="123" t="s">
        <v>4165</v>
      </c>
      <c r="C51" s="135" t="s">
        <v>256</v>
      </c>
      <c r="D51" s="124" t="s">
        <v>3843</v>
      </c>
      <c r="E51" s="158" t="str">
        <f>HYPERLINK("https://youtu.be/U53UHjtEmCM","channel 1")</f>
        <v>channel 1</v>
      </c>
    </row>
    <row r="52">
      <c r="B52" s="123" t="s">
        <v>4262</v>
      </c>
      <c r="C52" s="135" t="s">
        <v>177</v>
      </c>
      <c r="D52" s="124" t="s">
        <v>4322</v>
      </c>
      <c r="E52" s="139" t="str">
        <f>HYPERLINK("https://youtu.be/laZ9saLq79o","channel 2")</f>
        <v>channel 2</v>
      </c>
    </row>
    <row r="53">
      <c r="B53" s="123" t="s">
        <v>4165</v>
      </c>
      <c r="C53" s="135" t="s">
        <v>162</v>
      </c>
      <c r="D53" s="124" t="s">
        <v>4323</v>
      </c>
      <c r="E53" s="158" t="str">
        <f>HYPERLINK("https://youtu.be/DzUiNc424xs","channel 1")</f>
        <v>channel 1</v>
      </c>
    </row>
    <row r="54">
      <c r="B54" s="123" t="s">
        <v>3843</v>
      </c>
      <c r="C54" s="135" t="s">
        <v>718</v>
      </c>
      <c r="D54" s="124" t="s">
        <v>4322</v>
      </c>
      <c r="E54" s="139" t="str">
        <f>HYPERLINK("https://youtu.be/lnR1eWgmgkg","channel 2")</f>
        <v>channel 2</v>
      </c>
    </row>
    <row r="55">
      <c r="B55" s="123" t="s">
        <v>4165</v>
      </c>
      <c r="C55" s="135" t="s">
        <v>7</v>
      </c>
      <c r="D55" s="124" t="s">
        <v>4262</v>
      </c>
      <c r="E55" s="158" t="str">
        <f>HYPERLINK("https://youtu.be/UOiLcOQoU8c","channel 1")</f>
        <v>channel 1</v>
      </c>
    </row>
    <row r="56">
      <c r="B56" s="123" t="s">
        <v>3843</v>
      </c>
      <c r="C56" s="135" t="s">
        <v>36</v>
      </c>
      <c r="D56" s="124" t="s">
        <v>4323</v>
      </c>
      <c r="E56" s="139" t="str">
        <f>HYPERLINK("https://youtu.be/nuqLXB2vjPc","channel 2")</f>
        <v>channel 2</v>
      </c>
    </row>
    <row r="57">
      <c r="B57" s="123" t="s">
        <v>4323</v>
      </c>
      <c r="C57" s="135" t="s">
        <v>302</v>
      </c>
      <c r="D57" s="124" t="s">
        <v>4322</v>
      </c>
      <c r="E57" s="158" t="str">
        <f>HYPERLINK("https://youtu.be/NgY33HI2apk","channel 1")</f>
        <v>channel 1</v>
      </c>
    </row>
    <row r="58">
      <c r="B58" s="123" t="s">
        <v>3843</v>
      </c>
      <c r="C58" s="135" t="s">
        <v>311</v>
      </c>
      <c r="D58" s="124" t="s">
        <v>4262</v>
      </c>
      <c r="E58" s="139" t="str">
        <f>HYPERLINK("https://youtu.be/EOMeDCa1aVc","channel 2")</f>
        <v>channel 2</v>
      </c>
    </row>
    <row r="59">
      <c r="B59" s="123" t="s">
        <v>4322</v>
      </c>
      <c r="C59" s="135" t="s">
        <v>210</v>
      </c>
      <c r="D59" s="124" t="s">
        <v>4165</v>
      </c>
      <c r="E59" s="158" t="str">
        <f>HYPERLINK("https://youtu.be/RBqTUDR3AY8","channel 1")</f>
        <v>channel 1</v>
      </c>
    </row>
    <row r="60">
      <c r="B60" s="123" t="s">
        <v>4323</v>
      </c>
      <c r="C60" s="135" t="s">
        <v>1114</v>
      </c>
      <c r="D60" s="124" t="s">
        <v>4262</v>
      </c>
      <c r="E60" s="139" t="str">
        <f>HYPERLINK("https://youtu.be/SBN_c3LNV0Q","channel 2")</f>
        <v>channel 2</v>
      </c>
    </row>
    <row r="61">
      <c r="B61" s="123" t="s">
        <v>3843</v>
      </c>
      <c r="C61" s="135" t="s">
        <v>1123</v>
      </c>
      <c r="D61" s="124" t="s">
        <v>4165</v>
      </c>
      <c r="E61" s="158" t="str">
        <f>HYPERLINK("https://youtu.be/0jwjCOaLU9M","channel 1")</f>
        <v>channel 1</v>
      </c>
    </row>
    <row r="62">
      <c r="B62" s="123" t="s">
        <v>4322</v>
      </c>
      <c r="C62" s="135" t="s">
        <v>344</v>
      </c>
      <c r="D62" s="124" t="s">
        <v>4262</v>
      </c>
      <c r="E62" s="139" t="str">
        <f>HYPERLINK("https://youtu.be/hvfKrgGnwFA","channel 2")</f>
        <v>channel 2</v>
      </c>
    </row>
    <row r="63">
      <c r="B63" s="123" t="s">
        <v>4323</v>
      </c>
      <c r="C63" s="135" t="s">
        <v>352</v>
      </c>
      <c r="D63" s="124" t="s">
        <v>4165</v>
      </c>
      <c r="E63" s="158" t="str">
        <f>HYPERLINK("https://youtu.be/VrljpWCuUMU","channel 1")</f>
        <v>channel 1</v>
      </c>
    </row>
    <row r="64">
      <c r="B64" s="123" t="s">
        <v>4322</v>
      </c>
      <c r="C64" s="135" t="s">
        <v>278</v>
      </c>
      <c r="D64" s="124" t="s">
        <v>3843</v>
      </c>
      <c r="E64" s="139" t="str">
        <f>HYPERLINK("https://youtu.be/-lr7sThiyto","channel 2")</f>
        <v>channel 2</v>
      </c>
    </row>
    <row r="65">
      <c r="B65" s="123" t="s">
        <v>4262</v>
      </c>
      <c r="C65" s="135" t="s">
        <v>24</v>
      </c>
      <c r="D65" s="124" t="s">
        <v>4165</v>
      </c>
      <c r="E65" s="158" t="str">
        <f>HYPERLINK("https://youtu.be/SRjOadD_Quc","channel 1")</f>
        <v>channel 1</v>
      </c>
    </row>
    <row r="66">
      <c r="B66" s="123" t="s">
        <v>4323</v>
      </c>
      <c r="C66" s="135" t="s">
        <v>352</v>
      </c>
      <c r="D66" s="124" t="s">
        <v>3843</v>
      </c>
      <c r="E66" s="139" t="str">
        <f>HYPERLINK("https://youtu.be/v0v57EfhBiQ","channel 2")</f>
        <v>channel 2</v>
      </c>
    </row>
    <row r="67">
      <c r="B67" s="173" t="s">
        <v>2659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56" t="s">
        <v>4053</v>
      </c>
      <c r="C69" s="179" t="s">
        <v>210</v>
      </c>
      <c r="D69" s="186" t="s">
        <v>3861</v>
      </c>
      <c r="E69" s="158" t="str">
        <f>HYPERLINK("https://youtu.be/vQJ5M0GhbY0","channel 1")</f>
        <v>channel 1</v>
      </c>
    </row>
    <row r="70">
      <c r="B70" s="123" t="s">
        <v>4324</v>
      </c>
      <c r="C70" s="135" t="s">
        <v>162</v>
      </c>
      <c r="D70" s="124" t="s">
        <v>3987</v>
      </c>
      <c r="E70" s="139" t="str">
        <f>HYPERLINK("https://youtu.be/pNBqsm-QW_0","channel 2")</f>
        <v>channel 2</v>
      </c>
    </row>
    <row r="71">
      <c r="B71" s="123" t="s">
        <v>3962</v>
      </c>
      <c r="C71" s="135" t="s">
        <v>425</v>
      </c>
      <c r="D71" s="124" t="s">
        <v>4053</v>
      </c>
      <c r="E71" s="158" t="str">
        <f>HYPERLINK("https://youtu.be/uAushH7cqnw","channel 1")</f>
        <v>channel 1</v>
      </c>
    </row>
    <row r="72">
      <c r="B72" s="123" t="s">
        <v>4324</v>
      </c>
      <c r="C72" s="135" t="s">
        <v>334</v>
      </c>
      <c r="D72" s="124" t="s">
        <v>3861</v>
      </c>
      <c r="E72" s="139" t="str">
        <f>HYPERLINK("https://youtu.be/u7-gkHxkKu0","channel 2")</f>
        <v>channel 2</v>
      </c>
    </row>
    <row r="73">
      <c r="B73" s="123" t="s">
        <v>3962</v>
      </c>
      <c r="C73" s="135" t="s">
        <v>442</v>
      </c>
      <c r="D73" s="124" t="s">
        <v>3987</v>
      </c>
      <c r="E73" s="158" t="str">
        <f>HYPERLINK("https://youtu.be/wGYsRrdI83o","channel 1")</f>
        <v>channel 1</v>
      </c>
    </row>
    <row r="74">
      <c r="B74" s="123" t="s">
        <v>4324</v>
      </c>
      <c r="C74" s="135" t="s">
        <v>744</v>
      </c>
      <c r="D74" s="124" t="s">
        <v>4053</v>
      </c>
      <c r="E74" s="139" t="str">
        <f>HYPERLINK("https://youtu.be/aT23Eh5mODs","channel 2")</f>
        <v>channel 2</v>
      </c>
    </row>
    <row r="75">
      <c r="B75" s="123" t="s">
        <v>3962</v>
      </c>
      <c r="C75" s="135" t="s">
        <v>193</v>
      </c>
      <c r="D75" s="124" t="s">
        <v>3861</v>
      </c>
      <c r="E75" s="158" t="str">
        <f>HYPERLINK("https://youtu.be/JorlXwa_xZ0","channel 1")</f>
        <v>channel 1</v>
      </c>
    </row>
    <row r="76">
      <c r="B76" s="123" t="s">
        <v>3987</v>
      </c>
      <c r="C76" s="135" t="s">
        <v>547</v>
      </c>
      <c r="D76" s="124" t="s">
        <v>4053</v>
      </c>
      <c r="E76" s="139" t="str">
        <f>HYPERLINK("https://youtu.be/YEAkxKyEwpE","channel 2")</f>
        <v>channel 2</v>
      </c>
    </row>
    <row r="77">
      <c r="B77" s="123" t="s">
        <v>3962</v>
      </c>
      <c r="C77" s="135" t="s">
        <v>16</v>
      </c>
      <c r="D77" s="124" t="s">
        <v>4324</v>
      </c>
      <c r="E77" s="158" t="str">
        <f>HYPERLINK("https://youtu.be/H4DdlWc5vDA","channel 1")</f>
        <v>channel 1</v>
      </c>
    </row>
    <row r="78">
      <c r="B78" s="123" t="s">
        <v>3987</v>
      </c>
      <c r="C78" s="135" t="s">
        <v>229</v>
      </c>
      <c r="D78" s="124" t="s">
        <v>3861</v>
      </c>
      <c r="E78" s="139" t="str">
        <f>HYPERLINK("https://youtu.be/bCuDe4JPWiU","channel 2")</f>
        <v>channel 2</v>
      </c>
    </row>
    <row r="79">
      <c r="B79" s="123" t="s">
        <v>3861</v>
      </c>
      <c r="C79" s="135" t="s">
        <v>168</v>
      </c>
      <c r="D79" s="124" t="s">
        <v>4053</v>
      </c>
      <c r="E79" s="158" t="str">
        <f>HYPERLINK("https://youtu.be/jAbe2K-gdyk","channel 1")</f>
        <v>channel 1</v>
      </c>
    </row>
    <row r="80">
      <c r="B80" s="123" t="s">
        <v>3987</v>
      </c>
      <c r="C80" s="135" t="s">
        <v>344</v>
      </c>
      <c r="D80" s="124" t="s">
        <v>4324</v>
      </c>
      <c r="E80" s="139" t="str">
        <f>HYPERLINK("https://youtu.be/XKznd0Jfm7U","channel 2")</f>
        <v>channel 2</v>
      </c>
    </row>
    <row r="81">
      <c r="B81" s="123" t="s">
        <v>4053</v>
      </c>
      <c r="C81" s="135" t="s">
        <v>41</v>
      </c>
      <c r="D81" s="124" t="s">
        <v>3962</v>
      </c>
      <c r="E81" s="158" t="str">
        <f>HYPERLINK("https://youtu.be/0WZjvjMBERs","channel 1")</f>
        <v>channel 1</v>
      </c>
    </row>
    <row r="82">
      <c r="B82" s="123" t="s">
        <v>3861</v>
      </c>
      <c r="C82" s="135" t="s">
        <v>344</v>
      </c>
      <c r="D82" s="124" t="s">
        <v>4324</v>
      </c>
      <c r="E82" s="139" t="str">
        <f>HYPERLINK("https://youtu.be/PanoyWb8vyE","channel 2")</f>
        <v>channel 2</v>
      </c>
    </row>
    <row r="83">
      <c r="B83" s="123" t="s">
        <v>3987</v>
      </c>
      <c r="C83" s="135" t="s">
        <v>298</v>
      </c>
      <c r="D83" s="124" t="s">
        <v>3962</v>
      </c>
      <c r="E83" s="158" t="str">
        <f>HYPERLINK("https://youtu.be/iXyPwkjNCf8","channel 1")</f>
        <v>channel 1</v>
      </c>
    </row>
    <row r="84">
      <c r="B84" s="123" t="s">
        <v>4053</v>
      </c>
      <c r="C84" s="135" t="s">
        <v>17</v>
      </c>
      <c r="D84" s="124" t="s">
        <v>4324</v>
      </c>
      <c r="E84" s="139" t="str">
        <f>HYPERLINK("https://youtu.be/aG3GXddujF0","channel 2")</f>
        <v>channel 2</v>
      </c>
    </row>
    <row r="85">
      <c r="B85" s="123" t="s">
        <v>3861</v>
      </c>
      <c r="C85" s="135" t="s">
        <v>18</v>
      </c>
      <c r="D85" s="124" t="s">
        <v>3962</v>
      </c>
      <c r="E85" s="158" t="str">
        <f>HYPERLINK("https://youtu.be/FjvLcQ3pTWU","channel 1")</f>
        <v>channel 1</v>
      </c>
    </row>
    <row r="86">
      <c r="B86" s="123" t="s">
        <v>4053</v>
      </c>
      <c r="C86" s="135" t="s">
        <v>27</v>
      </c>
      <c r="D86" s="124" t="s">
        <v>3987</v>
      </c>
      <c r="E86" s="139" t="str">
        <f>HYPERLINK("https://youtu.be/ooRkr1Y_Ui0","channel 2")</f>
        <v>channel 2</v>
      </c>
    </row>
    <row r="87">
      <c r="B87" s="123" t="s">
        <v>4324</v>
      </c>
      <c r="C87" s="135" t="s">
        <v>16</v>
      </c>
      <c r="D87" s="124" t="s">
        <v>3962</v>
      </c>
      <c r="E87" s="158" t="str">
        <f>HYPERLINK("https://youtu.be/a2mqGHogVqg","channel 1")</f>
        <v>channel 1</v>
      </c>
    </row>
    <row r="88">
      <c r="B88" s="123" t="s">
        <v>3861</v>
      </c>
      <c r="C88" s="135" t="s">
        <v>278</v>
      </c>
      <c r="D88" s="124" t="s">
        <v>3987</v>
      </c>
      <c r="E88" s="139" t="str">
        <f>HYPERLINK("https://youtu.be/um-WJwWjNdU","channel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1526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4325</v>
      </c>
      <c r="C3" s="179" t="s">
        <v>173</v>
      </c>
      <c r="D3" s="180" t="s">
        <v>4326</v>
      </c>
      <c r="E3" s="158" t="str">
        <f>HYPERLINK("https://youtu.be/UdPw3KvI6R0","channel 1")</f>
        <v>channel 1</v>
      </c>
    </row>
    <row r="4">
      <c r="B4" s="110" t="s">
        <v>4327</v>
      </c>
      <c r="C4" s="135" t="s">
        <v>203</v>
      </c>
      <c r="D4" s="112" t="s">
        <v>4328</v>
      </c>
      <c r="E4" s="139" t="str">
        <f>HYPERLINK("https://youtu.be/_h2FZODjSbs","channel 2")</f>
        <v>channel 2</v>
      </c>
    </row>
    <row r="5">
      <c r="B5" s="110" t="s">
        <v>4329</v>
      </c>
      <c r="C5" s="135" t="s">
        <v>27</v>
      </c>
      <c r="D5" s="112" t="s">
        <v>4325</v>
      </c>
      <c r="E5" s="158" t="str">
        <f>HYPERLINK("https://youtu.be/Mz7Xo54s_mc","channel 1")</f>
        <v>channel 1</v>
      </c>
    </row>
    <row r="6">
      <c r="B6" s="110" t="s">
        <v>4327</v>
      </c>
      <c r="C6" s="135" t="s">
        <v>180</v>
      </c>
      <c r="D6" s="112" t="s">
        <v>4326</v>
      </c>
      <c r="E6" s="139" t="str">
        <f>HYPERLINK("https://youtu.be/zw0ybejg81s","channel 2")</f>
        <v>channel 2</v>
      </c>
    </row>
    <row r="7">
      <c r="B7" s="110" t="s">
        <v>4329</v>
      </c>
      <c r="C7" s="135" t="s">
        <v>194</v>
      </c>
      <c r="D7" s="112" t="s">
        <v>4328</v>
      </c>
      <c r="E7" s="158" t="str">
        <f>HYPERLINK("https://youtu.be/JIDPUwhTX5s","channel 1")</f>
        <v>channel 1</v>
      </c>
    </row>
    <row r="8">
      <c r="B8" s="110" t="s">
        <v>4327</v>
      </c>
      <c r="C8" s="135" t="s">
        <v>158</v>
      </c>
      <c r="D8" s="112" t="s">
        <v>4325</v>
      </c>
      <c r="E8" s="139" t="str">
        <f>HYPERLINK("https://youtu.be/b-ufdPmg-Lo","channel 2")</f>
        <v>channel 2</v>
      </c>
    </row>
    <row r="9">
      <c r="B9" s="110" t="s">
        <v>4329</v>
      </c>
      <c r="C9" s="135" t="s">
        <v>313</v>
      </c>
      <c r="D9" s="112" t="s">
        <v>4326</v>
      </c>
      <c r="E9" s="158" t="str">
        <f>HYPERLINK("https://youtu.be/nCgaqkGdk7A","channel 1")</f>
        <v>channel 1</v>
      </c>
    </row>
    <row r="10">
      <c r="B10" s="110" t="s">
        <v>4328</v>
      </c>
      <c r="C10" s="135" t="s">
        <v>158</v>
      </c>
      <c r="D10" s="112" t="s">
        <v>4325</v>
      </c>
      <c r="E10" s="139" t="str">
        <f>HYPERLINK("https://youtu.be/c_qWL1XVi8Q","channel 2")</f>
        <v>channel 2</v>
      </c>
    </row>
    <row r="11">
      <c r="B11" s="110" t="s">
        <v>4329</v>
      </c>
      <c r="C11" s="135" t="s">
        <v>158</v>
      </c>
      <c r="D11" s="112" t="s">
        <v>4327</v>
      </c>
      <c r="E11" s="158" t="str">
        <f>HYPERLINK("https://youtu.be/dxn8W3hxR2Q","channel 1")</f>
        <v>channel 1</v>
      </c>
    </row>
    <row r="12">
      <c r="B12" s="110" t="s">
        <v>4328</v>
      </c>
      <c r="C12" s="135" t="s">
        <v>554</v>
      </c>
      <c r="D12" s="112" t="s">
        <v>4326</v>
      </c>
      <c r="E12" s="139" t="str">
        <f>HYPERLINK("https://youtu.be/7koOnBqflA8","channel 2")</f>
        <v>channel 2</v>
      </c>
    </row>
    <row r="13">
      <c r="B13" s="110" t="s">
        <v>4326</v>
      </c>
      <c r="C13" s="135" t="s">
        <v>280</v>
      </c>
      <c r="D13" s="112" t="s">
        <v>4325</v>
      </c>
      <c r="E13" s="158" t="str">
        <f>HYPERLINK("https://youtu.be/dequJLcggvA","channel 1")</f>
        <v>channel 1</v>
      </c>
    </row>
    <row r="14">
      <c r="B14" s="110" t="s">
        <v>4328</v>
      </c>
      <c r="C14" s="135" t="s">
        <v>442</v>
      </c>
      <c r="D14" s="112" t="s">
        <v>4327</v>
      </c>
      <c r="E14" s="139" t="str">
        <f>HYPERLINK("https://youtu.be/t0tr5Re0QGY","channel 2")</f>
        <v>channel 2</v>
      </c>
    </row>
    <row r="15">
      <c r="B15" s="110" t="s">
        <v>4325</v>
      </c>
      <c r="C15" s="135" t="s">
        <v>16</v>
      </c>
      <c r="D15" s="112" t="s">
        <v>4329</v>
      </c>
      <c r="E15" s="158" t="str">
        <f>HYPERLINK("https://youtu.be/CH-OqzNvV2g","channel 1")</f>
        <v>channel 1</v>
      </c>
    </row>
    <row r="16">
      <c r="B16" s="110" t="s">
        <v>4326</v>
      </c>
      <c r="C16" s="135" t="s">
        <v>1652</v>
      </c>
      <c r="D16" s="112" t="s">
        <v>4327</v>
      </c>
      <c r="E16" s="139" t="str">
        <f>HYPERLINK("https://youtu.be/5PsPcywiqqM","channel 2")</f>
        <v>channel 2</v>
      </c>
    </row>
    <row r="17">
      <c r="B17" s="110" t="s">
        <v>4328</v>
      </c>
      <c r="C17" s="135" t="s">
        <v>218</v>
      </c>
      <c r="D17" s="112" t="s">
        <v>4329</v>
      </c>
      <c r="E17" s="158" t="str">
        <f>HYPERLINK("https://youtu.be/lMUIRG9UYRI","channel 1")</f>
        <v>channel 1</v>
      </c>
    </row>
    <row r="18">
      <c r="B18" s="110" t="s">
        <v>4325</v>
      </c>
      <c r="C18" s="135" t="s">
        <v>219</v>
      </c>
      <c r="D18" s="112" t="s">
        <v>4327</v>
      </c>
      <c r="E18" s="139" t="str">
        <f>HYPERLINK("https://youtu.be/ycOnnriomu4","channel 2")</f>
        <v>channel 2</v>
      </c>
    </row>
    <row r="19">
      <c r="B19" s="110" t="s">
        <v>4326</v>
      </c>
      <c r="C19" s="135" t="s">
        <v>1444</v>
      </c>
      <c r="D19" s="112" t="s">
        <v>4329</v>
      </c>
      <c r="E19" s="158" t="str">
        <f>HYPERLINK("https://youtu.be/nQ1WGpmp8IY","channel 1")</f>
        <v>channel 1</v>
      </c>
    </row>
    <row r="20">
      <c r="B20" s="110" t="s">
        <v>4325</v>
      </c>
      <c r="C20" s="135" t="s">
        <v>18</v>
      </c>
      <c r="D20" s="112" t="s">
        <v>4328</v>
      </c>
      <c r="E20" s="139" t="str">
        <f>HYPERLINK("https://youtu.be/wZakcrXchJM","channel 2")</f>
        <v>channel 2</v>
      </c>
    </row>
    <row r="21">
      <c r="B21" s="110" t="s">
        <v>4327</v>
      </c>
      <c r="C21" s="135" t="s">
        <v>323</v>
      </c>
      <c r="D21" s="112" t="s">
        <v>4329</v>
      </c>
      <c r="E21" s="158" t="str">
        <f>HYPERLINK("https://youtu.be/bsrK2-dSWBg","channel 1")</f>
        <v>channel 1</v>
      </c>
    </row>
    <row r="22">
      <c r="B22" s="110" t="s">
        <v>4326</v>
      </c>
      <c r="C22" s="135" t="s">
        <v>3678</v>
      </c>
      <c r="D22" s="112" t="s">
        <v>4328</v>
      </c>
      <c r="E22" s="139" t="str">
        <f>HYPERLINK("https://youtu.be/jyYTDjeNej4","channel 2")</f>
        <v>channel 2</v>
      </c>
    </row>
    <row r="23">
      <c r="B23" s="173" t="s">
        <v>3526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110" t="s">
        <v>4330</v>
      </c>
      <c r="C25" s="135" t="s">
        <v>383</v>
      </c>
      <c r="D25" s="112" t="s">
        <v>4331</v>
      </c>
      <c r="E25" s="158" t="str">
        <f>HYPERLINK("https://youtu.be/qSI9cAFoYMI","channel 1")</f>
        <v>channel 1</v>
      </c>
    </row>
    <row r="26">
      <c r="B26" s="110" t="s">
        <v>3622</v>
      </c>
      <c r="C26" s="135" t="s">
        <v>44</v>
      </c>
      <c r="D26" s="112" t="s">
        <v>4332</v>
      </c>
      <c r="E26" s="139" t="str">
        <f>HYPERLINK("https://youtu.be/TlzvERD-b2s","channel 2")</f>
        <v>channel 2</v>
      </c>
    </row>
    <row r="27">
      <c r="B27" s="110" t="s">
        <v>4333</v>
      </c>
      <c r="C27" s="135" t="s">
        <v>17</v>
      </c>
      <c r="D27" s="112" t="s">
        <v>4330</v>
      </c>
      <c r="E27" s="158" t="str">
        <f>HYPERLINK("https://youtu.be/8y6RJCmiw7s","channel 1")</f>
        <v>channel 1</v>
      </c>
    </row>
    <row r="28">
      <c r="B28" s="110" t="s">
        <v>3622</v>
      </c>
      <c r="C28" s="135" t="s">
        <v>173</v>
      </c>
      <c r="D28" s="112" t="s">
        <v>4331</v>
      </c>
      <c r="E28" s="139" t="str">
        <f>HYPERLINK("https://youtu.be/BuB34KfXwmM","channel 2")</f>
        <v>channel 2</v>
      </c>
    </row>
    <row r="29">
      <c r="B29" s="110" t="s">
        <v>4333</v>
      </c>
      <c r="C29" s="135" t="s">
        <v>210</v>
      </c>
      <c r="D29" s="112" t="s">
        <v>4332</v>
      </c>
      <c r="E29" s="158" t="str">
        <f>HYPERLINK("https://youtu.be/F5AeH88KikY","channel 1")</f>
        <v>channel 1</v>
      </c>
    </row>
    <row r="30">
      <c r="B30" s="110" t="s">
        <v>3622</v>
      </c>
      <c r="C30" s="135" t="s">
        <v>158</v>
      </c>
      <c r="D30" s="112" t="s">
        <v>4330</v>
      </c>
      <c r="E30" s="139" t="str">
        <f>HYPERLINK("https://youtu.be/ST9sl0lgL1w","channel 2")</f>
        <v>channel 2</v>
      </c>
    </row>
    <row r="31">
      <c r="B31" s="110" t="s">
        <v>4333</v>
      </c>
      <c r="C31" s="135" t="s">
        <v>357</v>
      </c>
      <c r="D31" s="112" t="s">
        <v>4331</v>
      </c>
      <c r="E31" s="158" t="str">
        <f>HYPERLINK("https://youtu.be/-b6ctkE31wE","channel 1")</f>
        <v>channel 1</v>
      </c>
    </row>
    <row r="32">
      <c r="B32" s="110" t="s">
        <v>4332</v>
      </c>
      <c r="C32" s="135" t="s">
        <v>193</v>
      </c>
      <c r="D32" s="112" t="s">
        <v>4330</v>
      </c>
      <c r="E32" s="139" t="str">
        <f>HYPERLINK("https://youtu.be/U5k259oqrxM","channel 2")</f>
        <v>channel 2</v>
      </c>
    </row>
    <row r="33">
      <c r="B33" s="110" t="s">
        <v>4333</v>
      </c>
      <c r="C33" s="135" t="s">
        <v>315</v>
      </c>
      <c r="D33" s="112" t="s">
        <v>3622</v>
      </c>
      <c r="E33" s="158" t="str">
        <f>HYPERLINK("https://youtu.be/nJafn86aaTo","channel 1")</f>
        <v>channel 1</v>
      </c>
    </row>
    <row r="34">
      <c r="B34" s="61" t="s">
        <v>4332</v>
      </c>
      <c r="C34" s="57" t="s">
        <v>43</v>
      </c>
      <c r="D34" s="61" t="s">
        <v>4331</v>
      </c>
      <c r="E34" s="139" t="str">
        <f>HYPERLINK("https://youtu.be/upMeUdLtDoY","channel 2")</f>
        <v>channel 2</v>
      </c>
    </row>
    <row r="35">
      <c r="B35" s="61" t="s">
        <v>4331</v>
      </c>
      <c r="C35" s="57" t="s">
        <v>194</v>
      </c>
      <c r="D35" s="61" t="s">
        <v>4330</v>
      </c>
      <c r="E35" s="158" t="str">
        <f>HYPERLINK("https://youtu.be/wM3h3in3vwQ","channel 1")</f>
        <v>channel 1</v>
      </c>
    </row>
    <row r="36">
      <c r="B36" s="61" t="s">
        <v>4332</v>
      </c>
      <c r="C36" s="57" t="s">
        <v>1059</v>
      </c>
      <c r="D36" s="61" t="s">
        <v>3622</v>
      </c>
      <c r="E36" s="139" t="str">
        <f>HYPERLINK("https://youtu.be/6QvU08M6uJ4","channel 2")</f>
        <v>channel 2</v>
      </c>
    </row>
    <row r="37">
      <c r="B37" s="61" t="s">
        <v>4330</v>
      </c>
      <c r="C37" s="57" t="s">
        <v>20</v>
      </c>
      <c r="D37" s="61" t="s">
        <v>4333</v>
      </c>
      <c r="E37" s="158" t="str">
        <f>HYPERLINK("https://youtu.be/dw86fX0CCTU","channel 1")</f>
        <v>channel 1</v>
      </c>
    </row>
    <row r="38">
      <c r="B38" s="61" t="s">
        <v>4331</v>
      </c>
      <c r="C38" s="57" t="s">
        <v>216</v>
      </c>
      <c r="D38" s="61" t="s">
        <v>3622</v>
      </c>
      <c r="E38" s="139" t="str">
        <f>HYPERLINK("https://youtu.be/81rtLDKd2vs","channel 2")</f>
        <v>channel 2</v>
      </c>
    </row>
    <row r="39">
      <c r="B39" s="61" t="s">
        <v>4332</v>
      </c>
      <c r="C39" s="57" t="s">
        <v>196</v>
      </c>
      <c r="D39" s="61" t="s">
        <v>4333</v>
      </c>
      <c r="E39" s="158" t="str">
        <f>HYPERLINK("https://youtu.be/PzJrn_1-TEc","channel 1")</f>
        <v>channel 1</v>
      </c>
    </row>
    <row r="40">
      <c r="B40" s="61" t="s">
        <v>4330</v>
      </c>
      <c r="C40" s="57" t="s">
        <v>2427</v>
      </c>
      <c r="D40" s="61" t="s">
        <v>3622</v>
      </c>
      <c r="E40" s="139" t="str">
        <f>HYPERLINK("https://youtu.be/JZKCl9buzz4","channel 2")</f>
        <v>channel 2</v>
      </c>
    </row>
    <row r="41">
      <c r="B41" s="61" t="s">
        <v>4331</v>
      </c>
      <c r="C41" s="57" t="s">
        <v>2875</v>
      </c>
      <c r="D41" s="61" t="s">
        <v>4333</v>
      </c>
      <c r="E41" s="158" t="str">
        <f>HYPERLINK("https://youtu.be/wbeBfTS9OnE","channel 1")</f>
        <v>channel 1</v>
      </c>
    </row>
    <row r="42">
      <c r="B42" s="61" t="s">
        <v>4330</v>
      </c>
      <c r="C42" s="57" t="s">
        <v>549</v>
      </c>
      <c r="D42" s="61" t="s">
        <v>4332</v>
      </c>
      <c r="E42" s="139" t="str">
        <f>HYPERLINK("https://youtu.be/PHavoextveo","channel 2")</f>
        <v>channel 2</v>
      </c>
    </row>
    <row r="43">
      <c r="B43" s="61" t="s">
        <v>3622</v>
      </c>
      <c r="C43" s="57" t="s">
        <v>278</v>
      </c>
      <c r="D43" s="61" t="s">
        <v>4333</v>
      </c>
      <c r="E43" s="158" t="str">
        <f>HYPERLINK("https://youtu.be/mlnyJ5kiFlw","channel 1")</f>
        <v>channel 1</v>
      </c>
    </row>
    <row r="44">
      <c r="B44" s="61" t="s">
        <v>4331</v>
      </c>
      <c r="C44" s="57" t="s">
        <v>1472</v>
      </c>
      <c r="D44" s="61" t="s">
        <v>4332</v>
      </c>
      <c r="E44" s="139" t="str">
        <f>HYPERLINK("https://youtu.be/kW7SFXGYKRE","channel 2")</f>
        <v>channel 2</v>
      </c>
    </row>
    <row r="45">
      <c r="B45" s="173" t="s">
        <v>2780</v>
      </c>
      <c r="C45" s="37"/>
      <c r="D45" s="37"/>
      <c r="E45" s="38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61" t="s">
        <v>331</v>
      </c>
      <c r="C47" s="179" t="s">
        <v>18</v>
      </c>
      <c r="D47" s="186" t="s">
        <v>4334</v>
      </c>
      <c r="E47" s="158" t="str">
        <f>HYPERLINK("https://youtu.be/GIy2QHUDonU","channel 1")</f>
        <v>channel 1</v>
      </c>
    </row>
    <row r="48">
      <c r="B48" s="110" t="s">
        <v>3711</v>
      </c>
      <c r="C48" s="135" t="s">
        <v>14</v>
      </c>
      <c r="D48" s="112" t="s">
        <v>4335</v>
      </c>
      <c r="E48" s="139" t="str">
        <f>HYPERLINK("https://youtu.be/2gkwo9YkJaA","channel 2")</f>
        <v>channel 2</v>
      </c>
    </row>
    <row r="49">
      <c r="B49" s="110" t="s">
        <v>4215</v>
      </c>
      <c r="C49" s="135" t="s">
        <v>185</v>
      </c>
      <c r="D49" s="112" t="s">
        <v>331</v>
      </c>
      <c r="E49" s="158" t="str">
        <f>HYPERLINK("https://youtu.be/9VDTG27H7Tc","channel 1")</f>
        <v>channel 1</v>
      </c>
    </row>
    <row r="50">
      <c r="B50" s="110" t="s">
        <v>3711</v>
      </c>
      <c r="C50" s="135" t="s">
        <v>3498</v>
      </c>
      <c r="D50" s="124" t="s">
        <v>4334</v>
      </c>
      <c r="E50" s="139" t="str">
        <f>HYPERLINK("https://youtu.be/aRX1hR29qmQ","channel 2")</f>
        <v>channel 2</v>
      </c>
      <c r="J50" s="50" t="s">
        <v>4336</v>
      </c>
    </row>
    <row r="51">
      <c r="B51" s="110" t="s">
        <v>4215</v>
      </c>
      <c r="C51" s="135" t="s">
        <v>426</v>
      </c>
      <c r="D51" s="112" t="s">
        <v>4335</v>
      </c>
      <c r="E51" s="158" t="str">
        <f>HYPERLINK("https://youtu.be/t-j3UNajO_o","channel 1")</f>
        <v>channel 1</v>
      </c>
    </row>
    <row r="52">
      <c r="B52" s="110" t="s">
        <v>3711</v>
      </c>
      <c r="C52" s="135" t="s">
        <v>610</v>
      </c>
      <c r="D52" s="112" t="s">
        <v>331</v>
      </c>
      <c r="E52" s="139" t="str">
        <f>HYPERLINK("https://youtu.be/6t08yNANVho","channel 2")</f>
        <v>channel 2</v>
      </c>
    </row>
    <row r="53">
      <c r="B53" s="110" t="s">
        <v>4215</v>
      </c>
      <c r="C53" s="135" t="s">
        <v>4337</v>
      </c>
      <c r="D53" s="124" t="s">
        <v>4334</v>
      </c>
      <c r="E53" s="158" t="str">
        <f>HYPERLINK("https://youtu.be/Y1OtUcP8Oys","channel 1")</f>
        <v>channel 1</v>
      </c>
    </row>
    <row r="54">
      <c r="B54" s="110" t="s">
        <v>4335</v>
      </c>
      <c r="C54" s="135" t="s">
        <v>302</v>
      </c>
      <c r="D54" s="112" t="s">
        <v>331</v>
      </c>
      <c r="E54" s="139" t="str">
        <f>HYPERLINK("https://youtu.be/f5RMpZWUq4I","channel 2")</f>
        <v>channel 2</v>
      </c>
    </row>
    <row r="55">
      <c r="B55" s="110" t="s">
        <v>4215</v>
      </c>
      <c r="C55" s="135" t="s">
        <v>18</v>
      </c>
      <c r="D55" s="112" t="s">
        <v>3711</v>
      </c>
      <c r="E55" s="158" t="str">
        <f>HYPERLINK("https://youtu.be/9bIB-tr2lOY","channel 1")</f>
        <v>channel 1</v>
      </c>
    </row>
    <row r="56">
      <c r="B56" s="110" t="s">
        <v>4335</v>
      </c>
      <c r="C56" s="135" t="s">
        <v>366</v>
      </c>
      <c r="D56" s="124" t="s">
        <v>4334</v>
      </c>
      <c r="E56" s="139" t="str">
        <f>HYPERLINK("https://youtu.be/VrBaqPaGH5A","channel 2")</f>
        <v>channel 2</v>
      </c>
    </row>
    <row r="57">
      <c r="B57" s="123" t="s">
        <v>4334</v>
      </c>
      <c r="C57" s="135" t="s">
        <v>291</v>
      </c>
      <c r="D57" s="112" t="s">
        <v>331</v>
      </c>
      <c r="E57" s="158" t="str">
        <f>HYPERLINK("https://youtu.be/eqEVvsgHwuc","channel 1")</f>
        <v>channel 1</v>
      </c>
    </row>
    <row r="58">
      <c r="B58" s="110" t="s">
        <v>4335</v>
      </c>
      <c r="C58" s="135" t="s">
        <v>302</v>
      </c>
      <c r="D58" s="112" t="s">
        <v>3711</v>
      </c>
      <c r="E58" s="139" t="str">
        <f>HYPERLINK("https://youtu.be/6VruoxHUR_Y","channel 2")</f>
        <v>channel 2</v>
      </c>
    </row>
    <row r="59">
      <c r="B59" s="110" t="s">
        <v>331</v>
      </c>
      <c r="C59" s="135" t="s">
        <v>280</v>
      </c>
      <c r="D59" s="112" t="s">
        <v>4215</v>
      </c>
      <c r="E59" s="158" t="str">
        <f>HYPERLINK("https://youtu.be/trBGsyKJXAE","channel 1")</f>
        <v>channel 1</v>
      </c>
    </row>
    <row r="60">
      <c r="B60" s="123" t="s">
        <v>4334</v>
      </c>
      <c r="C60" s="135" t="s">
        <v>366</v>
      </c>
      <c r="D60" s="112" t="s">
        <v>3711</v>
      </c>
      <c r="E60" s="139" t="str">
        <f>HYPERLINK("https://youtu.be/HlKBtwJV_LA","channel 2")</f>
        <v>channel 2</v>
      </c>
    </row>
    <row r="61">
      <c r="B61" s="110" t="s">
        <v>4335</v>
      </c>
      <c r="C61" s="135" t="s">
        <v>575</v>
      </c>
      <c r="D61" s="112" t="s">
        <v>4215</v>
      </c>
      <c r="E61" s="158" t="str">
        <f>HYPERLINK("https://youtu.be/Viq6IL1uQSk","channel 1")</f>
        <v>channel 1</v>
      </c>
    </row>
    <row r="62">
      <c r="B62" s="110" t="s">
        <v>331</v>
      </c>
      <c r="C62" s="135" t="s">
        <v>173</v>
      </c>
      <c r="D62" s="112" t="s">
        <v>3711</v>
      </c>
      <c r="E62" s="139" t="str">
        <f>HYPERLINK("https://youtu.be/4g40e4ssKDo","channel 2")</f>
        <v>channel 2</v>
      </c>
    </row>
    <row r="63">
      <c r="B63" s="123" t="s">
        <v>4334</v>
      </c>
      <c r="C63" s="135" t="s">
        <v>2876</v>
      </c>
      <c r="D63" s="112" t="s">
        <v>4215</v>
      </c>
      <c r="E63" s="158" t="str">
        <f>HYPERLINK("https://youtu.be/3I63wQPWRBs","channel 1")</f>
        <v>channel 1</v>
      </c>
    </row>
    <row r="64">
      <c r="B64" s="110" t="s">
        <v>331</v>
      </c>
      <c r="C64" s="135" t="s">
        <v>856</v>
      </c>
      <c r="D64" s="112" t="s">
        <v>4335</v>
      </c>
      <c r="E64" s="139" t="str">
        <f>HYPERLINK("https://youtu.be/yzFjRyswZN4","channel 2")</f>
        <v>channel 2</v>
      </c>
    </row>
    <row r="65">
      <c r="B65" s="110" t="s">
        <v>3711</v>
      </c>
      <c r="C65" s="135" t="s">
        <v>216</v>
      </c>
      <c r="D65" s="112" t="s">
        <v>4215</v>
      </c>
      <c r="E65" s="158" t="str">
        <f>HYPERLINK("https://youtu.be/h627r9Rpi1g","channel 1")</f>
        <v>channel 1</v>
      </c>
    </row>
    <row r="66">
      <c r="B66" s="123" t="s">
        <v>4334</v>
      </c>
      <c r="C66" s="135" t="s">
        <v>155</v>
      </c>
      <c r="D66" s="112" t="s">
        <v>4335</v>
      </c>
      <c r="E66" s="139" t="str">
        <f>HYPERLINK("https://youtu.be/357_PopAXcY","channel 2")</f>
        <v>channel 2</v>
      </c>
    </row>
    <row r="67">
      <c r="B67" s="173" t="s">
        <v>4231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61" t="s">
        <v>4338</v>
      </c>
      <c r="C69" s="179" t="s">
        <v>20</v>
      </c>
      <c r="D69" s="186" t="s">
        <v>4339</v>
      </c>
      <c r="E69" s="158" t="str">
        <f>HYPERLINK("https://youtu.be/q9v3417GcAI","channel 1")</f>
        <v>channel 1</v>
      </c>
    </row>
    <row r="70">
      <c r="B70" s="110" t="s">
        <v>3918</v>
      </c>
      <c r="C70" s="135" t="s">
        <v>524</v>
      </c>
      <c r="D70" s="112" t="s">
        <v>2898</v>
      </c>
      <c r="E70" s="139" t="str">
        <f>HYPERLINK("https://youtu.be/4U9ERdeoY_s","channel 2")</f>
        <v>channel 2</v>
      </c>
    </row>
    <row r="71">
      <c r="B71" s="110" t="s">
        <v>4340</v>
      </c>
      <c r="C71" s="135" t="s">
        <v>449</v>
      </c>
      <c r="D71" s="112" t="s">
        <v>4338</v>
      </c>
      <c r="E71" s="158" t="str">
        <f>HYPERLINK("https://youtu.be/Nxa--2UyJM4","channel 1")</f>
        <v>channel 1</v>
      </c>
    </row>
    <row r="72">
      <c r="B72" s="110" t="s">
        <v>3918</v>
      </c>
      <c r="C72" s="135" t="s">
        <v>198</v>
      </c>
      <c r="D72" s="124" t="s">
        <v>4339</v>
      </c>
      <c r="E72" s="139" t="str">
        <f>HYPERLINK("https://youtu.be/9uijBZT8y6M","channel 2")</f>
        <v>channel 2</v>
      </c>
    </row>
    <row r="73">
      <c r="B73" s="110" t="s">
        <v>4340</v>
      </c>
      <c r="C73" s="135" t="s">
        <v>651</v>
      </c>
      <c r="D73" s="112" t="s">
        <v>2898</v>
      </c>
      <c r="E73" s="158" t="str">
        <f>HYPERLINK("https://youtu.be/9nB7bGZMCbM","channel 1")</f>
        <v>channel 1</v>
      </c>
    </row>
    <row r="74">
      <c r="B74" s="110" t="s">
        <v>3918</v>
      </c>
      <c r="C74" s="135" t="s">
        <v>251</v>
      </c>
      <c r="D74" s="112" t="s">
        <v>4338</v>
      </c>
      <c r="E74" s="139" t="str">
        <f>HYPERLINK("https://youtu.be/52IzYSsKVz8","channel 2")</f>
        <v>channel 2</v>
      </c>
    </row>
    <row r="75">
      <c r="B75" s="110" t="s">
        <v>4340</v>
      </c>
      <c r="C75" s="135" t="s">
        <v>489</v>
      </c>
      <c r="D75" s="124" t="s">
        <v>4339</v>
      </c>
      <c r="E75" s="158" t="str">
        <f>HYPERLINK("https://youtu.be/yhsh8_Fcs2E","channel 1")</f>
        <v>channel 1</v>
      </c>
    </row>
    <row r="76">
      <c r="B76" s="110" t="s">
        <v>2898</v>
      </c>
      <c r="C76" s="135" t="s">
        <v>302</v>
      </c>
      <c r="D76" s="112" t="s">
        <v>4338</v>
      </c>
      <c r="E76" s="139" t="str">
        <f>HYPERLINK("https://youtu.be/9S6BXzLtzMo","channel 2")</f>
        <v>channel 2</v>
      </c>
    </row>
    <row r="77">
      <c r="B77" s="110" t="s">
        <v>4340</v>
      </c>
      <c r="C77" s="135" t="s">
        <v>31</v>
      </c>
      <c r="D77" s="112" t="s">
        <v>3918</v>
      </c>
      <c r="E77" s="158" t="str">
        <f>HYPERLINK("https://youtu.be/ozMSGQ_6EVc","channel 1")</f>
        <v>channel 1</v>
      </c>
    </row>
    <row r="78">
      <c r="B78" s="110" t="s">
        <v>2898</v>
      </c>
      <c r="C78" s="135" t="s">
        <v>41</v>
      </c>
      <c r="D78" s="124" t="s">
        <v>4339</v>
      </c>
      <c r="E78" s="139" t="str">
        <f>HYPERLINK("https://youtu.be/XQYVmUQrhLU","channel 2")</f>
        <v>channel 2</v>
      </c>
    </row>
    <row r="79">
      <c r="B79" s="123" t="s">
        <v>4339</v>
      </c>
      <c r="C79" s="135" t="s">
        <v>477</v>
      </c>
      <c r="D79" s="112" t="s">
        <v>4338</v>
      </c>
      <c r="E79" s="158" t="str">
        <f>HYPERLINK("https://youtu.be/dZNkUd4vJak","channel 1")</f>
        <v>channel 1</v>
      </c>
    </row>
    <row r="80">
      <c r="B80" s="110" t="s">
        <v>2898</v>
      </c>
      <c r="C80" s="135" t="s">
        <v>248</v>
      </c>
      <c r="D80" s="112" t="s">
        <v>3918</v>
      </c>
      <c r="E80" s="139" t="str">
        <f>HYPERLINK("https://youtu.be/JOe_oKur0EU","channel 2")</f>
        <v>channel 2</v>
      </c>
    </row>
    <row r="81">
      <c r="B81" s="110" t="s">
        <v>4338</v>
      </c>
      <c r="C81" s="135" t="s">
        <v>184</v>
      </c>
      <c r="D81" s="112" t="s">
        <v>4340</v>
      </c>
      <c r="E81" s="158" t="str">
        <f>HYPERLINK("https://youtu.be/ztTt6_FXuKQ","channel 1")</f>
        <v>channel 1</v>
      </c>
    </row>
    <row r="82">
      <c r="B82" s="123" t="s">
        <v>4339</v>
      </c>
      <c r="C82" s="135" t="s">
        <v>915</v>
      </c>
      <c r="D82" s="112" t="s">
        <v>3918</v>
      </c>
      <c r="E82" s="139" t="str">
        <f>HYPERLINK("https://youtu.be/OOAvFE2w9Og","channel 2")</f>
        <v>channel 2</v>
      </c>
    </row>
    <row r="83">
      <c r="B83" s="110" t="s">
        <v>2898</v>
      </c>
      <c r="C83" s="135" t="s">
        <v>251</v>
      </c>
      <c r="D83" s="112" t="s">
        <v>4340</v>
      </c>
      <c r="E83" s="158" t="str">
        <f>HYPERLINK("https://youtu.be/7TUBnLHmBuo","channel 1")</f>
        <v>channel 1</v>
      </c>
    </row>
    <row r="84">
      <c r="B84" s="110" t="s">
        <v>4338</v>
      </c>
      <c r="C84" s="135" t="s">
        <v>195</v>
      </c>
      <c r="D84" s="112" t="s">
        <v>3918</v>
      </c>
      <c r="E84" s="139" t="str">
        <f>HYPERLINK("https://youtu.be/gKkFNyriEjk","channel 2")</f>
        <v>channel 2</v>
      </c>
    </row>
    <row r="85">
      <c r="B85" s="123" t="s">
        <v>4339</v>
      </c>
      <c r="C85" s="135" t="s">
        <v>426</v>
      </c>
      <c r="D85" s="112" t="s">
        <v>4340</v>
      </c>
      <c r="E85" s="158" t="str">
        <f>HYPERLINK("https://youtu.be/lAShYv9UNjk","channel 1")</f>
        <v>channel 1</v>
      </c>
    </row>
    <row r="86">
      <c r="B86" s="110" t="s">
        <v>4338</v>
      </c>
      <c r="C86" s="135" t="s">
        <v>940</v>
      </c>
      <c r="D86" s="112" t="s">
        <v>2898</v>
      </c>
      <c r="E86" s="139" t="str">
        <f>HYPERLINK("https://youtu.be/EXXuWpOtmxM","channel 2")</f>
        <v>channel 2</v>
      </c>
    </row>
    <row r="87">
      <c r="B87" s="110" t="s">
        <v>3918</v>
      </c>
      <c r="C87" s="135" t="s">
        <v>193</v>
      </c>
      <c r="D87" s="112" t="s">
        <v>4340</v>
      </c>
      <c r="E87" s="158" t="str">
        <f>HYPERLINK("https://youtu.be/xKuZmpFcDJM","channel 1")</f>
        <v>channel 1</v>
      </c>
    </row>
    <row r="88">
      <c r="B88" s="123" t="s">
        <v>4339</v>
      </c>
      <c r="C88" s="135" t="s">
        <v>278</v>
      </c>
      <c r="D88" s="112" t="s">
        <v>2898</v>
      </c>
      <c r="E88" s="139" t="str">
        <f>HYPERLINK("https://youtu.be/VJ-lduhBZ9g","channel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2260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4190</v>
      </c>
      <c r="C3" s="57" t="s">
        <v>158</v>
      </c>
      <c r="D3" s="56" t="s">
        <v>3629</v>
      </c>
      <c r="E3" s="11" t="str">
        <f>HYPERLINK("https://youtu.be/pkQZup7pHP0","channel 1")</f>
        <v>channel 1</v>
      </c>
    </row>
    <row r="4">
      <c r="B4" s="61" t="s">
        <v>3642</v>
      </c>
      <c r="C4" s="57" t="s">
        <v>442</v>
      </c>
      <c r="D4" s="61" t="s">
        <v>3644</v>
      </c>
      <c r="E4" s="139" t="str">
        <f>HYPERLINK("https://youtu.be/a3KkIMBspj0","channel 2")</f>
        <v>channel 2</v>
      </c>
    </row>
    <row r="5">
      <c r="B5" s="61" t="s">
        <v>3845</v>
      </c>
      <c r="C5" s="57" t="s">
        <v>158</v>
      </c>
      <c r="D5" s="61" t="s">
        <v>4190</v>
      </c>
      <c r="E5" s="11" t="str">
        <f>HYPERLINK("https://youtu.be/A4Dzds9u7-Q","channel 1")</f>
        <v>channel 1</v>
      </c>
    </row>
    <row r="6">
      <c r="B6" s="61" t="s">
        <v>3642</v>
      </c>
      <c r="C6" s="57" t="s">
        <v>545</v>
      </c>
      <c r="D6" s="56" t="s">
        <v>3629</v>
      </c>
      <c r="E6" s="139" t="str">
        <f>HYPERLINK("https://youtu.be/bGcIBTSqy3g","channel 2")</f>
        <v>channel 2</v>
      </c>
    </row>
    <row r="7">
      <c r="B7" s="61" t="s">
        <v>3845</v>
      </c>
      <c r="C7" s="57" t="s">
        <v>159</v>
      </c>
      <c r="D7" s="61" t="s">
        <v>3644</v>
      </c>
      <c r="E7" s="11" t="str">
        <f>HYPERLINK("https://youtu.be/hFi3P4huQ6U","channel 1")</f>
        <v>channel 1</v>
      </c>
    </row>
    <row r="8">
      <c r="B8" s="61" t="s">
        <v>3642</v>
      </c>
      <c r="C8" s="57" t="s">
        <v>155</v>
      </c>
      <c r="D8" s="61" t="s">
        <v>4190</v>
      </c>
      <c r="E8" s="139" t="str">
        <f>HYPERLINK("https://youtu.be/_PAgMnUfICI","channel 2")</f>
        <v>channel 2</v>
      </c>
    </row>
    <row r="9">
      <c r="B9" s="61" t="s">
        <v>3845</v>
      </c>
      <c r="C9" s="57" t="s">
        <v>2562</v>
      </c>
      <c r="D9" s="56" t="s">
        <v>3629</v>
      </c>
      <c r="E9" s="11" t="str">
        <f>HYPERLINK("https://youtu.be/f8M9e6h82ys","channel 1")</f>
        <v>channel 1</v>
      </c>
    </row>
    <row r="10">
      <c r="B10" s="61" t="s">
        <v>3644</v>
      </c>
      <c r="C10" s="57" t="s">
        <v>158</v>
      </c>
      <c r="D10" s="61" t="s">
        <v>4190</v>
      </c>
      <c r="E10" s="139" t="str">
        <f>HYPERLINK("https://youtu.be/3p8q1jr776E","channel 2")</f>
        <v>channel 2</v>
      </c>
    </row>
    <row r="11">
      <c r="B11" s="61" t="s">
        <v>3845</v>
      </c>
      <c r="C11" s="57" t="s">
        <v>193</v>
      </c>
      <c r="D11" s="61" t="s">
        <v>3642</v>
      </c>
      <c r="E11" s="11" t="str">
        <f>HYPERLINK("https://youtu.be/fuWJV4yW2XM","channel 1")</f>
        <v>channel 1</v>
      </c>
    </row>
    <row r="12">
      <c r="B12" s="61" t="s">
        <v>3644</v>
      </c>
      <c r="C12" s="57" t="s">
        <v>225</v>
      </c>
      <c r="D12" s="56" t="s">
        <v>3629</v>
      </c>
      <c r="E12" s="139" t="str">
        <f>HYPERLINK("https://youtu.be/MnoTTKTrplc","channel 2")</f>
        <v>channel 2</v>
      </c>
    </row>
    <row r="13">
      <c r="B13" s="56" t="s">
        <v>3629</v>
      </c>
      <c r="C13" s="57" t="s">
        <v>23</v>
      </c>
      <c r="D13" s="61" t="s">
        <v>4190</v>
      </c>
      <c r="E13" s="11" t="str">
        <f>HYPERLINK("https://youtu.be/saD6IbVF-Qw","channel 1")</f>
        <v>channel 1</v>
      </c>
    </row>
    <row r="14">
      <c r="B14" s="61" t="s">
        <v>3644</v>
      </c>
      <c r="C14" s="57" t="s">
        <v>184</v>
      </c>
      <c r="D14" s="61" t="s">
        <v>3642</v>
      </c>
      <c r="E14" s="139" t="str">
        <f>HYPERLINK("https://youtu.be/CPPQ168Lubk","channel 2")</f>
        <v>channel 2</v>
      </c>
    </row>
    <row r="15">
      <c r="B15" s="61" t="s">
        <v>4190</v>
      </c>
      <c r="C15" s="57" t="s">
        <v>193</v>
      </c>
      <c r="D15" s="61" t="s">
        <v>3845</v>
      </c>
      <c r="E15" s="11" t="str">
        <f>HYPERLINK("https://youtu.be/mtJ5t-oB74c","channel 1")</f>
        <v>channel 1</v>
      </c>
    </row>
    <row r="16">
      <c r="B16" s="56" t="s">
        <v>3629</v>
      </c>
      <c r="C16" s="57" t="s">
        <v>302</v>
      </c>
      <c r="D16" s="61" t="s">
        <v>3642</v>
      </c>
      <c r="E16" s="139" t="str">
        <f>HYPERLINK("https://youtu.be/MuSfGVF-TGU","channel 2")</f>
        <v>channel 2</v>
      </c>
    </row>
    <row r="17">
      <c r="B17" s="61" t="s">
        <v>3644</v>
      </c>
      <c r="C17" s="57" t="s">
        <v>351</v>
      </c>
      <c r="D17" s="61" t="s">
        <v>3845</v>
      </c>
      <c r="E17" s="11" t="str">
        <f>HYPERLINK("https://youtu.be/hGL99nj2WDU","channel 1")</f>
        <v>channel 1</v>
      </c>
    </row>
    <row r="18">
      <c r="B18" s="61" t="s">
        <v>4190</v>
      </c>
      <c r="C18" s="57" t="s">
        <v>610</v>
      </c>
      <c r="D18" s="61" t="s">
        <v>3642</v>
      </c>
      <c r="E18" s="139" t="str">
        <f>HYPERLINK("https://youtu.be/abSPZOsrQ_c","channel 2")</f>
        <v>channel 2</v>
      </c>
    </row>
    <row r="19">
      <c r="B19" s="56" t="s">
        <v>3629</v>
      </c>
      <c r="C19" s="57" t="s">
        <v>43</v>
      </c>
      <c r="D19" s="61" t="s">
        <v>3845</v>
      </c>
      <c r="E19" s="11" t="str">
        <f>HYPERLINK("https://youtu.be/wHfhx0GqZZo","channel 1")</f>
        <v>channel 1</v>
      </c>
    </row>
    <row r="20">
      <c r="B20" s="61" t="s">
        <v>4190</v>
      </c>
      <c r="C20" s="57" t="s">
        <v>185</v>
      </c>
      <c r="D20" s="61" t="s">
        <v>3644</v>
      </c>
      <c r="E20" s="139" t="str">
        <f>HYPERLINK("https://youtu.be/5vUCFpoutq8","channel 2")</f>
        <v>channel 2</v>
      </c>
    </row>
    <row r="21">
      <c r="B21" s="61" t="s">
        <v>3642</v>
      </c>
      <c r="C21" s="57" t="s">
        <v>1016</v>
      </c>
      <c r="D21" s="61" t="s">
        <v>3845</v>
      </c>
      <c r="E21" s="11" t="str">
        <f>HYPERLINK("https://youtu.be/rCPNryHsHvY","channel 1")</f>
        <v>channel 1</v>
      </c>
    </row>
    <row r="22">
      <c r="B22" s="56" t="s">
        <v>3629</v>
      </c>
      <c r="C22" s="57" t="s">
        <v>38</v>
      </c>
      <c r="D22" s="61" t="s">
        <v>3644</v>
      </c>
      <c r="E22" s="139" t="str">
        <f>HYPERLINK("https://youtu.be/2Xgjn9zCg5s","channel 2")</f>
        <v>channel 2</v>
      </c>
    </row>
    <row r="23">
      <c r="B23" s="173" t="s">
        <v>2266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110" t="s">
        <v>580</v>
      </c>
      <c r="C25" s="135" t="s">
        <v>158</v>
      </c>
      <c r="D25" s="124" t="s">
        <v>3942</v>
      </c>
      <c r="E25" s="11" t="str">
        <f>HYPERLINK("https://youtu.be/tCgsSf6ezgA","channel 1")</f>
        <v>channel 1</v>
      </c>
    </row>
    <row r="26">
      <c r="B26" s="110" t="s">
        <v>1780</v>
      </c>
      <c r="C26" s="135" t="s">
        <v>517</v>
      </c>
      <c r="D26" s="112" t="s">
        <v>3878</v>
      </c>
      <c r="E26" s="139" t="str">
        <f>HYPERLINK("https://youtu.be/MHA7IVlQsH4","channel 2")</f>
        <v>channel 2</v>
      </c>
    </row>
    <row r="27">
      <c r="B27" s="110" t="s">
        <v>4196</v>
      </c>
      <c r="C27" s="135" t="s">
        <v>17</v>
      </c>
      <c r="D27" s="112" t="s">
        <v>580</v>
      </c>
      <c r="E27" s="11" t="str">
        <f>HYPERLINK("https://youtu.be/8o73a9Iwm5I","channel 1")</f>
        <v>channel 1</v>
      </c>
    </row>
    <row r="28">
      <c r="B28" s="110" t="s">
        <v>1780</v>
      </c>
      <c r="C28" s="135" t="s">
        <v>163</v>
      </c>
      <c r="D28" s="124" t="s">
        <v>3942</v>
      </c>
      <c r="E28" s="139" t="str">
        <f>HYPERLINK("https://youtu.be/j-IBSdkxU5c","channel 2")</f>
        <v>channel 2</v>
      </c>
    </row>
    <row r="29">
      <c r="B29" s="110" t="s">
        <v>4196</v>
      </c>
      <c r="C29" s="135" t="s">
        <v>291</v>
      </c>
      <c r="D29" s="112" t="s">
        <v>3878</v>
      </c>
      <c r="E29" s="11" t="str">
        <f>HYPERLINK("https://youtu.be/Ht_cRP7iShM","channel 1")</f>
        <v>channel 1</v>
      </c>
    </row>
    <row r="30">
      <c r="B30" s="110" t="s">
        <v>1780</v>
      </c>
      <c r="C30" s="135" t="s">
        <v>354</v>
      </c>
      <c r="D30" s="112" t="s">
        <v>580</v>
      </c>
      <c r="E30" s="139" t="str">
        <f>HYPERLINK("https://youtu.be/2O6uV0M1dBU","channel 2")</f>
        <v>channel 2</v>
      </c>
    </row>
    <row r="31">
      <c r="B31" s="110" t="s">
        <v>4196</v>
      </c>
      <c r="C31" s="135" t="s">
        <v>183</v>
      </c>
      <c r="D31" s="124" t="s">
        <v>3942</v>
      </c>
      <c r="E31" s="11" t="str">
        <f>HYPERLINK("https://youtu.be/CFL8YBCmepM","channel 1")</f>
        <v>channel 1</v>
      </c>
    </row>
    <row r="32">
      <c r="B32" s="110" t="s">
        <v>3878</v>
      </c>
      <c r="C32" s="135" t="s">
        <v>210</v>
      </c>
      <c r="D32" s="112" t="s">
        <v>580</v>
      </c>
      <c r="E32" s="139" t="str">
        <f>HYPERLINK("https://youtu.be/XRNQePbBSjo","channel 2")</f>
        <v>channel 2</v>
      </c>
    </row>
    <row r="33">
      <c r="B33" s="110" t="s">
        <v>4196</v>
      </c>
      <c r="C33" s="135" t="s">
        <v>383</v>
      </c>
      <c r="D33" s="112" t="s">
        <v>1780</v>
      </c>
      <c r="E33" s="11" t="str">
        <f>HYPERLINK("https://youtu.be/JE3Jgamf8Lg","channel 1")</f>
        <v>channel 1</v>
      </c>
    </row>
    <row r="34">
      <c r="B34" s="61" t="s">
        <v>3878</v>
      </c>
      <c r="C34" s="57" t="s">
        <v>193</v>
      </c>
      <c r="D34" s="56" t="s">
        <v>3942</v>
      </c>
      <c r="E34" s="139" t="str">
        <f>HYPERLINK("https://youtu.be/ypISozMSOYQ","channel 2")</f>
        <v>channel 2</v>
      </c>
    </row>
    <row r="35">
      <c r="B35" s="56" t="s">
        <v>3942</v>
      </c>
      <c r="C35" s="57" t="s">
        <v>43</v>
      </c>
      <c r="D35" s="61" t="s">
        <v>580</v>
      </c>
      <c r="E35" s="11" t="str">
        <f>HYPERLINK("https://youtu.be/pLO-TlorjbI","channel 1")</f>
        <v>channel 1</v>
      </c>
    </row>
    <row r="36">
      <c r="B36" s="61" t="s">
        <v>3878</v>
      </c>
      <c r="C36" s="57" t="s">
        <v>198</v>
      </c>
      <c r="D36" s="61" t="s">
        <v>1780</v>
      </c>
      <c r="E36" s="139" t="str">
        <f>HYPERLINK("https://youtu.be/WMSPHKIrZDg","channel 2")</f>
        <v>channel 2</v>
      </c>
    </row>
    <row r="37">
      <c r="B37" s="61" t="s">
        <v>580</v>
      </c>
      <c r="C37" s="57" t="s">
        <v>342</v>
      </c>
      <c r="D37" s="61" t="s">
        <v>4196</v>
      </c>
      <c r="E37" s="11" t="str">
        <f>HYPERLINK("https://youtu.be/YTCh4mVV5zE","channel 1")</f>
        <v>channel 1</v>
      </c>
    </row>
    <row r="38">
      <c r="B38" s="56" t="s">
        <v>3942</v>
      </c>
      <c r="C38" s="57" t="s">
        <v>184</v>
      </c>
      <c r="D38" s="61" t="s">
        <v>1780</v>
      </c>
      <c r="E38" s="139" t="str">
        <f>HYPERLINK("https://youtu.be/owp5nxuTl6g","channel 2")</f>
        <v>channel 2</v>
      </c>
    </row>
    <row r="39">
      <c r="B39" s="61" t="s">
        <v>3878</v>
      </c>
      <c r="C39" s="57" t="s">
        <v>3405</v>
      </c>
      <c r="D39" s="61" t="s">
        <v>4196</v>
      </c>
      <c r="E39" s="11" t="str">
        <f>HYPERLINK("https://youtu.be/6oeF-TRToYE","channel 1")</f>
        <v>channel 1</v>
      </c>
    </row>
    <row r="40">
      <c r="B40" s="61" t="s">
        <v>580</v>
      </c>
      <c r="C40" s="57" t="s">
        <v>184</v>
      </c>
      <c r="D40" s="61" t="s">
        <v>1780</v>
      </c>
      <c r="E40" s="139" t="str">
        <f>HYPERLINK("https://youtu.be/j1CzBeIlobA","channel 2")</f>
        <v>channel 2</v>
      </c>
    </row>
    <row r="41">
      <c r="B41" s="56" t="s">
        <v>3942</v>
      </c>
      <c r="C41" s="57" t="s">
        <v>313</v>
      </c>
      <c r="D41" s="61" t="s">
        <v>4196</v>
      </c>
      <c r="E41" s="11" t="str">
        <f>HYPERLINK("https://youtu.be/AOYNyyQnxQ4","channel 1")</f>
        <v>channel 1</v>
      </c>
    </row>
    <row r="42">
      <c r="B42" s="61" t="s">
        <v>580</v>
      </c>
      <c r="C42" s="57" t="s">
        <v>165</v>
      </c>
      <c r="D42" s="61" t="s">
        <v>3878</v>
      </c>
      <c r="E42" s="139" t="str">
        <f>HYPERLINK("https://youtu.be/R9KGh8ernCI","channel 2")</f>
        <v>channel 2</v>
      </c>
    </row>
    <row r="43">
      <c r="B43" s="61" t="s">
        <v>1780</v>
      </c>
      <c r="C43" s="57" t="s">
        <v>209</v>
      </c>
      <c r="D43" s="61" t="s">
        <v>4196</v>
      </c>
      <c r="E43" s="11" t="str">
        <f>HYPERLINK("https://youtu.be/5OjnPFAKcWM","channel 1")</f>
        <v>channel 1</v>
      </c>
    </row>
    <row r="44">
      <c r="B44" s="56" t="s">
        <v>3942</v>
      </c>
      <c r="C44" s="57" t="s">
        <v>181</v>
      </c>
      <c r="D44" s="61" t="s">
        <v>3878</v>
      </c>
      <c r="E44" s="139" t="str">
        <f>HYPERLINK("https://youtu.be/nD8Yr0XyR0s","channel 2")</f>
        <v>channel 2</v>
      </c>
    </row>
    <row r="45">
      <c r="B45" s="173" t="s">
        <v>2417</v>
      </c>
      <c r="C45" s="37"/>
      <c r="D45" s="37"/>
      <c r="E45" s="38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110" t="s">
        <v>3788</v>
      </c>
      <c r="C47" s="135" t="s">
        <v>574</v>
      </c>
      <c r="D47" s="112" t="s">
        <v>3447</v>
      </c>
      <c r="E47" s="11" t="str">
        <f>HYPERLINK("https://youtu.be/4uEoGPpZ-xo","channel 1")</f>
        <v>channel 1</v>
      </c>
    </row>
    <row r="48">
      <c r="B48" s="110" t="s">
        <v>3974</v>
      </c>
      <c r="C48" s="135" t="s">
        <v>198</v>
      </c>
      <c r="D48" s="112" t="s">
        <v>4341</v>
      </c>
      <c r="E48" s="139" t="str">
        <f>HYPERLINK("https://youtu.be/4uEoGPpZ-xo","channel 2")</f>
        <v>channel 2</v>
      </c>
    </row>
    <row r="49">
      <c r="B49" s="110" t="s">
        <v>285</v>
      </c>
      <c r="C49" s="135" t="s">
        <v>289</v>
      </c>
      <c r="D49" s="112" t="s">
        <v>3788</v>
      </c>
      <c r="E49" s="11" t="str">
        <f>HYPERLINK("https://youtu.be/GnwPNifUa3o","channel 1")</f>
        <v>channel 1</v>
      </c>
    </row>
    <row r="50">
      <c r="B50" s="110" t="s">
        <v>3974</v>
      </c>
      <c r="C50" s="135" t="s">
        <v>187</v>
      </c>
      <c r="D50" s="112" t="s">
        <v>3447</v>
      </c>
      <c r="E50" s="139" t="str">
        <f>HYPERLINK("https://youtu.be/BNnZWV6xzPg","channel 2")</f>
        <v>channel 2</v>
      </c>
    </row>
    <row r="51">
      <c r="B51" s="110" t="s">
        <v>285</v>
      </c>
      <c r="C51" s="135" t="s">
        <v>198</v>
      </c>
      <c r="D51" s="112" t="s">
        <v>4341</v>
      </c>
      <c r="E51" s="11" t="str">
        <f>HYPERLINK("https://youtu.be/rR0IETXLdI4","channel 1")</f>
        <v>channel 1</v>
      </c>
    </row>
    <row r="52">
      <c r="B52" s="110" t="s">
        <v>3974</v>
      </c>
      <c r="C52" s="135" t="s">
        <v>177</v>
      </c>
      <c r="D52" s="112" t="s">
        <v>3788</v>
      </c>
      <c r="E52" s="139" t="str">
        <f>HYPERLINK("https://youtu.be/FzPcdD1HC0k","channel 2")</f>
        <v>channel 2</v>
      </c>
    </row>
    <row r="53">
      <c r="B53" s="110" t="s">
        <v>285</v>
      </c>
      <c r="C53" s="135" t="s">
        <v>433</v>
      </c>
      <c r="D53" s="112" t="s">
        <v>3447</v>
      </c>
      <c r="E53" s="11" t="str">
        <f>HYPERLINK("https://youtu.be/D1rHQhKNS8k","channel 1")</f>
        <v>channel 1</v>
      </c>
    </row>
    <row r="54">
      <c r="B54" s="110" t="s">
        <v>4341</v>
      </c>
      <c r="C54" s="135" t="s">
        <v>264</v>
      </c>
      <c r="D54" s="112" t="s">
        <v>3788</v>
      </c>
      <c r="E54" s="139" t="str">
        <f>HYPERLINK("https://youtu.be/0TjnmBrPS70","channel 2")</f>
        <v>channel 2</v>
      </c>
    </row>
    <row r="55">
      <c r="B55" s="110" t="s">
        <v>285</v>
      </c>
      <c r="C55" s="135" t="s">
        <v>219</v>
      </c>
      <c r="D55" s="112" t="s">
        <v>3974</v>
      </c>
      <c r="E55" s="11" t="str">
        <f>HYPERLINK("https://youtu.be/eFCnKeIwDtE","channel 1")</f>
        <v>channel 1</v>
      </c>
    </row>
    <row r="56">
      <c r="B56" s="110" t="s">
        <v>4341</v>
      </c>
      <c r="C56" s="135" t="s">
        <v>278</v>
      </c>
      <c r="D56" s="112" t="s">
        <v>3447</v>
      </c>
      <c r="E56" s="139" t="str">
        <f>HYPERLINK("https://youtu.be/APfhsZ0vluk","channel 2")</f>
        <v>channel 2</v>
      </c>
    </row>
    <row r="57">
      <c r="B57" s="110" t="s">
        <v>3447</v>
      </c>
      <c r="C57" s="135" t="s">
        <v>380</v>
      </c>
      <c r="D57" s="112" t="s">
        <v>3788</v>
      </c>
      <c r="E57" s="11" t="str">
        <f>HYPERLINK("https://youtu.be/S402GSk2YBA","channel 1")</f>
        <v>channel 1</v>
      </c>
    </row>
    <row r="58">
      <c r="B58" s="110" t="s">
        <v>4341</v>
      </c>
      <c r="C58" s="135" t="s">
        <v>173</v>
      </c>
      <c r="D58" s="112" t="s">
        <v>3974</v>
      </c>
      <c r="E58" s="139" t="str">
        <f>HYPERLINK("https://youtu.be/4v4rDPgXmvE","channel 2")</f>
        <v>channel 2</v>
      </c>
    </row>
    <row r="59">
      <c r="B59" s="110" t="s">
        <v>3788</v>
      </c>
      <c r="C59" s="135" t="s">
        <v>184</v>
      </c>
      <c r="D59" s="112" t="s">
        <v>285</v>
      </c>
      <c r="E59" s="11" t="str">
        <f>HYPERLINK("https://youtu.be/vGviWzIqoTY","channel 1")</f>
        <v>channel 1</v>
      </c>
    </row>
    <row r="60">
      <c r="B60" s="110" t="s">
        <v>3447</v>
      </c>
      <c r="C60" s="135" t="s">
        <v>248</v>
      </c>
      <c r="D60" s="112" t="s">
        <v>3974</v>
      </c>
      <c r="E60" s="139" t="str">
        <f>HYPERLINK("https://youtu.be/fOFjwjGmjfE","channel 2")</f>
        <v>channel 2</v>
      </c>
    </row>
    <row r="61">
      <c r="B61" s="110" t="s">
        <v>4341</v>
      </c>
      <c r="C61" s="135" t="s">
        <v>4249</v>
      </c>
      <c r="D61" s="112" t="s">
        <v>285</v>
      </c>
      <c r="E61" s="11" t="str">
        <f>HYPERLINK("https://youtu.be/BEQI55nW1SQ","channel 1")</f>
        <v>channel 1</v>
      </c>
    </row>
    <row r="62">
      <c r="B62" s="110" t="s">
        <v>3788</v>
      </c>
      <c r="C62" s="135" t="s">
        <v>173</v>
      </c>
      <c r="D62" s="112" t="s">
        <v>3974</v>
      </c>
      <c r="E62" s="139" t="str">
        <f>HYPERLINK("https://youtu.be/Escx_YffNC4","channel 2")</f>
        <v>channel 2</v>
      </c>
    </row>
    <row r="63">
      <c r="B63" s="110" t="s">
        <v>3447</v>
      </c>
      <c r="C63" s="135" t="s">
        <v>16</v>
      </c>
      <c r="D63" s="112" t="s">
        <v>285</v>
      </c>
      <c r="E63" s="11" t="str">
        <f>HYPERLINK("https://youtu.be/hjRgyH2-0Co","channel 1")</f>
        <v>channel 1</v>
      </c>
    </row>
    <row r="64">
      <c r="B64" s="110" t="s">
        <v>3788</v>
      </c>
      <c r="C64" s="135" t="s">
        <v>1016</v>
      </c>
      <c r="D64" s="112" t="s">
        <v>4341</v>
      </c>
      <c r="E64" s="139" t="str">
        <f>HYPERLINK("https://youtu.be/eWIqCmyr1RM","channel 2")</f>
        <v>channel 2</v>
      </c>
    </row>
    <row r="65">
      <c r="B65" s="110" t="s">
        <v>3974</v>
      </c>
      <c r="C65" s="135" t="s">
        <v>219</v>
      </c>
      <c r="D65" s="112" t="s">
        <v>285</v>
      </c>
      <c r="E65" s="11" t="str">
        <f>HYPERLINK("https://youtu.be/odwFtwD6YaY","channel 1")</f>
        <v>channel 1</v>
      </c>
    </row>
    <row r="66">
      <c r="B66" s="110" t="s">
        <v>3447</v>
      </c>
      <c r="C66" s="135" t="s">
        <v>4342</v>
      </c>
      <c r="D66" s="112" t="s">
        <v>4341</v>
      </c>
      <c r="E66" s="139" t="str">
        <f>HYPERLINK("https://youtu.be/4krVKLu1Ov0","channel 2")</f>
        <v>channel 2</v>
      </c>
    </row>
    <row r="67">
      <c r="B67" s="173" t="s">
        <v>1803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110" t="s">
        <v>4287</v>
      </c>
      <c r="C69" s="135" t="s">
        <v>196</v>
      </c>
      <c r="D69" s="112" t="s">
        <v>4343</v>
      </c>
      <c r="E69" s="11" t="str">
        <f>HYPERLINK("https://youtu.be/oO_9cxzjKco","channel 1")</f>
        <v>channel 1</v>
      </c>
    </row>
    <row r="70">
      <c r="B70" s="110" t="s">
        <v>3800</v>
      </c>
      <c r="C70" s="135" t="s">
        <v>1119</v>
      </c>
      <c r="D70" s="112" t="s">
        <v>4344</v>
      </c>
      <c r="E70" s="139" t="str">
        <f>HYPERLINK("https://youtu.be/GYeaaGFA0Ps","channel 2")</f>
        <v>channel 2</v>
      </c>
    </row>
    <row r="71">
      <c r="B71" s="110" t="s">
        <v>4345</v>
      </c>
      <c r="C71" s="135" t="s">
        <v>2050</v>
      </c>
      <c r="D71" s="112" t="s">
        <v>4287</v>
      </c>
      <c r="E71" s="11" t="str">
        <f>HYPERLINK("https://youtu.be/PeppuQmQrRk","channel 1")</f>
        <v>channel 1</v>
      </c>
    </row>
    <row r="72">
      <c r="B72" s="110" t="s">
        <v>3800</v>
      </c>
      <c r="C72" s="135" t="s">
        <v>574</v>
      </c>
      <c r="D72" s="112" t="s">
        <v>4343</v>
      </c>
      <c r="E72" s="139" t="str">
        <f>HYPERLINK("https://youtu.be/OycjdzcP8l8","channel 2")</f>
        <v>channel 2</v>
      </c>
    </row>
    <row r="73">
      <c r="B73" s="110" t="s">
        <v>4345</v>
      </c>
      <c r="C73" s="135" t="s">
        <v>433</v>
      </c>
      <c r="D73" s="112" t="s">
        <v>4344</v>
      </c>
      <c r="E73" s="11" t="str">
        <f>HYPERLINK("https://youtu.be/seQtBxFESrQ","channel 1")</f>
        <v>channel 1</v>
      </c>
    </row>
    <row r="74">
      <c r="B74" s="110" t="s">
        <v>3800</v>
      </c>
      <c r="C74" s="135" t="s">
        <v>1041</v>
      </c>
      <c r="D74" s="112" t="s">
        <v>4287</v>
      </c>
      <c r="E74" s="139" t="str">
        <f>HYPERLINK("https://youtu.be/XUH839eUm3s","channel 2")</f>
        <v>channel 2</v>
      </c>
    </row>
    <row r="75">
      <c r="B75" s="110" t="s">
        <v>4345</v>
      </c>
      <c r="C75" s="135" t="s">
        <v>44</v>
      </c>
      <c r="D75" s="112" t="s">
        <v>4343</v>
      </c>
      <c r="E75" s="11" t="str">
        <f>HYPERLINK("https://youtu.be/VwntKVRC_wQ","channel 1")</f>
        <v>channel 1</v>
      </c>
    </row>
    <row r="76">
      <c r="B76" s="110" t="s">
        <v>4344</v>
      </c>
      <c r="C76" s="135" t="s">
        <v>1208</v>
      </c>
      <c r="D76" s="112" t="s">
        <v>4287</v>
      </c>
      <c r="E76" s="139" t="str">
        <f>HYPERLINK("https://youtu.be/elGzOW5Lohk","channel 2")</f>
        <v>channel 2</v>
      </c>
    </row>
    <row r="77">
      <c r="B77" s="110" t="s">
        <v>4345</v>
      </c>
      <c r="C77" s="135" t="s">
        <v>219</v>
      </c>
      <c r="D77" s="112" t="s">
        <v>3800</v>
      </c>
      <c r="E77" s="11" t="str">
        <f>HYPERLINK("https://youtu.be/3sekCQaJwUc","channel 1")</f>
        <v>channel 1</v>
      </c>
    </row>
    <row r="78">
      <c r="B78" s="110" t="s">
        <v>4344</v>
      </c>
      <c r="C78" s="135" t="s">
        <v>2050</v>
      </c>
      <c r="D78" s="112" t="s">
        <v>4343</v>
      </c>
      <c r="E78" s="139" t="str">
        <f>HYPERLINK("https://youtu.be/D45UavmTkB0","channel 2")</f>
        <v>channel 2</v>
      </c>
    </row>
    <row r="79">
      <c r="B79" s="110" t="s">
        <v>4343</v>
      </c>
      <c r="C79" s="135" t="s">
        <v>450</v>
      </c>
      <c r="D79" s="112" t="s">
        <v>4287</v>
      </c>
      <c r="E79" s="11" t="str">
        <f>HYPERLINK("https://youtu.be/7c2vx6s73UI","channel 1")</f>
        <v>channel 1</v>
      </c>
    </row>
    <row r="80">
      <c r="B80" s="110" t="s">
        <v>4344</v>
      </c>
      <c r="C80" s="135" t="s">
        <v>225</v>
      </c>
      <c r="D80" s="112" t="s">
        <v>3800</v>
      </c>
      <c r="E80" s="139" t="str">
        <f>HYPERLINK("https://youtu.be/NqxJQk3O-bQ","channel 2")</f>
        <v>channel 2</v>
      </c>
    </row>
    <row r="81">
      <c r="B81" s="110" t="s">
        <v>4287</v>
      </c>
      <c r="C81" s="135" t="s">
        <v>325</v>
      </c>
      <c r="D81" s="112" t="s">
        <v>4345</v>
      </c>
      <c r="E81" s="11" t="str">
        <f>HYPERLINK("https://youtu.be/-yGIt5b_hRs","channel 1")</f>
        <v>channel 1</v>
      </c>
    </row>
    <row r="82">
      <c r="B82" s="110" t="s">
        <v>4343</v>
      </c>
      <c r="C82" s="135" t="s">
        <v>362</v>
      </c>
      <c r="D82" s="112" t="s">
        <v>3800</v>
      </c>
      <c r="E82" s="139" t="str">
        <f>HYPERLINK("https://youtu.be/r9WGqBlza48","channel 2")</f>
        <v>channel 2</v>
      </c>
    </row>
    <row r="83">
      <c r="B83" s="110" t="s">
        <v>4344</v>
      </c>
      <c r="C83" s="135" t="s">
        <v>570</v>
      </c>
      <c r="D83" s="112" t="s">
        <v>4345</v>
      </c>
      <c r="E83" s="11" t="str">
        <f>HYPERLINK("https://youtu.be/nZwQMOfQl3I","channel 1")</f>
        <v>channel 1</v>
      </c>
    </row>
    <row r="84">
      <c r="B84" s="110" t="s">
        <v>4287</v>
      </c>
      <c r="C84" s="135" t="s">
        <v>268</v>
      </c>
      <c r="D84" s="112" t="s">
        <v>3800</v>
      </c>
      <c r="E84" s="139" t="str">
        <f>HYPERLINK("https://youtu.be/bnd-w3Nwbi4","channel 2")</f>
        <v>channel 2</v>
      </c>
    </row>
    <row r="85">
      <c r="B85" s="110" t="s">
        <v>4343</v>
      </c>
      <c r="C85" s="135" t="s">
        <v>225</v>
      </c>
      <c r="D85" s="112" t="s">
        <v>4345</v>
      </c>
      <c r="E85" s="11" t="str">
        <f>HYPERLINK("https://youtu.be/d67y4JC5q-g","channel 1")</f>
        <v>channel 1</v>
      </c>
    </row>
    <row r="86">
      <c r="B86" s="110" t="s">
        <v>4287</v>
      </c>
      <c r="C86" s="135" t="s">
        <v>311</v>
      </c>
      <c r="D86" s="112" t="s">
        <v>4344</v>
      </c>
      <c r="E86" s="139" t="str">
        <f>HYPERLINK("https://youtu.be/mDPyWbUwgOk","channel 2")</f>
        <v>channel 2</v>
      </c>
    </row>
    <row r="87">
      <c r="B87" s="110" t="s">
        <v>3800</v>
      </c>
      <c r="C87" s="135" t="s">
        <v>24</v>
      </c>
      <c r="D87" s="112" t="s">
        <v>4345</v>
      </c>
      <c r="E87" s="11" t="str">
        <f>HYPERLINK("https://youtu.be/hFFrM0wpN34","channel 1")</f>
        <v>channel 1</v>
      </c>
    </row>
    <row r="88">
      <c r="B88" s="110" t="s">
        <v>4343</v>
      </c>
      <c r="C88" s="135" t="s">
        <v>4346</v>
      </c>
      <c r="D88" s="112" t="s">
        <v>4344</v>
      </c>
      <c r="E88" s="139" t="str">
        <f>HYPERLINK("https://youtu.be/BSP4p5YxHP8","channel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185" t="s">
        <v>4347</v>
      </c>
      <c r="D1" s="185"/>
      <c r="E1" s="183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4348</v>
      </c>
      <c r="C3" s="179" t="s">
        <v>555</v>
      </c>
      <c r="D3" s="61" t="s">
        <v>4349</v>
      </c>
      <c r="E3" s="11" t="str">
        <f>HYPERLINK("https://youtu.be/eGy1cro6iEo","channel 1")</f>
        <v>channel 1</v>
      </c>
    </row>
    <row r="4">
      <c r="B4" s="110" t="s">
        <v>4350</v>
      </c>
      <c r="C4" s="135" t="s">
        <v>166</v>
      </c>
      <c r="D4" s="110" t="s">
        <v>4351</v>
      </c>
      <c r="E4" s="11" t="str">
        <f>HYPERLINK("https://youtu.be/ipR5uYjlMQM","channel 2")</f>
        <v>channel 2</v>
      </c>
    </row>
    <row r="5">
      <c r="B5" s="110" t="s">
        <v>4352</v>
      </c>
      <c r="C5" s="135" t="s">
        <v>477</v>
      </c>
      <c r="D5" s="110" t="s">
        <v>4348</v>
      </c>
      <c r="E5" s="11" t="str">
        <f>HYPERLINK("https://youtu.be/h_V3RcmNCfE","channel 1")</f>
        <v>channel 1</v>
      </c>
    </row>
    <row r="6">
      <c r="B6" s="110" t="s">
        <v>4350</v>
      </c>
      <c r="C6" s="135" t="s">
        <v>158</v>
      </c>
      <c r="D6" s="110" t="s">
        <v>4349</v>
      </c>
      <c r="E6" s="11" t="str">
        <f>HYPERLINK("https://youtu.be/8VgQDW2An78","channel 2")</f>
        <v>channel 2</v>
      </c>
    </row>
    <row r="7">
      <c r="B7" s="110" t="s">
        <v>4352</v>
      </c>
      <c r="C7" s="135" t="s">
        <v>3149</v>
      </c>
      <c r="D7" s="110" t="s">
        <v>4351</v>
      </c>
      <c r="E7" s="11" t="str">
        <f>HYPERLINK("https://youtu.be/-8-MDuah3qQ","channel 1")</f>
        <v>channel 1</v>
      </c>
    </row>
    <row r="8">
      <c r="B8" s="110" t="s">
        <v>4350</v>
      </c>
      <c r="C8" s="135" t="s">
        <v>408</v>
      </c>
      <c r="D8" s="110" t="s">
        <v>4348</v>
      </c>
      <c r="E8" s="11" t="str">
        <f>HYPERLINK("https://youtu.be/4JZ9kcSP7s0","channel 2")</f>
        <v>channel 2</v>
      </c>
    </row>
    <row r="9">
      <c r="B9" s="110" t="s">
        <v>4352</v>
      </c>
      <c r="C9" s="135" t="s">
        <v>42</v>
      </c>
      <c r="D9" s="110" t="s">
        <v>4349</v>
      </c>
      <c r="E9" s="11" t="str">
        <f>HYPERLINK("https://youtu.be/XQlY3Gfyraw","channel 1")</f>
        <v>channel 1</v>
      </c>
    </row>
    <row r="10">
      <c r="B10" s="110" t="s">
        <v>4351</v>
      </c>
      <c r="C10" s="135" t="s">
        <v>351</v>
      </c>
      <c r="D10" s="110" t="s">
        <v>4348</v>
      </c>
      <c r="E10" s="11" t="str">
        <f>HYPERLINK("https://youtu.be/xGLYsNmOk58","channel 2")</f>
        <v>channel 2</v>
      </c>
    </row>
    <row r="11">
      <c r="B11" s="110" t="s">
        <v>4352</v>
      </c>
      <c r="C11" s="135" t="s">
        <v>23</v>
      </c>
      <c r="D11" s="110" t="s">
        <v>4350</v>
      </c>
      <c r="E11" s="11" t="str">
        <f>HYPERLINK("https://youtu.be/FSwRSEfF87E","channel 1")</f>
        <v>channel 1</v>
      </c>
    </row>
    <row r="12">
      <c r="B12" s="110" t="s">
        <v>4351</v>
      </c>
      <c r="C12" s="135" t="s">
        <v>19</v>
      </c>
      <c r="D12" s="110" t="s">
        <v>4349</v>
      </c>
      <c r="E12" s="11" t="str">
        <f>HYPERLINK("https://youtu.be/dcSnpaUGjvY","channel 2")</f>
        <v>channel 2</v>
      </c>
    </row>
    <row r="13">
      <c r="B13" s="110" t="s">
        <v>4349</v>
      </c>
      <c r="C13" s="135" t="s">
        <v>271</v>
      </c>
      <c r="D13" s="110" t="s">
        <v>4348</v>
      </c>
      <c r="E13" s="11" t="str">
        <f>HYPERLINK("https://youtu.be/J-Wb6IQHqdc","channel 1")</f>
        <v>channel 1</v>
      </c>
    </row>
    <row r="14">
      <c r="B14" s="110" t="s">
        <v>4351</v>
      </c>
      <c r="C14" s="135" t="s">
        <v>195</v>
      </c>
      <c r="D14" s="110" t="s">
        <v>4350</v>
      </c>
      <c r="E14" s="11" t="str">
        <f>HYPERLINK("https://youtu.be/BinTQONb4kY","channel 2")</f>
        <v>channel 2</v>
      </c>
    </row>
    <row r="15">
      <c r="B15" s="110" t="s">
        <v>4348</v>
      </c>
      <c r="C15" s="135" t="s">
        <v>162</v>
      </c>
      <c r="D15" s="110" t="s">
        <v>4352</v>
      </c>
      <c r="E15" s="11" t="str">
        <f>HYPERLINK("https://youtu.be/7K4CPvqKKaE","channel 1")</f>
        <v>channel 1</v>
      </c>
    </row>
    <row r="16">
      <c r="B16" s="110" t="s">
        <v>4349</v>
      </c>
      <c r="C16" s="135" t="s">
        <v>203</v>
      </c>
      <c r="D16" s="110" t="s">
        <v>4350</v>
      </c>
      <c r="E16" s="11" t="str">
        <f>HYPERLINK("https://youtu.be/yMGvLj2OGIE","channel 2")</f>
        <v>channel 2</v>
      </c>
    </row>
    <row r="17">
      <c r="B17" s="110" t="s">
        <v>4351</v>
      </c>
      <c r="C17" s="135" t="s">
        <v>24</v>
      </c>
      <c r="D17" s="110" t="s">
        <v>4352</v>
      </c>
      <c r="E17" s="11" t="str">
        <f>HYPERLINK("https://youtu.be/IoPo5RHLr8o","channel 1")</f>
        <v>channel 1</v>
      </c>
    </row>
    <row r="18">
      <c r="B18" s="110" t="s">
        <v>4348</v>
      </c>
      <c r="C18" s="135" t="s">
        <v>4353</v>
      </c>
      <c r="D18" s="110" t="s">
        <v>4350</v>
      </c>
      <c r="E18" s="11" t="str">
        <f>HYPERLINK("https://youtu.be/yqbgVASuKeE","channel 2")</f>
        <v>channel 2</v>
      </c>
    </row>
    <row r="19">
      <c r="B19" s="110" t="s">
        <v>4349</v>
      </c>
      <c r="C19" s="135" t="s">
        <v>181</v>
      </c>
      <c r="D19" s="110" t="s">
        <v>4352</v>
      </c>
      <c r="E19" s="11" t="str">
        <f>HYPERLINK("https://youtu.be/8r6jWbiE-EY","channel 1")</f>
        <v>channel 1</v>
      </c>
    </row>
    <row r="20">
      <c r="B20" s="110" t="s">
        <v>4348</v>
      </c>
      <c r="C20" s="135" t="s">
        <v>250</v>
      </c>
      <c r="D20" s="110" t="s">
        <v>4351</v>
      </c>
      <c r="E20" s="11" t="str">
        <f>HYPERLINK("https://youtu.be/NaNjRmMlU1k","channel 2")</f>
        <v>channel 2</v>
      </c>
    </row>
    <row r="21">
      <c r="B21" s="110" t="s">
        <v>4350</v>
      </c>
      <c r="C21" s="135" t="s">
        <v>303</v>
      </c>
      <c r="D21" s="110" t="s">
        <v>4352</v>
      </c>
      <c r="E21" s="11" t="str">
        <f>HYPERLINK("https://youtu.be/VRlDnGJ6h-w","channel 1")</f>
        <v>channel 1</v>
      </c>
    </row>
    <row r="22">
      <c r="B22" s="110" t="s">
        <v>4349</v>
      </c>
      <c r="C22" s="135" t="s">
        <v>173</v>
      </c>
      <c r="D22" s="110" t="s">
        <v>4351</v>
      </c>
      <c r="E22" s="11" t="str">
        <f>HYPERLINK("https://youtu.be/NaevgdvI7so","channel 2")</f>
        <v>channel 2</v>
      </c>
    </row>
    <row r="23">
      <c r="B23" s="173" t="s">
        <v>4354</v>
      </c>
      <c r="C23" s="37"/>
      <c r="D23" s="38"/>
      <c r="E23" s="11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61" t="s">
        <v>4355</v>
      </c>
      <c r="C25" s="135" t="s">
        <v>196</v>
      </c>
      <c r="D25" s="61" t="s">
        <v>119</v>
      </c>
      <c r="E25" s="11" t="str">
        <f>HYPERLINK("https://youtu.be/eDgcqIN34Qc","channel 1")</f>
        <v>channel 1</v>
      </c>
    </row>
    <row r="26">
      <c r="B26" s="110" t="s">
        <v>3721</v>
      </c>
      <c r="C26" s="135" t="s">
        <v>162</v>
      </c>
      <c r="D26" s="110" t="s">
        <v>1906</v>
      </c>
      <c r="E26" s="11" t="str">
        <f>HYPERLINK("https://youtu.be/g2Zgp2XIyMY","channel 2")</f>
        <v>channel 2</v>
      </c>
    </row>
    <row r="27">
      <c r="B27" s="110" t="s">
        <v>4077</v>
      </c>
      <c r="C27" s="135" t="s">
        <v>42</v>
      </c>
      <c r="D27" s="110" t="s">
        <v>4355</v>
      </c>
      <c r="E27" s="11" t="str">
        <f>HYPERLINK("https://youtu.be/ZBFidPcTw4s","channel 1")</f>
        <v>channel 1</v>
      </c>
    </row>
    <row r="28">
      <c r="B28" s="110" t="s">
        <v>3721</v>
      </c>
      <c r="C28" s="135" t="s">
        <v>7</v>
      </c>
      <c r="D28" s="110" t="s">
        <v>119</v>
      </c>
      <c r="E28" s="11" t="str">
        <f>HYPERLINK("https://youtu.be/y9FleIIr7ak","channel 2")</f>
        <v>channel 2</v>
      </c>
    </row>
    <row r="29">
      <c r="B29" s="110" t="s">
        <v>4077</v>
      </c>
      <c r="C29" s="135" t="s">
        <v>165</v>
      </c>
      <c r="D29" s="110" t="s">
        <v>1906</v>
      </c>
      <c r="E29" s="11" t="str">
        <f>HYPERLINK("https://youtu.be/b6LPMCA9eSM","channel 1")</f>
        <v>channel 1</v>
      </c>
    </row>
    <row r="30">
      <c r="B30" s="110" t="s">
        <v>3721</v>
      </c>
      <c r="C30" s="135" t="s">
        <v>271</v>
      </c>
      <c r="D30" s="110" t="s">
        <v>4355</v>
      </c>
      <c r="E30" s="11" t="str">
        <f>HYPERLINK("https://youtu.be/WSJfk5vpqoA","channel 2")</f>
        <v>channel 2</v>
      </c>
    </row>
    <row r="31">
      <c r="B31" s="110" t="s">
        <v>4077</v>
      </c>
      <c r="C31" s="135" t="s">
        <v>953</v>
      </c>
      <c r="D31" s="110" t="s">
        <v>119</v>
      </c>
      <c r="E31" s="11" t="str">
        <f>HYPERLINK("https://youtu.be/4O0CwfXMLAs","channel 1")</f>
        <v>channel 1</v>
      </c>
    </row>
    <row r="32">
      <c r="B32" s="110" t="s">
        <v>1906</v>
      </c>
      <c r="C32" s="135" t="s">
        <v>42</v>
      </c>
      <c r="D32" s="110" t="s">
        <v>4355</v>
      </c>
      <c r="E32" s="11" t="str">
        <f>HYPERLINK("https://youtu.be/qHKTiD99ZH8","channel 2")</f>
        <v>channel 2</v>
      </c>
    </row>
    <row r="33">
      <c r="B33" s="110" t="s">
        <v>4077</v>
      </c>
      <c r="C33" s="135" t="s">
        <v>162</v>
      </c>
      <c r="D33" s="110" t="s">
        <v>3721</v>
      </c>
      <c r="E33" s="11" t="str">
        <f>HYPERLINK("https://youtu.be/DIcXMaxVLYs","channel 1")</f>
        <v>channel 1</v>
      </c>
    </row>
    <row r="34">
      <c r="B34" s="110" t="s">
        <v>1906</v>
      </c>
      <c r="C34" s="135" t="s">
        <v>220</v>
      </c>
      <c r="D34" s="110" t="s">
        <v>119</v>
      </c>
      <c r="E34" s="11" t="str">
        <f>HYPERLINK("https://youtu.be/gvkeesqx7Ts","channel 2")</f>
        <v>channel 2</v>
      </c>
    </row>
    <row r="35">
      <c r="B35" s="110" t="s">
        <v>119</v>
      </c>
      <c r="C35" s="135" t="s">
        <v>2793</v>
      </c>
      <c r="D35" s="110" t="s">
        <v>4355</v>
      </c>
      <c r="E35" s="11" t="str">
        <f>HYPERLINK("https://youtu.be/IUX1sHtSqYQ","channel 1")</f>
        <v>channel 1</v>
      </c>
    </row>
    <row r="36">
      <c r="B36" s="110" t="s">
        <v>1906</v>
      </c>
      <c r="C36" s="135" t="s">
        <v>23</v>
      </c>
      <c r="D36" s="110" t="s">
        <v>3721</v>
      </c>
      <c r="E36" s="11" t="str">
        <f>HYPERLINK("https://youtu.be/lZfkWHEF9Z4","channel 2")</f>
        <v>channel 2</v>
      </c>
    </row>
    <row r="37">
      <c r="B37" s="110" t="s">
        <v>4355</v>
      </c>
      <c r="C37" s="135" t="s">
        <v>4356</v>
      </c>
      <c r="D37" s="110" t="s">
        <v>4077</v>
      </c>
      <c r="E37" s="11" t="str">
        <f>HYPERLINK("https://youtu.be/SSptqJilZQ4","channel 1")</f>
        <v>channel 1</v>
      </c>
    </row>
    <row r="38">
      <c r="B38" s="110" t="s">
        <v>119</v>
      </c>
      <c r="C38" s="135" t="s">
        <v>23</v>
      </c>
      <c r="D38" s="110" t="s">
        <v>3721</v>
      </c>
      <c r="E38" s="11" t="str">
        <f>HYPERLINK("https://youtu.be/Kxz2OF48Brc","channel 2")</f>
        <v>channel 2</v>
      </c>
    </row>
    <row r="39">
      <c r="B39" s="110" t="s">
        <v>1906</v>
      </c>
      <c r="C39" s="135" t="s">
        <v>342</v>
      </c>
      <c r="D39" s="110" t="s">
        <v>4077</v>
      </c>
      <c r="E39" s="11" t="str">
        <f>HYPERLINK("https://youtu.be/8CQaTeRqhJk","channel 1")</f>
        <v>channel 1</v>
      </c>
    </row>
    <row r="40">
      <c r="B40" s="110" t="s">
        <v>4355</v>
      </c>
      <c r="C40" s="135" t="s">
        <v>334</v>
      </c>
      <c r="D40" s="110" t="s">
        <v>3721</v>
      </c>
      <c r="E40" s="11" t="str">
        <f>HYPERLINK("https://youtu.be/QW-h9Y8T8OU","channel 2")</f>
        <v>channel 2</v>
      </c>
    </row>
    <row r="41">
      <c r="B41" s="110" t="s">
        <v>119</v>
      </c>
      <c r="C41" s="135" t="s">
        <v>289</v>
      </c>
      <c r="D41" s="110" t="s">
        <v>4077</v>
      </c>
      <c r="E41" s="11" t="str">
        <f>HYPERLINK("https://youtu.be/QMNjShqoFwM","channel 1")</f>
        <v>channel 1</v>
      </c>
    </row>
    <row r="42">
      <c r="B42" s="110" t="s">
        <v>4355</v>
      </c>
      <c r="C42" s="135" t="s">
        <v>712</v>
      </c>
      <c r="D42" s="110" t="s">
        <v>1906</v>
      </c>
      <c r="E42" s="11" t="str">
        <f>HYPERLINK("https://youtu.be/vd8XwoNop-E","channel 2")</f>
        <v>channel 2</v>
      </c>
    </row>
    <row r="43">
      <c r="B43" s="110" t="s">
        <v>3721</v>
      </c>
      <c r="C43" s="135" t="s">
        <v>417</v>
      </c>
      <c r="D43" s="110" t="s">
        <v>4077</v>
      </c>
      <c r="E43" s="11" t="str">
        <f>HYPERLINK("https://youtu.be/_u_pbLpG8aw","channel 1")</f>
        <v>channel 1</v>
      </c>
    </row>
    <row r="44">
      <c r="B44" s="110" t="s">
        <v>119</v>
      </c>
      <c r="C44" s="135" t="s">
        <v>525</v>
      </c>
      <c r="D44" s="110" t="s">
        <v>1906</v>
      </c>
      <c r="E44" s="11" t="str">
        <f>HYPERLINK("https://youtu.be/BeqOYVlySFo","channel 2")</f>
        <v>channel 2</v>
      </c>
    </row>
    <row r="45">
      <c r="B45" s="172"/>
      <c r="C45" s="172"/>
      <c r="D45" s="172"/>
      <c r="E45" s="172"/>
    </row>
    <row r="46">
      <c r="B46" s="172"/>
      <c r="C46" s="172"/>
      <c r="D46" s="172"/>
      <c r="E46" s="172"/>
    </row>
    <row r="47">
      <c r="B47" s="172"/>
      <c r="C47" s="172"/>
      <c r="D47" s="172"/>
      <c r="E47" s="172"/>
    </row>
    <row r="48">
      <c r="B48" s="172"/>
      <c r="C48" s="172"/>
      <c r="D48" s="172"/>
      <c r="E48" s="172"/>
    </row>
    <row r="49">
      <c r="B49" s="172"/>
      <c r="C49" s="172"/>
      <c r="D49" s="172"/>
      <c r="E49" s="172"/>
    </row>
    <row r="50">
      <c r="B50" s="172"/>
      <c r="C50" s="172"/>
      <c r="D50" s="172"/>
      <c r="E50" s="172"/>
    </row>
    <row r="51">
      <c r="B51" s="172"/>
      <c r="C51" s="172"/>
      <c r="D51" s="172"/>
      <c r="E51" s="172"/>
    </row>
    <row r="52">
      <c r="B52" s="172"/>
      <c r="C52" s="172"/>
      <c r="D52" s="172"/>
      <c r="E52" s="172"/>
    </row>
    <row r="53">
      <c r="B53" s="172"/>
      <c r="C53" s="172"/>
      <c r="D53" s="172"/>
      <c r="E53" s="172"/>
    </row>
    <row r="54">
      <c r="B54" s="172"/>
      <c r="C54" s="172"/>
      <c r="D54" s="172"/>
      <c r="E54" s="172"/>
    </row>
    <row r="55">
      <c r="B55" s="172"/>
      <c r="C55" s="172"/>
      <c r="D55" s="172"/>
      <c r="E55" s="172"/>
    </row>
    <row r="56">
      <c r="B56" s="172"/>
      <c r="C56" s="172"/>
      <c r="D56" s="172"/>
      <c r="E56" s="172"/>
    </row>
    <row r="57">
      <c r="B57" s="172"/>
      <c r="C57" s="172"/>
      <c r="D57" s="172"/>
      <c r="E57" s="172"/>
    </row>
    <row r="58">
      <c r="B58" s="172"/>
      <c r="C58" s="172"/>
      <c r="D58" s="172"/>
      <c r="E58" s="172"/>
    </row>
    <row r="59">
      <c r="B59" s="172"/>
      <c r="C59" s="172"/>
      <c r="D59" s="172"/>
      <c r="E59" s="172"/>
    </row>
    <row r="60">
      <c r="B60" s="172"/>
      <c r="C60" s="172"/>
      <c r="D60" s="172"/>
      <c r="E60" s="172"/>
    </row>
    <row r="61">
      <c r="B61" s="172"/>
      <c r="C61" s="172"/>
      <c r="D61" s="172"/>
      <c r="E61" s="172"/>
    </row>
    <row r="62">
      <c r="B62" s="172"/>
      <c r="C62" s="172"/>
      <c r="D62" s="172"/>
      <c r="E62" s="172"/>
    </row>
    <row r="63">
      <c r="B63" s="172"/>
      <c r="C63" s="172"/>
      <c r="D63" s="172"/>
      <c r="E63" s="172"/>
    </row>
    <row r="64">
      <c r="B64" s="172"/>
      <c r="C64" s="172"/>
      <c r="D64" s="172"/>
      <c r="E64" s="172"/>
    </row>
    <row r="65">
      <c r="B65" s="172"/>
      <c r="C65" s="172"/>
      <c r="D65" s="172"/>
      <c r="E65" s="172"/>
    </row>
    <row r="66">
      <c r="B66" s="172"/>
      <c r="C66" s="172"/>
      <c r="D66" s="172"/>
      <c r="E66" s="172"/>
    </row>
    <row r="67">
      <c r="B67" s="172"/>
      <c r="C67" s="172"/>
      <c r="D67" s="172"/>
      <c r="E67" s="172"/>
    </row>
    <row r="68">
      <c r="B68" s="172"/>
      <c r="C68" s="172"/>
      <c r="D68" s="172"/>
      <c r="E68" s="172"/>
    </row>
    <row r="69">
      <c r="B69" s="172"/>
      <c r="C69" s="172"/>
      <c r="D69" s="172"/>
      <c r="E69" s="172"/>
    </row>
    <row r="70">
      <c r="B70" s="172"/>
      <c r="C70" s="172"/>
      <c r="D70" s="172"/>
      <c r="E70" s="172"/>
    </row>
    <row r="71">
      <c r="B71" s="172"/>
      <c r="C71" s="172"/>
      <c r="D71" s="172"/>
      <c r="E71" s="172"/>
    </row>
    <row r="72">
      <c r="B72" s="172"/>
      <c r="C72" s="172"/>
      <c r="D72" s="172"/>
      <c r="E72" s="172"/>
    </row>
    <row r="73">
      <c r="B73" s="172"/>
      <c r="C73" s="172"/>
      <c r="D73" s="172"/>
      <c r="E73" s="172"/>
    </row>
    <row r="74">
      <c r="B74" s="172"/>
      <c r="C74" s="172"/>
      <c r="D74" s="172"/>
      <c r="E74" s="172"/>
    </row>
    <row r="75">
      <c r="B75" s="172"/>
      <c r="C75" s="172"/>
      <c r="D75" s="172"/>
      <c r="E75" s="172"/>
    </row>
    <row r="76">
      <c r="B76" s="172"/>
      <c r="C76" s="172"/>
      <c r="D76" s="172"/>
      <c r="E76" s="172"/>
    </row>
    <row r="77">
      <c r="B77" s="172"/>
      <c r="C77" s="172"/>
      <c r="D77" s="172"/>
      <c r="E77" s="172"/>
    </row>
    <row r="78">
      <c r="B78" s="172"/>
      <c r="C78" s="172"/>
      <c r="D78" s="172"/>
      <c r="E78" s="172"/>
    </row>
    <row r="79">
      <c r="B79" s="172"/>
      <c r="C79" s="172"/>
      <c r="D79" s="172"/>
      <c r="E79" s="172"/>
    </row>
    <row r="80">
      <c r="B80" s="172"/>
      <c r="C80" s="172"/>
      <c r="D80" s="172"/>
      <c r="E80" s="172"/>
    </row>
    <row r="81">
      <c r="B81" s="172"/>
      <c r="C81" s="172"/>
      <c r="D81" s="172"/>
      <c r="E81" s="172"/>
    </row>
    <row r="82">
      <c r="B82" s="172"/>
      <c r="C82" s="172"/>
      <c r="D82" s="172"/>
      <c r="E82" s="172"/>
    </row>
    <row r="83">
      <c r="B83" s="172"/>
      <c r="C83" s="172"/>
      <c r="D83" s="172"/>
      <c r="E83" s="172"/>
    </row>
    <row r="84">
      <c r="B84" s="172"/>
      <c r="C84" s="172"/>
      <c r="D84" s="172"/>
      <c r="E84" s="172"/>
    </row>
    <row r="85">
      <c r="B85" s="172"/>
      <c r="C85" s="172"/>
      <c r="D85" s="172"/>
      <c r="E85" s="172"/>
    </row>
    <row r="86">
      <c r="B86" s="172"/>
      <c r="C86" s="172"/>
      <c r="D86" s="172"/>
      <c r="E86" s="172"/>
    </row>
    <row r="87">
      <c r="B87" s="172"/>
      <c r="C87" s="172"/>
      <c r="D87" s="172"/>
      <c r="E87" s="172"/>
    </row>
    <row r="88">
      <c r="B88" s="172"/>
      <c r="C88" s="172"/>
      <c r="D88" s="172"/>
      <c r="E88" s="172"/>
    </row>
    <row r="89">
      <c r="B89" s="172"/>
      <c r="C89" s="172"/>
      <c r="D89" s="172"/>
      <c r="E89" s="172"/>
    </row>
    <row r="90">
      <c r="B90" s="172"/>
      <c r="C90" s="172"/>
      <c r="D90" s="172"/>
      <c r="E90" s="172"/>
    </row>
    <row r="91">
      <c r="B91" s="172"/>
      <c r="C91" s="172"/>
      <c r="D91" s="172"/>
      <c r="E91" s="172"/>
    </row>
    <row r="92">
      <c r="B92" s="172"/>
      <c r="C92" s="172"/>
      <c r="D92" s="172"/>
      <c r="E92" s="172"/>
    </row>
    <row r="93">
      <c r="B93" s="172"/>
      <c r="C93" s="172"/>
      <c r="D93" s="172"/>
      <c r="E93" s="172"/>
    </row>
    <row r="94">
      <c r="B94" s="172"/>
      <c r="C94" s="172"/>
      <c r="D94" s="172"/>
      <c r="E94" s="172"/>
    </row>
    <row r="95">
      <c r="B95" s="172"/>
      <c r="C95" s="172"/>
      <c r="D95" s="172"/>
      <c r="E95" s="172"/>
    </row>
    <row r="96">
      <c r="B96" s="172"/>
      <c r="C96" s="172"/>
      <c r="D96" s="172"/>
      <c r="E96" s="172"/>
    </row>
    <row r="97">
      <c r="B97" s="172"/>
      <c r="C97" s="172"/>
      <c r="D97" s="172"/>
      <c r="E97" s="172"/>
    </row>
    <row r="98">
      <c r="B98" s="172"/>
      <c r="C98" s="172"/>
      <c r="D98" s="172"/>
      <c r="E98" s="172"/>
    </row>
    <row r="99">
      <c r="B99" s="172"/>
      <c r="C99" s="172"/>
      <c r="D99" s="172"/>
      <c r="E99" s="172"/>
    </row>
    <row r="100">
      <c r="B100" s="172"/>
      <c r="C100" s="172"/>
      <c r="D100" s="172"/>
      <c r="E100" s="172"/>
    </row>
    <row r="101">
      <c r="B101" s="172"/>
      <c r="C101" s="172"/>
      <c r="D101" s="172"/>
      <c r="E101" s="172"/>
    </row>
    <row r="102">
      <c r="B102" s="172"/>
      <c r="C102" s="172"/>
      <c r="D102" s="172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2">
    <mergeCell ref="A1:A88"/>
    <mergeCell ref="B23:D23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4290</v>
      </c>
      <c r="C1" s="37"/>
      <c r="D1" s="38"/>
      <c r="E1" s="183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56" t="s">
        <v>4357</v>
      </c>
      <c r="C3" s="179" t="s">
        <v>404</v>
      </c>
      <c r="D3" s="186" t="s">
        <v>3607</v>
      </c>
      <c r="E3" s="11" t="str">
        <f>HYPERLINK("https://youtu.be/y71qA8KnPKE","channel 1")</f>
        <v>channel 1</v>
      </c>
    </row>
    <row r="4">
      <c r="B4" s="123" t="s">
        <v>3642</v>
      </c>
      <c r="C4" s="135" t="s">
        <v>16</v>
      </c>
      <c r="D4" s="124" t="s">
        <v>4134</v>
      </c>
      <c r="E4" s="139" t="str">
        <f>HYPERLINK("https://youtu.be/ihiM4ghJLyM","channel 2")</f>
        <v>channel 2</v>
      </c>
    </row>
    <row r="5">
      <c r="B5" s="123" t="s">
        <v>1111</v>
      </c>
      <c r="C5" s="135" t="s">
        <v>17</v>
      </c>
      <c r="D5" s="124" t="s">
        <v>4357</v>
      </c>
      <c r="E5" s="11" t="str">
        <f>HYPERLINK("https://youtu.be/dS3_ObYBsRw","channel 1")</f>
        <v>channel 1</v>
      </c>
    </row>
    <row r="6">
      <c r="B6" s="123" t="s">
        <v>3642</v>
      </c>
      <c r="C6" s="135" t="s">
        <v>229</v>
      </c>
      <c r="D6" s="124" t="s">
        <v>3607</v>
      </c>
      <c r="E6" s="139" t="str">
        <f>HYPERLINK("https://youtu.be/DhJBoxlUB_k","channel 2")</f>
        <v>channel 2</v>
      </c>
    </row>
    <row r="7">
      <c r="B7" s="123" t="s">
        <v>1111</v>
      </c>
      <c r="C7" s="135" t="s">
        <v>181</v>
      </c>
      <c r="D7" s="124" t="s">
        <v>4134</v>
      </c>
      <c r="E7" s="11" t="str">
        <f>HYPERLINK("https://youtu.be/HsN_qiuKRRY","channel 1")</f>
        <v>channel 1</v>
      </c>
    </row>
    <row r="8">
      <c r="B8" s="123" t="s">
        <v>3642</v>
      </c>
      <c r="C8" s="135" t="s">
        <v>290</v>
      </c>
      <c r="D8" s="124" t="s">
        <v>4357</v>
      </c>
      <c r="E8" s="139" t="str">
        <f>HYPERLINK("https://youtu.be/f6h1iKR_nvs","channel 2")</f>
        <v>channel 2</v>
      </c>
    </row>
    <row r="9">
      <c r="B9" s="123" t="s">
        <v>1111</v>
      </c>
      <c r="C9" s="135" t="s">
        <v>18</v>
      </c>
      <c r="D9" s="124" t="s">
        <v>3607</v>
      </c>
      <c r="E9" s="11" t="str">
        <f>HYPERLINK("https://youtu.be/BwGJ6BXsaKU","channel 1")</f>
        <v>channel 1</v>
      </c>
    </row>
    <row r="10">
      <c r="B10" s="123" t="s">
        <v>4134</v>
      </c>
      <c r="C10" s="135" t="s">
        <v>181</v>
      </c>
      <c r="D10" s="124" t="s">
        <v>4357</v>
      </c>
      <c r="E10" s="139" t="str">
        <f>HYPERLINK("https://youtu.be/wj7o3tqqBo8","channel 2")</f>
        <v>channel 2</v>
      </c>
    </row>
    <row r="11">
      <c r="B11" s="123" t="s">
        <v>1111</v>
      </c>
      <c r="C11" s="135" t="s">
        <v>203</v>
      </c>
      <c r="D11" s="124" t="s">
        <v>3642</v>
      </c>
      <c r="E11" s="11" t="str">
        <f>HYPERLINK("https://youtu.be/CGH89GN-XkY","channel 1")</f>
        <v>channel 1</v>
      </c>
    </row>
    <row r="12">
      <c r="B12" s="123" t="s">
        <v>4134</v>
      </c>
      <c r="C12" s="135" t="s">
        <v>165</v>
      </c>
      <c r="D12" s="124" t="s">
        <v>3607</v>
      </c>
      <c r="E12" s="139" t="str">
        <f>HYPERLINK("https://youtu.be/QX5hMempyk4","channel 2")</f>
        <v>channel 2</v>
      </c>
    </row>
    <row r="13">
      <c r="B13" s="123" t="s">
        <v>3607</v>
      </c>
      <c r="C13" s="135" t="s">
        <v>774</v>
      </c>
      <c r="D13" s="124" t="s">
        <v>4357</v>
      </c>
      <c r="E13" s="11" t="str">
        <f>HYPERLINK("https://youtu.be/2URNEbWKCTA","channel 1")</f>
        <v>channel 1</v>
      </c>
    </row>
    <row r="14">
      <c r="B14" s="123" t="s">
        <v>4134</v>
      </c>
      <c r="C14" s="135" t="s">
        <v>18</v>
      </c>
      <c r="D14" s="124" t="s">
        <v>3642</v>
      </c>
      <c r="E14" s="139" t="str">
        <f>HYPERLINK("https://youtu.be/8H3JXrWuLTc","channel 2")</f>
        <v>channel 2</v>
      </c>
    </row>
    <row r="15">
      <c r="B15" s="123" t="s">
        <v>4357</v>
      </c>
      <c r="C15" s="135" t="s">
        <v>38</v>
      </c>
      <c r="D15" s="124" t="s">
        <v>1111</v>
      </c>
      <c r="E15" s="125" t="s">
        <v>9</v>
      </c>
    </row>
    <row r="16">
      <c r="B16" s="123" t="s">
        <v>3607</v>
      </c>
      <c r="C16" s="135" t="s">
        <v>171</v>
      </c>
      <c r="D16" s="124" t="s">
        <v>3642</v>
      </c>
      <c r="E16" s="139" t="str">
        <f>HYPERLINK("https://youtu.be/Bo3wa70wW_c","channel 2")</f>
        <v>channel 2</v>
      </c>
    </row>
    <row r="17">
      <c r="B17" s="123" t="s">
        <v>4134</v>
      </c>
      <c r="C17" s="135" t="s">
        <v>177</v>
      </c>
      <c r="D17" s="124" t="s">
        <v>1111</v>
      </c>
      <c r="E17" s="11" t="str">
        <f>HYPERLINK("https://youtu.be/nSb036-pfbs","channel 1")</f>
        <v>channel 1</v>
      </c>
    </row>
    <row r="18">
      <c r="B18" s="123" t="s">
        <v>4357</v>
      </c>
      <c r="C18" s="135" t="s">
        <v>4220</v>
      </c>
      <c r="D18" s="124" t="s">
        <v>3642</v>
      </c>
      <c r="E18" s="139" t="str">
        <f>HYPERLINK("https://youtu.be/AU0ZCsbb_sI","channel 2")</f>
        <v>channel 2</v>
      </c>
    </row>
    <row r="19">
      <c r="B19" s="123" t="s">
        <v>3607</v>
      </c>
      <c r="C19" s="135" t="s">
        <v>158</v>
      </c>
      <c r="D19" s="124" t="s">
        <v>1111</v>
      </c>
      <c r="E19" s="11" t="str">
        <f>HYPERLINK("https://youtu.be/uicKGXnEJ7U","channel 1")</f>
        <v>channel 1</v>
      </c>
    </row>
    <row r="20">
      <c r="B20" s="123" t="s">
        <v>4357</v>
      </c>
      <c r="C20" s="135" t="s">
        <v>4358</v>
      </c>
      <c r="D20" s="124" t="s">
        <v>4134</v>
      </c>
      <c r="E20" s="139" t="str">
        <f>HYPERLINK("https://youtu.be/SVjBRo92Bg8","channel 2")</f>
        <v>channel 2</v>
      </c>
    </row>
    <row r="21">
      <c r="B21" s="123" t="s">
        <v>3642</v>
      </c>
      <c r="C21" s="135" t="s">
        <v>264</v>
      </c>
      <c r="D21" s="124" t="s">
        <v>1111</v>
      </c>
      <c r="E21" s="11" t="str">
        <f>HYPERLINK("https://youtu.be/ctXJWMIWCKs","channel 1")</f>
        <v>channel 1</v>
      </c>
    </row>
    <row r="22">
      <c r="B22" s="123" t="s">
        <v>3607</v>
      </c>
      <c r="C22" s="135" t="s">
        <v>237</v>
      </c>
      <c r="D22" s="124" t="s">
        <v>4134</v>
      </c>
      <c r="E22" s="139" t="str">
        <f>HYPERLINK("https://youtu.be/EsIQvYfOS0g","channel 2")</f>
        <v>channel 2</v>
      </c>
    </row>
    <row r="23">
      <c r="B23" s="188" t="s">
        <v>3737</v>
      </c>
      <c r="C23" s="37"/>
      <c r="D23" s="38"/>
      <c r="E23" s="11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123" t="s">
        <v>4359</v>
      </c>
      <c r="C25" s="135" t="s">
        <v>573</v>
      </c>
      <c r="D25" s="124" t="s">
        <v>4360</v>
      </c>
      <c r="E25" s="11" t="str">
        <f>HYPERLINK("https://youtu.be/lKYzvsOXngk","channel 1")</f>
        <v>channel 1</v>
      </c>
    </row>
    <row r="26">
      <c r="B26" s="123" t="s">
        <v>2476</v>
      </c>
      <c r="C26" s="135" t="s">
        <v>41</v>
      </c>
      <c r="D26" s="124" t="s">
        <v>3864</v>
      </c>
      <c r="E26" s="139" t="str">
        <f>HYPERLINK("https://youtu.be/F-CDj684eOw","channel 2")</f>
        <v>channel 2</v>
      </c>
    </row>
    <row r="27">
      <c r="B27" s="123" t="s">
        <v>564</v>
      </c>
      <c r="C27" s="135" t="s">
        <v>2426</v>
      </c>
      <c r="D27" s="124" t="s">
        <v>4359</v>
      </c>
      <c r="E27" s="11" t="str">
        <f>HYPERLINK("https://youtu.be/DVr6_0M31ls","channel 1")</f>
        <v>channel 1</v>
      </c>
    </row>
    <row r="28">
      <c r="B28" s="123" t="s">
        <v>2476</v>
      </c>
      <c r="C28" s="135" t="s">
        <v>19</v>
      </c>
      <c r="D28" s="124" t="s">
        <v>4360</v>
      </c>
      <c r="E28" s="139" t="str">
        <f>HYPERLINK("https://youtu.be/GG_j-a4eYIc","channel 2")</f>
        <v>channel 2</v>
      </c>
    </row>
    <row r="29">
      <c r="B29" s="123" t="s">
        <v>564</v>
      </c>
      <c r="C29" s="135" t="s">
        <v>193</v>
      </c>
      <c r="D29" s="124" t="s">
        <v>3864</v>
      </c>
      <c r="E29" s="11" t="str">
        <f>HYPERLINK("https://youtu.be/x-8n-HlSiyw","channel 1")</f>
        <v>channel 1</v>
      </c>
    </row>
    <row r="30">
      <c r="B30" s="123" t="s">
        <v>2476</v>
      </c>
      <c r="C30" s="135" t="s">
        <v>302</v>
      </c>
      <c r="D30" s="124" t="s">
        <v>4359</v>
      </c>
      <c r="E30" s="139" t="str">
        <f>HYPERLINK("https://youtu.be/i56nM3xyvA4","channel 2")</f>
        <v>channel 2</v>
      </c>
    </row>
    <row r="31">
      <c r="B31" s="123" t="s">
        <v>564</v>
      </c>
      <c r="C31" s="135" t="s">
        <v>162</v>
      </c>
      <c r="D31" s="124" t="s">
        <v>4360</v>
      </c>
      <c r="E31" s="11" t="str">
        <f>HYPERLINK("https://youtu.be/Im0af3e-Z1Q","channel 1")</f>
        <v>channel 1</v>
      </c>
    </row>
    <row r="32">
      <c r="B32" s="123" t="s">
        <v>3864</v>
      </c>
      <c r="C32" s="135" t="s">
        <v>155</v>
      </c>
      <c r="D32" s="124" t="s">
        <v>4359</v>
      </c>
      <c r="E32" s="139" t="str">
        <f>HYPERLINK("https://youtu.be/NQvhTwdKAKQ","channel 2")</f>
        <v>channel 2</v>
      </c>
    </row>
    <row r="33">
      <c r="B33" s="123" t="s">
        <v>564</v>
      </c>
      <c r="C33" s="135" t="s">
        <v>219</v>
      </c>
      <c r="D33" s="124" t="s">
        <v>2476</v>
      </c>
      <c r="E33" s="11" t="str">
        <f>HYPERLINK("https://youtu.be/D7qSTCeapl4","channel 1")</f>
        <v>channel 1</v>
      </c>
    </row>
    <row r="34">
      <c r="B34" s="123" t="s">
        <v>3864</v>
      </c>
      <c r="C34" s="135" t="s">
        <v>256</v>
      </c>
      <c r="D34" s="124" t="s">
        <v>4360</v>
      </c>
      <c r="E34" s="139" t="str">
        <f>HYPERLINK("https://youtu.be/Q6IBP-Nc0T0","channel 2")</f>
        <v>channel 2</v>
      </c>
    </row>
    <row r="35">
      <c r="B35" s="123" t="s">
        <v>4360</v>
      </c>
      <c r="C35" s="135" t="s">
        <v>674</v>
      </c>
      <c r="D35" s="124" t="s">
        <v>4359</v>
      </c>
      <c r="E35" s="11" t="str">
        <f>HYPERLINK("https://youtu.be/-nH2vGaFf6Y","channel 1")</f>
        <v>channel 1</v>
      </c>
    </row>
    <row r="36">
      <c r="B36" s="123" t="s">
        <v>3864</v>
      </c>
      <c r="C36" s="135" t="s">
        <v>16</v>
      </c>
      <c r="D36" s="124" t="s">
        <v>2476</v>
      </c>
      <c r="E36" s="139" t="str">
        <f>HYPERLINK("https://youtu.be/XMCDJBZrLyE","channel 2")</f>
        <v>channel 2</v>
      </c>
    </row>
    <row r="37">
      <c r="B37" s="123" t="s">
        <v>4359</v>
      </c>
      <c r="C37" s="135" t="s">
        <v>166</v>
      </c>
      <c r="D37" s="124" t="s">
        <v>564</v>
      </c>
      <c r="E37" s="11" t="str">
        <f>HYPERLINK("https://youtu.be/U4O8vwrJ040","channel 1")</f>
        <v>channel 1</v>
      </c>
    </row>
    <row r="38">
      <c r="B38" s="123" t="s">
        <v>4360</v>
      </c>
      <c r="C38" s="135" t="s">
        <v>210</v>
      </c>
      <c r="D38" s="124" t="s">
        <v>2476</v>
      </c>
      <c r="E38" s="139" t="str">
        <f>HYPERLINK("https://youtu.be/pug33X4kJQw","channel 2")</f>
        <v>channel 2</v>
      </c>
    </row>
    <row r="39">
      <c r="B39" s="123" t="s">
        <v>3864</v>
      </c>
      <c r="C39" s="135" t="s">
        <v>158</v>
      </c>
      <c r="D39" s="124" t="s">
        <v>564</v>
      </c>
      <c r="E39" s="11" t="str">
        <f>HYPERLINK("https://youtu.be/vDtiR4CTdA0","channel 1")</f>
        <v>channel 1</v>
      </c>
    </row>
    <row r="40">
      <c r="B40" s="123" t="s">
        <v>4359</v>
      </c>
      <c r="C40" s="135" t="s">
        <v>239</v>
      </c>
      <c r="D40" s="124" t="s">
        <v>2476</v>
      </c>
      <c r="E40" s="139" t="str">
        <f>HYPERLINK("https://youtu.be/iJ336lcsPEU","channel 2")</f>
        <v>channel 2</v>
      </c>
    </row>
    <row r="41">
      <c r="B41" s="123" t="s">
        <v>4360</v>
      </c>
      <c r="C41" s="135" t="s">
        <v>334</v>
      </c>
      <c r="D41" s="124" t="s">
        <v>564</v>
      </c>
      <c r="E41" s="11" t="str">
        <f>HYPERLINK("https://youtu.be/mTjmAly_jJA","channel 1")</f>
        <v>channel 1</v>
      </c>
    </row>
    <row r="42">
      <c r="B42" s="123" t="s">
        <v>4359</v>
      </c>
      <c r="C42" s="135" t="s">
        <v>549</v>
      </c>
      <c r="D42" s="124" t="s">
        <v>3864</v>
      </c>
      <c r="E42" s="139" t="str">
        <f>HYPERLINK("https://youtu.be/30n4EbjanWo","channel 2")</f>
        <v>channel 2</v>
      </c>
    </row>
    <row r="43">
      <c r="B43" s="123" t="s">
        <v>2476</v>
      </c>
      <c r="C43" s="135" t="s">
        <v>16</v>
      </c>
      <c r="D43" s="124" t="s">
        <v>564</v>
      </c>
      <c r="E43" s="11" t="str">
        <f>HYPERLINK("https://youtu.be/_Y9HMPCUTkk","channel 1")</f>
        <v>channel 1</v>
      </c>
    </row>
    <row r="44">
      <c r="B44" s="123" t="s">
        <v>4360</v>
      </c>
      <c r="C44" s="135" t="s">
        <v>354</v>
      </c>
      <c r="D44" s="124" t="s">
        <v>3864</v>
      </c>
      <c r="E44" s="139" t="str">
        <f>HYPERLINK("https://youtu.be/l6qTM_Oap9I","channel 2")</f>
        <v>channel 2</v>
      </c>
    </row>
    <row r="45">
      <c r="B45" s="172"/>
      <c r="C45" s="172"/>
      <c r="D45" s="172"/>
      <c r="E45" s="172"/>
    </row>
    <row r="46">
      <c r="B46" s="172"/>
      <c r="C46" s="172"/>
      <c r="D46" s="172"/>
      <c r="E46" s="172"/>
    </row>
    <row r="47">
      <c r="B47" s="172"/>
      <c r="C47" s="172"/>
      <c r="D47" s="172"/>
      <c r="E47" s="172"/>
    </row>
    <row r="48">
      <c r="B48" s="172"/>
      <c r="C48" s="172"/>
      <c r="D48" s="172"/>
      <c r="E48" s="172"/>
    </row>
    <row r="49">
      <c r="B49" s="172"/>
      <c r="C49" s="172"/>
      <c r="D49" s="172"/>
      <c r="E49" s="172"/>
    </row>
    <row r="50">
      <c r="B50" s="172"/>
      <c r="C50" s="172"/>
      <c r="D50" s="172"/>
      <c r="E50" s="172"/>
    </row>
    <row r="51">
      <c r="B51" s="172"/>
      <c r="C51" s="172"/>
      <c r="D51" s="172"/>
      <c r="E51" s="172"/>
    </row>
    <row r="52">
      <c r="B52" s="172"/>
      <c r="C52" s="172"/>
      <c r="D52" s="172"/>
      <c r="E52" s="172"/>
    </row>
    <row r="53">
      <c r="B53" s="172"/>
      <c r="C53" s="172"/>
      <c r="D53" s="172"/>
      <c r="E53" s="172"/>
    </row>
    <row r="54">
      <c r="B54" s="172"/>
      <c r="C54" s="172"/>
      <c r="D54" s="172"/>
      <c r="E54" s="172"/>
    </row>
    <row r="55">
      <c r="B55" s="172"/>
      <c r="C55" s="172"/>
      <c r="D55" s="172"/>
      <c r="E55" s="172"/>
    </row>
    <row r="56">
      <c r="B56" s="172"/>
      <c r="C56" s="172"/>
      <c r="D56" s="172"/>
      <c r="E56" s="172"/>
    </row>
    <row r="57">
      <c r="B57" s="172"/>
      <c r="C57" s="172"/>
      <c r="D57" s="172"/>
      <c r="E57" s="172"/>
    </row>
    <row r="58">
      <c r="B58" s="172"/>
      <c r="C58" s="172"/>
      <c r="D58" s="172"/>
      <c r="E58" s="172"/>
    </row>
    <row r="59">
      <c r="B59" s="172"/>
      <c r="C59" s="172"/>
      <c r="D59" s="172"/>
      <c r="E59" s="172"/>
    </row>
    <row r="60">
      <c r="B60" s="172"/>
      <c r="C60" s="172"/>
      <c r="D60" s="172"/>
      <c r="E60" s="172"/>
    </row>
    <row r="61">
      <c r="B61" s="172"/>
      <c r="C61" s="172"/>
      <c r="D61" s="172"/>
      <c r="E61" s="172"/>
    </row>
    <row r="62">
      <c r="B62" s="172"/>
      <c r="C62" s="172"/>
      <c r="D62" s="172"/>
      <c r="E62" s="172"/>
    </row>
    <row r="63">
      <c r="B63" s="172"/>
      <c r="C63" s="172"/>
      <c r="D63" s="172"/>
      <c r="E63" s="172"/>
    </row>
    <row r="64">
      <c r="B64" s="172"/>
      <c r="C64" s="172"/>
      <c r="D64" s="172"/>
      <c r="E64" s="172"/>
    </row>
    <row r="65">
      <c r="B65" s="172"/>
      <c r="C65" s="172"/>
      <c r="D65" s="172"/>
      <c r="E65" s="172"/>
    </row>
    <row r="66">
      <c r="B66" s="172"/>
      <c r="C66" s="172"/>
      <c r="D66" s="172"/>
      <c r="E66" s="172"/>
    </row>
    <row r="67">
      <c r="B67" s="172"/>
      <c r="C67" s="172"/>
      <c r="D67" s="172"/>
      <c r="E67" s="172"/>
    </row>
    <row r="68">
      <c r="B68" s="172"/>
      <c r="C68" s="172"/>
      <c r="D68" s="172"/>
      <c r="E68" s="172"/>
    </row>
    <row r="69">
      <c r="B69" s="172"/>
      <c r="C69" s="172"/>
      <c r="D69" s="172"/>
      <c r="E69" s="172"/>
    </row>
    <row r="70">
      <c r="B70" s="172"/>
      <c r="C70" s="172"/>
      <c r="D70" s="172"/>
      <c r="E70" s="172"/>
    </row>
    <row r="71">
      <c r="B71" s="172"/>
      <c r="C71" s="172"/>
      <c r="D71" s="172"/>
      <c r="E71" s="172"/>
    </row>
    <row r="72">
      <c r="B72" s="172"/>
      <c r="C72" s="172"/>
      <c r="D72" s="172"/>
      <c r="E72" s="172"/>
    </row>
    <row r="73">
      <c r="B73" s="172"/>
      <c r="C73" s="172"/>
      <c r="D73" s="172"/>
      <c r="E73" s="172"/>
    </row>
    <row r="74">
      <c r="B74" s="172"/>
      <c r="C74" s="172"/>
      <c r="D74" s="172"/>
      <c r="E74" s="172"/>
    </row>
    <row r="75">
      <c r="B75" s="172"/>
      <c r="C75" s="172"/>
      <c r="D75" s="172"/>
      <c r="E75" s="172"/>
    </row>
    <row r="76">
      <c r="B76" s="172"/>
      <c r="C76" s="172"/>
      <c r="D76" s="172"/>
      <c r="E76" s="172"/>
    </row>
    <row r="77">
      <c r="B77" s="172"/>
      <c r="C77" s="172"/>
      <c r="D77" s="172"/>
      <c r="E77" s="172"/>
    </row>
    <row r="78">
      <c r="B78" s="172"/>
      <c r="C78" s="172"/>
      <c r="D78" s="172"/>
      <c r="E78" s="172"/>
    </row>
    <row r="79">
      <c r="B79" s="172"/>
      <c r="C79" s="172"/>
      <c r="D79" s="172"/>
      <c r="E79" s="172"/>
    </row>
    <row r="80">
      <c r="B80" s="172"/>
      <c r="C80" s="172"/>
      <c r="D80" s="172"/>
      <c r="E80" s="172"/>
    </row>
    <row r="81">
      <c r="B81" s="172"/>
      <c r="C81" s="172"/>
      <c r="D81" s="172"/>
      <c r="E81" s="172"/>
    </row>
    <row r="82">
      <c r="B82" s="172"/>
      <c r="C82" s="172"/>
      <c r="D82" s="172"/>
      <c r="E82" s="172"/>
    </row>
    <row r="83">
      <c r="B83" s="172"/>
      <c r="C83" s="172"/>
      <c r="D83" s="172"/>
      <c r="E83" s="172"/>
    </row>
    <row r="84">
      <c r="B84" s="172"/>
      <c r="C84" s="172"/>
      <c r="D84" s="172"/>
      <c r="E84" s="172"/>
    </row>
    <row r="85">
      <c r="B85" s="172"/>
      <c r="C85" s="172"/>
      <c r="D85" s="172"/>
      <c r="E85" s="172"/>
    </row>
    <row r="86">
      <c r="B86" s="172"/>
      <c r="C86" s="172"/>
      <c r="D86" s="172"/>
      <c r="E86" s="172"/>
    </row>
    <row r="87">
      <c r="B87" s="172"/>
      <c r="C87" s="172"/>
      <c r="D87" s="172"/>
      <c r="E87" s="172"/>
    </row>
    <row r="88">
      <c r="B88" s="172"/>
      <c r="C88" s="172"/>
      <c r="D88" s="172"/>
      <c r="E88" s="172"/>
    </row>
    <row r="89">
      <c r="B89" s="172"/>
      <c r="C89" s="172"/>
      <c r="D89" s="172"/>
      <c r="E89" s="172"/>
    </row>
    <row r="90">
      <c r="B90" s="172"/>
      <c r="C90" s="172"/>
      <c r="D90" s="172"/>
      <c r="E90" s="172"/>
    </row>
    <row r="91">
      <c r="B91" s="172"/>
      <c r="C91" s="172"/>
      <c r="D91" s="172"/>
      <c r="E91" s="172"/>
    </row>
    <row r="92">
      <c r="B92" s="172"/>
      <c r="C92" s="172"/>
      <c r="D92" s="172"/>
      <c r="E92" s="172"/>
    </row>
    <row r="93">
      <c r="B93" s="172"/>
      <c r="C93" s="172"/>
      <c r="D93" s="172"/>
      <c r="E93" s="172"/>
    </row>
    <row r="94">
      <c r="B94" s="172"/>
      <c r="C94" s="172"/>
      <c r="D94" s="172"/>
      <c r="E94" s="172"/>
    </row>
    <row r="95">
      <c r="B95" s="172"/>
      <c r="C95" s="172"/>
      <c r="D95" s="172"/>
      <c r="E95" s="172"/>
    </row>
    <row r="96">
      <c r="B96" s="172"/>
      <c r="C96" s="172"/>
      <c r="D96" s="172"/>
      <c r="E96" s="172"/>
    </row>
    <row r="97">
      <c r="B97" s="172"/>
      <c r="C97" s="172"/>
      <c r="D97" s="172"/>
      <c r="E97" s="172"/>
    </row>
    <row r="98">
      <c r="B98" s="172"/>
      <c r="C98" s="172"/>
      <c r="D98" s="172"/>
      <c r="E98" s="172"/>
    </row>
    <row r="99">
      <c r="B99" s="172"/>
      <c r="C99" s="172"/>
      <c r="D99" s="172"/>
      <c r="E99" s="172"/>
    </row>
    <row r="100">
      <c r="B100" s="172"/>
      <c r="C100" s="172"/>
      <c r="D100" s="172"/>
      <c r="E100" s="172"/>
    </row>
    <row r="101">
      <c r="B101" s="172"/>
      <c r="C101" s="172"/>
      <c r="D101" s="172"/>
      <c r="E101" s="172"/>
    </row>
    <row r="102">
      <c r="B102" s="172"/>
      <c r="C102" s="172"/>
      <c r="D102" s="172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3">
    <mergeCell ref="A1:A88"/>
    <mergeCell ref="B1:D1"/>
    <mergeCell ref="B23:D23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8" t="s">
        <v>1526</v>
      </c>
      <c r="C1" s="37"/>
      <c r="D1" s="37"/>
      <c r="E1" s="38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110" t="s">
        <v>4124</v>
      </c>
      <c r="C3" s="135" t="s">
        <v>160</v>
      </c>
      <c r="D3" s="112" t="s">
        <v>1513</v>
      </c>
      <c r="E3" s="11" t="str">
        <f>HYPERLINK("https://youtu.be/1n1akq4Vf-A","channel 1")</f>
        <v>channel 1</v>
      </c>
    </row>
    <row r="4">
      <c r="B4" s="110" t="s">
        <v>3585</v>
      </c>
      <c r="C4" s="135" t="s">
        <v>195</v>
      </c>
      <c r="D4" s="112" t="s">
        <v>2153</v>
      </c>
      <c r="E4" s="139" t="str">
        <f>HYPERLINK("https://youtu.be/NUYWdkiHsEE","channel 2")</f>
        <v>channel 2</v>
      </c>
    </row>
    <row r="5">
      <c r="B5" s="110" t="s">
        <v>3560</v>
      </c>
      <c r="C5" s="135" t="s">
        <v>18</v>
      </c>
      <c r="D5" s="112" t="s">
        <v>4124</v>
      </c>
      <c r="E5" s="11" t="str">
        <f>HYPERLINK("https://youtu.be/CzPL8rauWjI","channel 1")</f>
        <v>channel 1</v>
      </c>
    </row>
    <row r="6">
      <c r="B6" s="110" t="s">
        <v>3585</v>
      </c>
      <c r="C6" s="135" t="s">
        <v>38</v>
      </c>
      <c r="D6" s="112" t="s">
        <v>1513</v>
      </c>
      <c r="E6" s="139" t="str">
        <f>HYPERLINK("https://youtu.be/pMFsoD1aQuM","channel 2")</f>
        <v>channel 2</v>
      </c>
    </row>
    <row r="7">
      <c r="B7" s="110" t="s">
        <v>3560</v>
      </c>
      <c r="C7" s="135" t="s">
        <v>193</v>
      </c>
      <c r="D7" s="112" t="s">
        <v>2153</v>
      </c>
      <c r="E7" s="11" t="str">
        <f>HYPERLINK("https://youtu.be/ufRL1JK5US0","channel 1")</f>
        <v>channel 1</v>
      </c>
    </row>
    <row r="8">
      <c r="B8" s="110" t="s">
        <v>3585</v>
      </c>
      <c r="C8" s="135" t="s">
        <v>220</v>
      </c>
      <c r="D8" s="112" t="s">
        <v>4124</v>
      </c>
      <c r="E8" s="139" t="str">
        <f>HYPERLINK("https://youtu.be/Y-b6_wlkdfE","channel 2")</f>
        <v>channel 2</v>
      </c>
    </row>
    <row r="9">
      <c r="B9" s="110" t="s">
        <v>3560</v>
      </c>
      <c r="C9" s="135" t="s">
        <v>545</v>
      </c>
      <c r="D9" s="112" t="s">
        <v>1513</v>
      </c>
      <c r="E9" s="11" t="str">
        <f>HYPERLINK("https://youtu.be/4S_w_ffsQbA","channel 1")</f>
        <v>channel 1</v>
      </c>
    </row>
    <row r="10">
      <c r="B10" s="110" t="s">
        <v>2153</v>
      </c>
      <c r="C10" s="135" t="s">
        <v>158</v>
      </c>
      <c r="D10" s="112" t="s">
        <v>4124</v>
      </c>
      <c r="E10" s="139" t="str">
        <f>HYPERLINK("https://youtu.be/4yA15Vb8oOU","channel 2")</f>
        <v>channel 2</v>
      </c>
    </row>
    <row r="11">
      <c r="B11" s="110" t="s">
        <v>3560</v>
      </c>
      <c r="C11" s="135" t="s">
        <v>549</v>
      </c>
      <c r="D11" s="112" t="s">
        <v>3585</v>
      </c>
      <c r="E11" s="11" t="str">
        <f>HYPERLINK("https://youtu.be/UQv7liBml6Q","channel 1")</f>
        <v>channel 1</v>
      </c>
    </row>
    <row r="12">
      <c r="B12" s="110" t="s">
        <v>2153</v>
      </c>
      <c r="C12" s="135" t="s">
        <v>194</v>
      </c>
      <c r="D12" s="112" t="s">
        <v>1513</v>
      </c>
      <c r="E12" s="139" t="str">
        <f>HYPERLINK("https://youtu.be/Yo3eq_-T9M4","channel 2")</f>
        <v>channel 2</v>
      </c>
    </row>
    <row r="13">
      <c r="B13" s="110" t="s">
        <v>1513</v>
      </c>
      <c r="C13" s="135" t="s">
        <v>302</v>
      </c>
      <c r="D13" s="112" t="s">
        <v>4124</v>
      </c>
      <c r="E13" s="11" t="str">
        <f>HYPERLINK("https://youtu.be/TtxMQCesCyo","channel 1")</f>
        <v>channel 1</v>
      </c>
    </row>
    <row r="14">
      <c r="B14" s="110" t="s">
        <v>2153</v>
      </c>
      <c r="C14" s="135" t="s">
        <v>23</v>
      </c>
      <c r="D14" s="112" t="s">
        <v>3585</v>
      </c>
      <c r="E14" s="139" t="str">
        <f>HYPERLINK("https://youtu.be/g-wLkrnQjqU","channel 2")</f>
        <v>channel 2</v>
      </c>
    </row>
    <row r="15">
      <c r="B15" s="110" t="s">
        <v>4124</v>
      </c>
      <c r="C15" s="135" t="s">
        <v>908</v>
      </c>
      <c r="D15" s="112" t="s">
        <v>3560</v>
      </c>
      <c r="E15" s="11" t="str">
        <f>HYPERLINK("https://youtu.be/6VON4MwhVpQ","channel 1")</f>
        <v>channel 1</v>
      </c>
    </row>
    <row r="16">
      <c r="B16" s="110" t="s">
        <v>1513</v>
      </c>
      <c r="C16" s="135" t="s">
        <v>248</v>
      </c>
      <c r="D16" s="112" t="s">
        <v>3585</v>
      </c>
      <c r="E16" s="139" t="str">
        <f>HYPERLINK("https://youtu.be/O7FEcnh-jR0","channel 2")</f>
        <v>channel 2</v>
      </c>
    </row>
    <row r="17">
      <c r="B17" s="110" t="s">
        <v>2153</v>
      </c>
      <c r="C17" s="135" t="s">
        <v>161</v>
      </c>
      <c r="D17" s="112" t="s">
        <v>3560</v>
      </c>
      <c r="E17" s="11" t="str">
        <f>HYPERLINK("https://youtu.be/-Ep-ZQfCN9M","channel 1")</f>
        <v>channel 1</v>
      </c>
    </row>
    <row r="18">
      <c r="B18" s="110" t="s">
        <v>4124</v>
      </c>
      <c r="C18" s="135" t="s">
        <v>442</v>
      </c>
      <c r="D18" s="112" t="s">
        <v>3585</v>
      </c>
      <c r="E18" s="139" t="str">
        <f>HYPERLINK("https://youtu.be/PrkuNzmILE8","channel 2")</f>
        <v>channel 2</v>
      </c>
    </row>
    <row r="19">
      <c r="B19" s="110" t="s">
        <v>1513</v>
      </c>
      <c r="C19" s="135" t="s">
        <v>570</v>
      </c>
      <c r="D19" s="112" t="s">
        <v>3560</v>
      </c>
      <c r="E19" s="11" t="str">
        <f>HYPERLINK("https://youtu.be/-3AYOX-PTQc","channel 1")</f>
        <v>channel 1</v>
      </c>
    </row>
    <row r="20">
      <c r="B20" s="110" t="s">
        <v>4124</v>
      </c>
      <c r="C20" s="135" t="s">
        <v>209</v>
      </c>
      <c r="D20" s="112" t="s">
        <v>2153</v>
      </c>
      <c r="E20" s="139" t="str">
        <f>HYPERLINK("https://youtu.be/FpYoekq25RE","channel 2")</f>
        <v>channel 2</v>
      </c>
    </row>
    <row r="21">
      <c r="B21" s="110" t="s">
        <v>3585</v>
      </c>
      <c r="C21" s="135" t="s">
        <v>508</v>
      </c>
      <c r="D21" s="112" t="s">
        <v>3560</v>
      </c>
      <c r="E21" s="11" t="str">
        <f>HYPERLINK("https://youtu.be/kNcW3ssf3pA","channel 1")</f>
        <v>channel 1</v>
      </c>
    </row>
    <row r="22">
      <c r="B22" s="110" t="s">
        <v>1513</v>
      </c>
      <c r="C22" s="135" t="s">
        <v>158</v>
      </c>
      <c r="D22" s="112" t="s">
        <v>2153</v>
      </c>
      <c r="E22" s="139" t="str">
        <f>HYPERLINK("https://youtu.be/Y66BjmtQ458","channel 2")</f>
        <v>channel 2</v>
      </c>
    </row>
    <row r="23">
      <c r="B23" s="188" t="s">
        <v>1532</v>
      </c>
      <c r="C23" s="37"/>
      <c r="D23" s="37"/>
      <c r="E23" s="3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110" t="s">
        <v>4361</v>
      </c>
      <c r="C25" s="135" t="s">
        <v>344</v>
      </c>
      <c r="D25" s="112" t="s">
        <v>913</v>
      </c>
      <c r="E25" s="11" t="str">
        <f>HYPERLINK("https://youtu.be/-a6vRUlRH_Q","channel 1")</f>
        <v>channel 1</v>
      </c>
    </row>
    <row r="26">
      <c r="B26" s="110" t="s">
        <v>4362</v>
      </c>
      <c r="C26" s="135" t="s">
        <v>181</v>
      </c>
      <c r="D26" s="112" t="s">
        <v>1230</v>
      </c>
      <c r="E26" s="139" t="str">
        <f>HYPERLINK("https://youtu.be/WJj1rkUdn3o","channel 2")</f>
        <v>channel 2</v>
      </c>
    </row>
    <row r="27">
      <c r="B27" s="110" t="s">
        <v>4003</v>
      </c>
      <c r="C27" s="135" t="s">
        <v>38</v>
      </c>
      <c r="D27" s="112" t="s">
        <v>4361</v>
      </c>
      <c r="E27" s="11" t="str">
        <f>HYPERLINK("https://youtu.be/EnTBUy6Z5_Q","channel 1")</f>
        <v>channel 1</v>
      </c>
    </row>
    <row r="28">
      <c r="B28" s="110" t="s">
        <v>4362</v>
      </c>
      <c r="C28" s="135" t="s">
        <v>14</v>
      </c>
      <c r="D28" s="112" t="s">
        <v>913</v>
      </c>
      <c r="E28" s="139" t="str">
        <f>HYPERLINK("https://youtu.be/mQpzxaQ6KH0","channel 2")</f>
        <v>channel 2</v>
      </c>
    </row>
    <row r="29">
      <c r="B29" s="110" t="s">
        <v>4003</v>
      </c>
      <c r="C29" s="135" t="s">
        <v>41</v>
      </c>
      <c r="D29" s="112" t="s">
        <v>1230</v>
      </c>
      <c r="E29" s="11" t="str">
        <f>HYPERLINK("https://youtu.be/lBI-eXKIx9g","channel 1")</f>
        <v>channel 1</v>
      </c>
    </row>
    <row r="30">
      <c r="B30" s="110" t="s">
        <v>4362</v>
      </c>
      <c r="C30" s="135" t="s">
        <v>355</v>
      </c>
      <c r="D30" s="112" t="s">
        <v>4361</v>
      </c>
      <c r="E30" s="139" t="str">
        <f>HYPERLINK("https://youtu.be/07hC3IPP5zc","channel 2")</f>
        <v>channel 2</v>
      </c>
    </row>
    <row r="31">
      <c r="B31" s="110" t="s">
        <v>4003</v>
      </c>
      <c r="C31" s="135" t="s">
        <v>225</v>
      </c>
      <c r="D31" s="112" t="s">
        <v>913</v>
      </c>
      <c r="E31" s="11" t="str">
        <f>HYPERLINK("https://youtu.be/SRUWKpSHiAg","channel 1")</f>
        <v>channel 1</v>
      </c>
    </row>
    <row r="32">
      <c r="B32" s="110" t="s">
        <v>1230</v>
      </c>
      <c r="C32" s="135" t="s">
        <v>23</v>
      </c>
      <c r="D32" s="112" t="s">
        <v>4361</v>
      </c>
      <c r="E32" s="139" t="str">
        <f>HYPERLINK("https://youtu.be/gyMaUgstL2o","channel 2")</f>
        <v>channel 2</v>
      </c>
    </row>
    <row r="33">
      <c r="B33" s="110" t="s">
        <v>4003</v>
      </c>
      <c r="C33" s="135" t="s">
        <v>354</v>
      </c>
      <c r="D33" s="112" t="s">
        <v>4362</v>
      </c>
      <c r="E33" s="11" t="str">
        <f>HYPERLINK("https://youtu.be/Q2bdNfQoeS4","channel 1")</f>
        <v>channel 1</v>
      </c>
    </row>
    <row r="34">
      <c r="B34" s="110" t="s">
        <v>1230</v>
      </c>
      <c r="C34" s="135" t="s">
        <v>162</v>
      </c>
      <c r="D34" s="112" t="s">
        <v>913</v>
      </c>
      <c r="E34" s="139" t="str">
        <f>HYPERLINK("https://youtu.be/gjTf_FoZ_r4","channel 2")</f>
        <v>channel 2</v>
      </c>
    </row>
    <row r="35">
      <c r="B35" s="110" t="s">
        <v>913</v>
      </c>
      <c r="C35" s="135" t="s">
        <v>248</v>
      </c>
      <c r="D35" s="112" t="s">
        <v>4361</v>
      </c>
      <c r="E35" s="11" t="str">
        <f>HYPERLINK("https://youtu.be/xApnW5GwGJY","channel 1")</f>
        <v>channel 1</v>
      </c>
    </row>
    <row r="36">
      <c r="B36" s="110" t="s">
        <v>1230</v>
      </c>
      <c r="C36" s="135" t="s">
        <v>610</v>
      </c>
      <c r="D36" s="112" t="s">
        <v>4362</v>
      </c>
      <c r="E36" s="139" t="str">
        <f>HYPERLINK("https://youtu.be/BGb_FiwWBR4","channel 2")</f>
        <v>channel 2</v>
      </c>
    </row>
    <row r="37">
      <c r="B37" s="110" t="s">
        <v>4361</v>
      </c>
      <c r="C37" s="135" t="s">
        <v>20</v>
      </c>
      <c r="D37" s="112" t="s">
        <v>4003</v>
      </c>
      <c r="E37" s="11" t="str">
        <f>HYPERLINK("https://youtu.be/LgztjjYoXyM","channel 1")</f>
        <v>channel 1</v>
      </c>
    </row>
    <row r="38">
      <c r="B38" s="110" t="s">
        <v>913</v>
      </c>
      <c r="C38" s="135" t="s">
        <v>257</v>
      </c>
      <c r="D38" s="112" t="s">
        <v>4362</v>
      </c>
      <c r="E38" s="139" t="str">
        <f>HYPERLINK("https://youtu.be/wxK6HWP6oY4","channel 2")</f>
        <v>channel 2</v>
      </c>
    </row>
    <row r="39">
      <c r="B39" s="110" t="s">
        <v>1230</v>
      </c>
      <c r="C39" s="135" t="s">
        <v>507</v>
      </c>
      <c r="D39" s="112" t="s">
        <v>4003</v>
      </c>
      <c r="E39" s="11" t="str">
        <f>HYPERLINK("https://youtu.be/Zi99ZGguRrY","channel 1")</f>
        <v>channel 1</v>
      </c>
    </row>
    <row r="40">
      <c r="B40" s="110" t="s">
        <v>4361</v>
      </c>
      <c r="C40" s="135" t="s">
        <v>163</v>
      </c>
      <c r="D40" s="112" t="s">
        <v>4362</v>
      </c>
      <c r="E40" s="139" t="str">
        <f>HYPERLINK("https://youtu.be/YsPRTzYtwBk","channel 2")</f>
        <v>channel 2</v>
      </c>
    </row>
    <row r="41">
      <c r="B41" s="110" t="s">
        <v>913</v>
      </c>
      <c r="C41" s="135" t="s">
        <v>166</v>
      </c>
      <c r="D41" s="112" t="s">
        <v>4003</v>
      </c>
      <c r="E41" s="11" t="str">
        <f>HYPERLINK("https://youtu.be/3NUwoUzD_sk","channel 1")</f>
        <v>channel 1</v>
      </c>
    </row>
    <row r="42">
      <c r="B42" s="110" t="s">
        <v>4361</v>
      </c>
      <c r="C42" s="135" t="s">
        <v>16</v>
      </c>
      <c r="D42" s="112" t="s">
        <v>1230</v>
      </c>
      <c r="E42" s="139" t="str">
        <f>HYPERLINK("https://youtu.be/IhDjcrd2bLM","channel 2")</f>
        <v>channel 2</v>
      </c>
    </row>
    <row r="43">
      <c r="B43" s="110" t="s">
        <v>4362</v>
      </c>
      <c r="C43" s="135" t="s">
        <v>18</v>
      </c>
      <c r="D43" s="112" t="s">
        <v>4003</v>
      </c>
      <c r="E43" s="11" t="str">
        <f>HYPERLINK("https://youtu.be/p4lEjcl_5eQ","channel 1")</f>
        <v>channel 1</v>
      </c>
    </row>
    <row r="44">
      <c r="B44" s="110" t="s">
        <v>913</v>
      </c>
      <c r="C44" s="135" t="s">
        <v>21</v>
      </c>
      <c r="D44" s="112" t="s">
        <v>1230</v>
      </c>
      <c r="E44" s="139" t="str">
        <f>HYPERLINK("https://youtu.be/AIMVjkpmLWA","channel 2")</f>
        <v>channel 2</v>
      </c>
    </row>
    <row r="45">
      <c r="B45" s="188" t="s">
        <v>2653</v>
      </c>
      <c r="C45" s="37"/>
      <c r="D45" s="37"/>
      <c r="E45" s="38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110" t="s">
        <v>4262</v>
      </c>
      <c r="C47" s="135" t="s">
        <v>210</v>
      </c>
      <c r="D47" s="112" t="s">
        <v>4165</v>
      </c>
      <c r="E47" s="11" t="str">
        <f>HYPERLINK("https://youtu.be/vwoO2ZIpmcM","channel 1")</f>
        <v>channel 1</v>
      </c>
    </row>
    <row r="48">
      <c r="B48" s="110" t="s">
        <v>3967</v>
      </c>
      <c r="C48" s="135" t="s">
        <v>7</v>
      </c>
      <c r="D48" s="112" t="s">
        <v>3968</v>
      </c>
      <c r="E48" s="139" t="str">
        <f>HYPERLINK("https://youtu.be/1AuB8upFy-0","channel 2")</f>
        <v>channel 2</v>
      </c>
    </row>
    <row r="49">
      <c r="B49" s="110" t="s">
        <v>4323</v>
      </c>
      <c r="C49" s="135" t="s">
        <v>1226</v>
      </c>
      <c r="D49" s="112" t="s">
        <v>4262</v>
      </c>
      <c r="E49" s="11" t="str">
        <f>HYPERLINK("https://youtu.be/hvJ9oaht77g","channel 1")</f>
        <v>channel 1</v>
      </c>
    </row>
    <row r="50">
      <c r="B50" s="110" t="s">
        <v>3967</v>
      </c>
      <c r="C50" s="135" t="s">
        <v>23</v>
      </c>
      <c r="D50" s="112" t="s">
        <v>4165</v>
      </c>
      <c r="E50" s="139" t="str">
        <f>HYPERLINK("https://youtu.be/90_NhXGDrNA","channel 2")</f>
        <v>channel 2</v>
      </c>
    </row>
    <row r="51">
      <c r="B51" s="110" t="s">
        <v>4323</v>
      </c>
      <c r="C51" s="135" t="s">
        <v>194</v>
      </c>
      <c r="D51" s="112" t="s">
        <v>3968</v>
      </c>
      <c r="E51" s="125" t="s">
        <v>9</v>
      </c>
    </row>
    <row r="52">
      <c r="B52" s="110" t="s">
        <v>3967</v>
      </c>
      <c r="C52" s="135" t="s">
        <v>16</v>
      </c>
      <c r="D52" s="112" t="s">
        <v>4262</v>
      </c>
      <c r="E52" s="139" t="str">
        <f>HYPERLINK("https://youtu.be/Z2dfAqrEens","channel 2")</f>
        <v>channel 2</v>
      </c>
    </row>
    <row r="53">
      <c r="B53" s="110" t="s">
        <v>4323</v>
      </c>
      <c r="C53" s="135" t="s">
        <v>209</v>
      </c>
      <c r="D53" s="112" t="s">
        <v>4165</v>
      </c>
      <c r="E53" s="11" t="str">
        <f>HYPERLINK("https://youtu.be/Y3PoOvWG6Xw","channel 1")</f>
        <v>channel 1</v>
      </c>
    </row>
    <row r="54">
      <c r="B54" s="110" t="s">
        <v>3968</v>
      </c>
      <c r="C54" s="135" t="s">
        <v>16</v>
      </c>
      <c r="D54" s="112" t="s">
        <v>4262</v>
      </c>
      <c r="E54" s="139" t="str">
        <f>HYPERLINK("https://youtu.be/1Go9SLk51Dg","channel 2")</f>
        <v>channel 2</v>
      </c>
    </row>
    <row r="55">
      <c r="B55" s="110" t="s">
        <v>4323</v>
      </c>
      <c r="C55" s="135" t="s">
        <v>164</v>
      </c>
      <c r="D55" s="112" t="s">
        <v>3967</v>
      </c>
      <c r="E55" s="11" t="str">
        <f>HYPERLINK("https://youtu.be/gLYcInaRwEk","channel 1")</f>
        <v>channel 1</v>
      </c>
    </row>
    <row r="56">
      <c r="B56" s="110" t="s">
        <v>3968</v>
      </c>
      <c r="C56" s="135" t="s">
        <v>362</v>
      </c>
      <c r="D56" s="112" t="s">
        <v>4165</v>
      </c>
      <c r="E56" s="139" t="str">
        <f>HYPERLINK("https://youtu.be/hxmJ4U31Ajg","channel 2")</f>
        <v>channel 2</v>
      </c>
    </row>
    <row r="57">
      <c r="B57" s="110" t="s">
        <v>4165</v>
      </c>
      <c r="C57" s="135" t="s">
        <v>7</v>
      </c>
      <c r="D57" s="112" t="s">
        <v>4262</v>
      </c>
      <c r="E57" s="11" t="str">
        <f>HYPERLINK("https://youtu.be/SqjEs5SU5F4","channel 1")</f>
        <v>channel 1</v>
      </c>
    </row>
    <row r="58">
      <c r="B58" s="110" t="s">
        <v>3968</v>
      </c>
      <c r="C58" s="135" t="s">
        <v>17</v>
      </c>
      <c r="D58" s="112" t="s">
        <v>3967</v>
      </c>
      <c r="E58" s="139" t="str">
        <f>HYPERLINK("https://youtu.be/6Jlvy4a_hdI","channel 2")</f>
        <v>channel 2</v>
      </c>
    </row>
    <row r="59">
      <c r="B59" s="110" t="s">
        <v>4262</v>
      </c>
      <c r="C59" s="135" t="s">
        <v>41</v>
      </c>
      <c r="D59" s="112" t="s">
        <v>4323</v>
      </c>
      <c r="E59" s="11" t="str">
        <f>HYPERLINK("https://youtu.be/c6WF-wF-8HQ","channel 1")</f>
        <v>channel 1</v>
      </c>
    </row>
    <row r="60">
      <c r="B60" s="110" t="s">
        <v>4165</v>
      </c>
      <c r="C60" s="135" t="s">
        <v>549</v>
      </c>
      <c r="D60" s="112" t="s">
        <v>3967</v>
      </c>
      <c r="E60" s="139" t="str">
        <f>HYPERLINK("https://youtu.be/kb201UOya3I","channel 2")</f>
        <v>channel 2</v>
      </c>
    </row>
    <row r="61">
      <c r="B61" s="110" t="s">
        <v>3968</v>
      </c>
      <c r="C61" s="135" t="s">
        <v>27</v>
      </c>
      <c r="D61" s="112" t="s">
        <v>4323</v>
      </c>
      <c r="E61" s="11" t="str">
        <f>HYPERLINK("https://youtu.be/TCI54nCfcZ4","channel 1")</f>
        <v>channel 1</v>
      </c>
    </row>
    <row r="62">
      <c r="B62" s="110" t="s">
        <v>4262</v>
      </c>
      <c r="C62" s="135" t="s">
        <v>165</v>
      </c>
      <c r="D62" s="112" t="s">
        <v>3967</v>
      </c>
      <c r="E62" s="139" t="str">
        <f>HYPERLINK("https://youtu.be/vOjFEhk-7N4","channel 2")</f>
        <v>channel 2</v>
      </c>
    </row>
    <row r="63">
      <c r="B63" s="110" t="s">
        <v>4165</v>
      </c>
      <c r="C63" s="135" t="s">
        <v>281</v>
      </c>
      <c r="D63" s="112" t="s">
        <v>4323</v>
      </c>
      <c r="E63" s="11" t="str">
        <f>HYPERLINK("https://youtu.be/VbeE4UbAtk4","channel 1")</f>
        <v>channel 1</v>
      </c>
    </row>
    <row r="64">
      <c r="B64" s="110" t="s">
        <v>4262</v>
      </c>
      <c r="C64" s="135" t="s">
        <v>289</v>
      </c>
      <c r="D64" s="112" t="s">
        <v>3968</v>
      </c>
      <c r="E64" s="139" t="str">
        <f>HYPERLINK("https://youtu.be/sQhqulAuScI","channel 2")</f>
        <v>channel 2</v>
      </c>
    </row>
    <row r="65">
      <c r="B65" s="110" t="s">
        <v>3967</v>
      </c>
      <c r="C65" s="135" t="s">
        <v>291</v>
      </c>
      <c r="D65" s="112" t="s">
        <v>4323</v>
      </c>
      <c r="E65" s="11" t="str">
        <f>HYPERLINK("https://youtu.be/V1enpbYWYh4","channel 1")</f>
        <v>channel 1</v>
      </c>
    </row>
    <row r="66">
      <c r="B66" s="110" t="s">
        <v>4165</v>
      </c>
      <c r="C66" s="135" t="s">
        <v>19</v>
      </c>
      <c r="D66" s="112" t="s">
        <v>3968</v>
      </c>
      <c r="E66" s="139" t="str">
        <f>HYPERLINK("https://youtu.be/vopy8yEmveI","channel 2")</f>
        <v>channel 2</v>
      </c>
    </row>
    <row r="67">
      <c r="B67" s="188" t="s">
        <v>4231</v>
      </c>
      <c r="C67" s="37"/>
      <c r="D67" s="37"/>
      <c r="E67" s="38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110" t="s">
        <v>4363</v>
      </c>
      <c r="C69" s="135" t="s">
        <v>42</v>
      </c>
      <c r="D69" s="112" t="s">
        <v>3649</v>
      </c>
      <c r="E69" s="11" t="str">
        <f>HYPERLINK("https://youtu.be/6bTITrIeXRk","channel 1")</f>
        <v>channel 1</v>
      </c>
    </row>
    <row r="70">
      <c r="B70" s="110" t="s">
        <v>3720</v>
      </c>
      <c r="C70" s="135" t="s">
        <v>229</v>
      </c>
      <c r="D70" s="112" t="s">
        <v>3606</v>
      </c>
      <c r="E70" s="139" t="str">
        <f>HYPERLINK("https://youtu.be/ZI0L0dlZtoI","channel 2")</f>
        <v>channel 2</v>
      </c>
    </row>
    <row r="71">
      <c r="B71" s="110" t="s">
        <v>4364</v>
      </c>
      <c r="C71" s="135" t="s">
        <v>16</v>
      </c>
      <c r="D71" s="112" t="s">
        <v>4363</v>
      </c>
      <c r="E71" s="11" t="str">
        <f>HYPERLINK("https://youtu.be/TV6So5av8Wg","channel 1")</f>
        <v>channel 1</v>
      </c>
    </row>
    <row r="72">
      <c r="B72" s="110" t="s">
        <v>3720</v>
      </c>
      <c r="C72" s="135" t="s">
        <v>244</v>
      </c>
      <c r="D72" s="112" t="s">
        <v>3649</v>
      </c>
      <c r="E72" s="139" t="str">
        <f>HYPERLINK("https://youtu.be/PeEYv8c4wBs","channel 2")</f>
        <v>channel 2</v>
      </c>
    </row>
    <row r="73">
      <c r="B73" s="110" t="s">
        <v>4364</v>
      </c>
      <c r="C73" s="135" t="s">
        <v>176</v>
      </c>
      <c r="D73" s="112" t="s">
        <v>3606</v>
      </c>
      <c r="E73" s="11" t="str">
        <f>HYPERLINK("https://youtu.be/yg6aqfooOPo","channel 1")</f>
        <v>channel 1</v>
      </c>
    </row>
    <row r="74">
      <c r="B74" s="110" t="s">
        <v>3720</v>
      </c>
      <c r="C74" s="135" t="s">
        <v>23</v>
      </c>
      <c r="D74" s="112" t="s">
        <v>4363</v>
      </c>
      <c r="E74" s="139" t="str">
        <f>HYPERLINK("https://youtu.be/PJIEqiBejK8","channel 2")</f>
        <v>channel 2</v>
      </c>
    </row>
    <row r="75">
      <c r="B75" s="110" t="s">
        <v>4364</v>
      </c>
      <c r="C75" s="135" t="s">
        <v>155</v>
      </c>
      <c r="D75" s="112" t="s">
        <v>3649</v>
      </c>
      <c r="E75" s="11" t="str">
        <f>HYPERLINK("https://youtu.be/HBUjzp7SrQM","channel 1")</f>
        <v>channel 1</v>
      </c>
    </row>
    <row r="76">
      <c r="B76" s="110" t="s">
        <v>3606</v>
      </c>
      <c r="C76" s="135" t="s">
        <v>210</v>
      </c>
      <c r="D76" s="112" t="s">
        <v>4363</v>
      </c>
      <c r="E76" s="139" t="str">
        <f>HYPERLINK("https://youtu.be/aXX3-7ae_DQ","channel 2")</f>
        <v>channel 2</v>
      </c>
    </row>
    <row r="77">
      <c r="B77" s="110" t="s">
        <v>4364</v>
      </c>
      <c r="C77" s="135" t="s">
        <v>917</v>
      </c>
      <c r="D77" s="112" t="s">
        <v>3720</v>
      </c>
      <c r="E77" s="11" t="str">
        <f>HYPERLINK("https://youtu.be/p68pfRpqW0w","channel 1")</f>
        <v>channel 1</v>
      </c>
    </row>
    <row r="78">
      <c r="B78" s="110" t="s">
        <v>3606</v>
      </c>
      <c r="C78" s="135" t="s">
        <v>545</v>
      </c>
      <c r="D78" s="112" t="s">
        <v>3649</v>
      </c>
      <c r="E78" s="139" t="str">
        <f>HYPERLINK("https://youtu.be/4MvhqJBk4_A","channel 2")</f>
        <v>channel 2</v>
      </c>
    </row>
    <row r="79">
      <c r="B79" s="110" t="s">
        <v>3649</v>
      </c>
      <c r="C79" s="135" t="s">
        <v>193</v>
      </c>
      <c r="D79" s="112" t="s">
        <v>4363</v>
      </c>
      <c r="E79" s="11" t="str">
        <f>HYPERLINK("https://youtu.be/B20nJzvokiQ","channel 1")</f>
        <v>channel 1</v>
      </c>
    </row>
    <row r="80">
      <c r="B80" s="110" t="s">
        <v>3606</v>
      </c>
      <c r="C80" s="135" t="s">
        <v>16</v>
      </c>
      <c r="D80" s="112" t="s">
        <v>3720</v>
      </c>
      <c r="E80" s="139" t="str">
        <f>HYPERLINK("https://youtu.be/e4DIuul9UQw","channel 2")</f>
        <v>channel 2</v>
      </c>
    </row>
    <row r="81">
      <c r="B81" s="110" t="s">
        <v>4363</v>
      </c>
      <c r="C81" s="135" t="s">
        <v>196</v>
      </c>
      <c r="D81" s="112" t="s">
        <v>4364</v>
      </c>
      <c r="E81" s="11" t="str">
        <f>HYPERLINK("https://youtu.be/1DB-AS-dDZw","channel 1")</f>
        <v>channel 1</v>
      </c>
    </row>
    <row r="82">
      <c r="B82" s="110" t="s">
        <v>3649</v>
      </c>
      <c r="C82" s="135" t="s">
        <v>22</v>
      </c>
      <c r="D82" s="112" t="s">
        <v>3720</v>
      </c>
      <c r="E82" s="139" t="str">
        <f>HYPERLINK("https://youtu.be/YKlxOFv9Ubw","channel 2")</f>
        <v>channel 2</v>
      </c>
    </row>
    <row r="83">
      <c r="B83" s="110" t="s">
        <v>3606</v>
      </c>
      <c r="C83" s="135" t="s">
        <v>250</v>
      </c>
      <c r="D83" s="112" t="s">
        <v>4364</v>
      </c>
      <c r="E83" s="11" t="str">
        <f>HYPERLINK("https://youtu.be/77Vv6-XG2aM","channel 1")</f>
        <v>channel 1</v>
      </c>
    </row>
    <row r="84">
      <c r="B84" s="110" t="s">
        <v>4363</v>
      </c>
      <c r="C84" s="135" t="s">
        <v>357</v>
      </c>
      <c r="D84" s="112" t="s">
        <v>3720</v>
      </c>
      <c r="E84" s="139" t="str">
        <f>HYPERLINK("https://youtu.be/ynRYchAoKwk","channel 2")</f>
        <v>channel 2</v>
      </c>
    </row>
    <row r="85">
      <c r="B85" s="110" t="s">
        <v>3649</v>
      </c>
      <c r="C85" s="135" t="s">
        <v>393</v>
      </c>
      <c r="D85" s="112" t="s">
        <v>4364</v>
      </c>
      <c r="E85" s="11" t="str">
        <f>HYPERLINK("https://youtu.be/KGJpz755P4E","channel 1")</f>
        <v>channel 1</v>
      </c>
    </row>
    <row r="86">
      <c r="B86" s="110" t="s">
        <v>4363</v>
      </c>
      <c r="C86" s="135" t="s">
        <v>418</v>
      </c>
      <c r="D86" s="112" t="s">
        <v>3606</v>
      </c>
      <c r="E86" s="139" t="str">
        <f>HYPERLINK("https://youtu.be/Kh3hZaZkL6Y","channel 2")</f>
        <v>channel 2</v>
      </c>
    </row>
    <row r="87">
      <c r="B87" s="110" t="s">
        <v>3720</v>
      </c>
      <c r="C87" s="135" t="s">
        <v>311</v>
      </c>
      <c r="D87" s="112" t="s">
        <v>4364</v>
      </c>
      <c r="E87" s="11" t="str">
        <f>HYPERLINK("https://youtu.be/LQGwVv7sdEU","channel 1")</f>
        <v>channel 1</v>
      </c>
    </row>
    <row r="88">
      <c r="B88" s="110" t="s">
        <v>3649</v>
      </c>
      <c r="C88" s="135" t="s">
        <v>14</v>
      </c>
      <c r="D88" s="112" t="s">
        <v>3606</v>
      </c>
      <c r="E88" s="139" t="str">
        <f>HYPERLINK("https://youtu.be/kjaUcejKUhQ","channel 2")</f>
        <v>channel 2</v>
      </c>
    </row>
    <row r="89">
      <c r="B89" s="171"/>
      <c r="C89" s="171"/>
      <c r="D89" s="171"/>
      <c r="E89" s="172"/>
    </row>
    <row r="90">
      <c r="B90" s="171"/>
      <c r="C90" s="171"/>
      <c r="D90" s="171"/>
      <c r="E90" s="172"/>
    </row>
    <row r="91">
      <c r="B91" s="171"/>
      <c r="C91" s="171"/>
      <c r="D91" s="171"/>
      <c r="E91" s="172"/>
    </row>
    <row r="92">
      <c r="B92" s="171"/>
      <c r="C92" s="171"/>
      <c r="D92" s="171"/>
      <c r="E92" s="172"/>
    </row>
    <row r="93">
      <c r="B93" s="171"/>
      <c r="C93" s="171"/>
      <c r="D93" s="171"/>
      <c r="E93" s="172"/>
    </row>
    <row r="94">
      <c r="B94" s="171"/>
      <c r="C94" s="171"/>
      <c r="D94" s="171"/>
      <c r="E94" s="172"/>
    </row>
    <row r="95">
      <c r="B95" s="171"/>
      <c r="C95" s="171"/>
      <c r="D95" s="171"/>
      <c r="E95" s="172"/>
    </row>
    <row r="96">
      <c r="B96" s="171"/>
      <c r="C96" s="171"/>
      <c r="D96" s="171"/>
      <c r="E96" s="172"/>
    </row>
    <row r="97">
      <c r="B97" s="171"/>
      <c r="C97" s="171"/>
      <c r="D97" s="171"/>
      <c r="E97" s="172"/>
    </row>
    <row r="98">
      <c r="B98" s="171"/>
      <c r="C98" s="171"/>
      <c r="D98" s="171"/>
      <c r="E98" s="172"/>
    </row>
    <row r="99">
      <c r="B99" s="171"/>
      <c r="C99" s="171"/>
      <c r="D99" s="171"/>
      <c r="E99" s="172"/>
    </row>
    <row r="100">
      <c r="B100" s="171"/>
      <c r="C100" s="171"/>
      <c r="D100" s="171"/>
      <c r="E100" s="172"/>
    </row>
    <row r="101">
      <c r="B101" s="171"/>
      <c r="C101" s="171"/>
      <c r="D101" s="171"/>
      <c r="E101" s="172"/>
    </row>
    <row r="102">
      <c r="B102" s="171"/>
      <c r="C102" s="171"/>
      <c r="D102" s="171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  <row r="949">
      <c r="B949" s="42"/>
      <c r="C949" s="42"/>
      <c r="D949" s="42"/>
    </row>
    <row r="950">
      <c r="B950" s="42"/>
      <c r="C950" s="42"/>
      <c r="D950" s="42"/>
    </row>
    <row r="951">
      <c r="B951" s="42"/>
      <c r="C951" s="42"/>
      <c r="D951" s="42"/>
    </row>
    <row r="952">
      <c r="B952" s="42"/>
      <c r="C952" s="42"/>
      <c r="D952" s="42"/>
    </row>
    <row r="953">
      <c r="B953" s="42"/>
      <c r="C953" s="42"/>
      <c r="D953" s="42"/>
    </row>
    <row r="954">
      <c r="B954" s="42"/>
      <c r="C954" s="42"/>
      <c r="D954" s="42"/>
    </row>
    <row r="955">
      <c r="B955" s="42"/>
      <c r="C955" s="42"/>
      <c r="D955" s="42"/>
    </row>
    <row r="956">
      <c r="B956" s="42"/>
      <c r="C956" s="42"/>
      <c r="D956" s="42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1526</v>
      </c>
      <c r="C1" s="37"/>
      <c r="D1" s="38"/>
      <c r="E1" s="183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4365</v>
      </c>
      <c r="C3" s="179" t="s">
        <v>218</v>
      </c>
      <c r="D3" s="180" t="s">
        <v>4366</v>
      </c>
      <c r="E3" s="11" t="str">
        <f>HYPERLINK("https://youtu.be/EFDtlCxc0PM","channel 1")</f>
        <v>channel 1</v>
      </c>
    </row>
    <row r="4">
      <c r="B4" s="110" t="s">
        <v>3228</v>
      </c>
      <c r="C4" s="135" t="s">
        <v>198</v>
      </c>
      <c r="D4" s="112" t="s">
        <v>4146</v>
      </c>
      <c r="E4" s="139" t="str">
        <f>HYPERLINK("https://youtu.be/dm7MhEh3zsw","channel 2")</f>
        <v>channel 2</v>
      </c>
    </row>
    <row r="5">
      <c r="B5" s="110" t="s">
        <v>3437</v>
      </c>
      <c r="C5" s="135" t="s">
        <v>251</v>
      </c>
      <c r="D5" s="112" t="s">
        <v>4365</v>
      </c>
      <c r="E5" s="11" t="str">
        <f>HYPERLINK("https://youtu.be/cqAPbP45MA4","channel 1")</f>
        <v>channel 1</v>
      </c>
    </row>
    <row r="6">
      <c r="B6" s="110" t="s">
        <v>3228</v>
      </c>
      <c r="C6" s="135" t="s">
        <v>302</v>
      </c>
      <c r="D6" s="112" t="s">
        <v>4366</v>
      </c>
      <c r="E6" s="139" t="str">
        <f>HYPERLINK("https://youtu.be/KZLI3iXZ4UY","channel 2")</f>
        <v>channel 2</v>
      </c>
    </row>
    <row r="7">
      <c r="B7" s="110" t="s">
        <v>3437</v>
      </c>
      <c r="C7" s="135" t="s">
        <v>41</v>
      </c>
      <c r="D7" s="112" t="s">
        <v>4146</v>
      </c>
      <c r="E7" s="11" t="str">
        <f>HYPERLINK("https://youtu.be/M52qlISEMRc","channel 1")</f>
        <v>channel 1</v>
      </c>
    </row>
    <row r="8">
      <c r="B8" s="110" t="s">
        <v>3228</v>
      </c>
      <c r="C8" s="135" t="s">
        <v>301</v>
      </c>
      <c r="D8" s="112" t="s">
        <v>4365</v>
      </c>
      <c r="E8" s="139" t="str">
        <f>HYPERLINK("https://youtu.be/F5Qx-1iZCtw","channel 2")</f>
        <v>channel 2</v>
      </c>
    </row>
    <row r="9">
      <c r="B9" s="110" t="s">
        <v>3437</v>
      </c>
      <c r="C9" s="135" t="s">
        <v>41</v>
      </c>
      <c r="D9" s="112" t="s">
        <v>4366</v>
      </c>
      <c r="E9" s="11" t="str">
        <f>HYPERLINK("https://youtu.be/s6FgR4GTyr0","channel 1")</f>
        <v>channel 1</v>
      </c>
    </row>
    <row r="10">
      <c r="B10" s="110" t="s">
        <v>4146</v>
      </c>
      <c r="C10" s="135" t="s">
        <v>23</v>
      </c>
      <c r="D10" s="112" t="s">
        <v>4365</v>
      </c>
      <c r="E10" s="139" t="str">
        <f>HYPERLINK("https://youtu.be/NWzpitwDe0I","channel 2")</f>
        <v>channel 2</v>
      </c>
    </row>
    <row r="11">
      <c r="B11" s="110" t="s">
        <v>3437</v>
      </c>
      <c r="C11" s="135" t="s">
        <v>426</v>
      </c>
      <c r="D11" s="112" t="s">
        <v>3228</v>
      </c>
      <c r="E11" s="11" t="str">
        <f>HYPERLINK("https://youtu.be/5b8jHvf_-Mo","channel 1")</f>
        <v>channel 1</v>
      </c>
    </row>
    <row r="12">
      <c r="B12" s="110" t="s">
        <v>4146</v>
      </c>
      <c r="C12" s="135" t="s">
        <v>24</v>
      </c>
      <c r="D12" s="112" t="s">
        <v>4366</v>
      </c>
      <c r="E12" s="139" t="str">
        <f>HYPERLINK("https://youtu.be/ttnSxrc_Qeo","channel 2")</f>
        <v>channel 2</v>
      </c>
    </row>
    <row r="13">
      <c r="B13" s="110" t="s">
        <v>4366</v>
      </c>
      <c r="C13" s="135" t="s">
        <v>17</v>
      </c>
      <c r="D13" s="112" t="s">
        <v>4365</v>
      </c>
      <c r="E13" s="11" t="str">
        <f>HYPERLINK("https://youtu.be/TuGczKyPOhs","channel 1")</f>
        <v>channel 1</v>
      </c>
    </row>
    <row r="14">
      <c r="B14" s="110" t="s">
        <v>4146</v>
      </c>
      <c r="C14" s="135" t="s">
        <v>545</v>
      </c>
      <c r="D14" s="112" t="s">
        <v>3228</v>
      </c>
      <c r="E14" s="139" t="str">
        <f>HYPERLINK("https://youtu.be/OuNoLbRcSK4","channel 2")</f>
        <v>channel 2</v>
      </c>
    </row>
    <row r="15">
      <c r="B15" s="110" t="s">
        <v>4365</v>
      </c>
      <c r="C15" s="135" t="s">
        <v>155</v>
      </c>
      <c r="D15" s="112" t="s">
        <v>3437</v>
      </c>
      <c r="E15" s="11" t="str">
        <f>HYPERLINK("https://youtu.be/xxuWf4sFnxQ","channel 1")</f>
        <v>channel 1</v>
      </c>
    </row>
    <row r="16">
      <c r="B16" s="110" t="s">
        <v>4366</v>
      </c>
      <c r="C16" s="135" t="s">
        <v>324</v>
      </c>
      <c r="D16" s="112" t="s">
        <v>3228</v>
      </c>
      <c r="E16" s="139" t="str">
        <f>HYPERLINK("https://youtu.be/LhTgxmyAoEo","channel 2")</f>
        <v>channel 2</v>
      </c>
    </row>
    <row r="17">
      <c r="B17" s="110" t="s">
        <v>4146</v>
      </c>
      <c r="C17" s="135" t="s">
        <v>440</v>
      </c>
      <c r="D17" s="112" t="s">
        <v>3437</v>
      </c>
      <c r="E17" s="11" t="str">
        <f>HYPERLINK("https://youtu.be/Vnn8oXDELtU","channel 1")</f>
        <v>channel 1</v>
      </c>
    </row>
    <row r="18">
      <c r="B18" s="110" t="s">
        <v>4365</v>
      </c>
      <c r="C18" s="135" t="s">
        <v>23</v>
      </c>
      <c r="D18" s="112" t="s">
        <v>3228</v>
      </c>
      <c r="E18" s="139" t="str">
        <f>HYPERLINK("https://youtu.be/q88OTVXt2fg","channel 2")</f>
        <v>channel 2</v>
      </c>
    </row>
    <row r="19">
      <c r="B19" s="110" t="s">
        <v>4366</v>
      </c>
      <c r="C19" s="135" t="s">
        <v>244</v>
      </c>
      <c r="D19" s="112" t="s">
        <v>3437</v>
      </c>
      <c r="E19" s="11" t="str">
        <f>HYPERLINK("https://youtu.be/af2W_Aodm-0","channel 1")</f>
        <v>channel 1</v>
      </c>
    </row>
    <row r="20">
      <c r="B20" s="110" t="s">
        <v>4365</v>
      </c>
      <c r="C20" s="135" t="s">
        <v>14</v>
      </c>
      <c r="D20" s="112" t="s">
        <v>4146</v>
      </c>
      <c r="E20" s="139" t="str">
        <f>HYPERLINK("https://youtu.be/G2QFBgBALm0","channel 2")</f>
        <v>channel 2</v>
      </c>
    </row>
    <row r="21">
      <c r="B21" s="110" t="s">
        <v>3228</v>
      </c>
      <c r="C21" s="135" t="s">
        <v>14</v>
      </c>
      <c r="D21" s="112" t="s">
        <v>3437</v>
      </c>
      <c r="E21" s="11" t="str">
        <f>HYPERLINK("https://youtu.be/yHmZ6iUBYkU","channel 1")</f>
        <v>channel 1</v>
      </c>
    </row>
    <row r="22">
      <c r="B22" s="110" t="s">
        <v>4366</v>
      </c>
      <c r="C22" s="135" t="s">
        <v>7</v>
      </c>
      <c r="D22" s="112" t="s">
        <v>4146</v>
      </c>
      <c r="E22" s="139" t="str">
        <f>HYPERLINK("https://youtu.be/z5oHvxcqdWA","channel 2")</f>
        <v>channel 2</v>
      </c>
    </row>
    <row r="23">
      <c r="B23" s="173" t="s">
        <v>3526</v>
      </c>
      <c r="C23" s="37"/>
      <c r="D23" s="38"/>
      <c r="E23" s="11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61" t="s">
        <v>3766</v>
      </c>
      <c r="C25" s="179" t="s">
        <v>193</v>
      </c>
      <c r="D25" s="180" t="s">
        <v>4367</v>
      </c>
      <c r="E25" s="125" t="s">
        <v>9</v>
      </c>
    </row>
    <row r="26">
      <c r="B26" s="110" t="s">
        <v>1906</v>
      </c>
      <c r="C26" s="135" t="s">
        <v>23</v>
      </c>
      <c r="D26" s="112" t="s">
        <v>2418</v>
      </c>
      <c r="E26" s="139" t="str">
        <f>HYPERLINK("https://youtu.be/T-sNJP6GHhw","channel 2")</f>
        <v>channel 2</v>
      </c>
    </row>
    <row r="27">
      <c r="B27" s="110" t="s">
        <v>3982</v>
      </c>
      <c r="C27" s="135" t="s">
        <v>210</v>
      </c>
      <c r="D27" s="112" t="s">
        <v>3766</v>
      </c>
      <c r="E27" s="11" t="str">
        <f>HYPERLINK("https://youtu.be/-lUwXYCml_k","channel 1")</f>
        <v>channel 1</v>
      </c>
    </row>
    <row r="28">
      <c r="B28" s="110" t="s">
        <v>1906</v>
      </c>
      <c r="C28" s="135" t="s">
        <v>163</v>
      </c>
      <c r="D28" s="112" t="s">
        <v>4367</v>
      </c>
      <c r="E28" s="139" t="str">
        <f>HYPERLINK("https://youtu.be/SGN8kGzZloU","channel 2")</f>
        <v>channel 2</v>
      </c>
    </row>
    <row r="29">
      <c r="B29" s="110" t="s">
        <v>3982</v>
      </c>
      <c r="C29" s="135" t="s">
        <v>43</v>
      </c>
      <c r="D29" s="112" t="s">
        <v>2418</v>
      </c>
      <c r="E29" s="11" t="str">
        <f>HYPERLINK("https://youtu.be/WHqvXGOXPr4","channel 1")</f>
        <v>channel 1</v>
      </c>
    </row>
    <row r="30">
      <c r="B30" s="110" t="s">
        <v>1906</v>
      </c>
      <c r="C30" s="135" t="s">
        <v>155</v>
      </c>
      <c r="D30" s="112" t="s">
        <v>3766</v>
      </c>
      <c r="E30" s="139" t="str">
        <f>HYPERLINK("https://youtu.be/66riSrRICzw","channel 2")</f>
        <v>channel 2</v>
      </c>
    </row>
    <row r="31">
      <c r="B31" s="110" t="s">
        <v>3982</v>
      </c>
      <c r="C31" s="135" t="s">
        <v>27</v>
      </c>
      <c r="D31" s="112" t="s">
        <v>4367</v>
      </c>
      <c r="E31" s="11" t="str">
        <f>HYPERLINK("https://youtu.be/rzHz9edcQZA","channel 1")</f>
        <v>channel 1</v>
      </c>
    </row>
    <row r="32">
      <c r="B32" s="110" t="s">
        <v>2418</v>
      </c>
      <c r="C32" s="135" t="s">
        <v>42</v>
      </c>
      <c r="D32" s="112" t="s">
        <v>3766</v>
      </c>
      <c r="E32" s="139" t="str">
        <f>HYPERLINK("https://youtu.be/A5206RjB204","channel 2")</f>
        <v>channel 2</v>
      </c>
    </row>
    <row r="33">
      <c r="B33" s="110" t="s">
        <v>3982</v>
      </c>
      <c r="C33" s="135" t="s">
        <v>225</v>
      </c>
      <c r="D33" s="112" t="s">
        <v>1906</v>
      </c>
      <c r="E33" s="11" t="str">
        <f>HYPERLINK("https://youtu.be/OS-2jtvW3r8","channel 1")</f>
        <v>channel 1</v>
      </c>
    </row>
    <row r="34">
      <c r="B34" s="110" t="s">
        <v>2418</v>
      </c>
      <c r="C34" s="135" t="s">
        <v>218</v>
      </c>
      <c r="D34" s="112" t="s">
        <v>4367</v>
      </c>
      <c r="E34" s="139" t="str">
        <f>HYPERLINK("https://youtu.be/YHEC5Bv5SOM","channel 2")</f>
        <v>channel 2</v>
      </c>
    </row>
    <row r="35">
      <c r="B35" s="110" t="s">
        <v>4367</v>
      </c>
      <c r="C35" s="135" t="s">
        <v>394</v>
      </c>
      <c r="D35" s="112" t="s">
        <v>3766</v>
      </c>
      <c r="E35" s="11" t="str">
        <f>HYPERLINK("https://youtu.be/To5DsR-AB1I","channel 1")</f>
        <v>channel 1</v>
      </c>
    </row>
    <row r="36">
      <c r="B36" s="110" t="s">
        <v>2418</v>
      </c>
      <c r="C36" s="135" t="s">
        <v>219</v>
      </c>
      <c r="D36" s="112" t="s">
        <v>1906</v>
      </c>
      <c r="E36" s="139" t="str">
        <f>HYPERLINK("https://youtu.be/0YSSPFk7Nws","channel 2")</f>
        <v>channel 2</v>
      </c>
    </row>
    <row r="37">
      <c r="B37" s="110" t="s">
        <v>3766</v>
      </c>
      <c r="C37" s="135" t="s">
        <v>251</v>
      </c>
      <c r="D37" s="112" t="s">
        <v>3982</v>
      </c>
      <c r="E37" s="11" t="str">
        <f>HYPERLINK("https://youtu.be/DrWOC62T4BI","channel 1")</f>
        <v>channel 1</v>
      </c>
    </row>
    <row r="38">
      <c r="B38" s="110" t="s">
        <v>4367</v>
      </c>
      <c r="C38" s="135" t="s">
        <v>193</v>
      </c>
      <c r="D38" s="112" t="s">
        <v>1906</v>
      </c>
      <c r="E38" s="139" t="str">
        <f>HYPERLINK("https://youtu.be/wv-NohsPYro","channel 2")</f>
        <v>channel 2</v>
      </c>
    </row>
    <row r="39">
      <c r="B39" s="110" t="s">
        <v>2418</v>
      </c>
      <c r="C39" s="135" t="s">
        <v>16</v>
      </c>
      <c r="D39" s="112" t="s">
        <v>3982</v>
      </c>
      <c r="E39" s="11" t="str">
        <f>HYPERLINK("https://youtu.be/HLkNjnztTmc","channel 1")</f>
        <v>channel 1</v>
      </c>
    </row>
    <row r="40">
      <c r="B40" s="110" t="s">
        <v>3766</v>
      </c>
      <c r="C40" s="135" t="s">
        <v>162</v>
      </c>
      <c r="D40" s="112" t="s">
        <v>1906</v>
      </c>
      <c r="E40" s="139" t="str">
        <f>HYPERLINK("https://youtu.be/MYCUxltutvc","channel 2")</f>
        <v>channel 2</v>
      </c>
    </row>
    <row r="41">
      <c r="B41" s="110" t="s">
        <v>4367</v>
      </c>
      <c r="C41" s="135" t="s">
        <v>231</v>
      </c>
      <c r="D41" s="112" t="s">
        <v>3982</v>
      </c>
      <c r="E41" s="11" t="str">
        <f>HYPERLINK("https://youtu.be/C2FiuWedfqc","channel 1")</f>
        <v>channel 1</v>
      </c>
    </row>
    <row r="42">
      <c r="B42" s="110" t="s">
        <v>3766</v>
      </c>
      <c r="C42" s="135" t="s">
        <v>289</v>
      </c>
      <c r="D42" s="112" t="s">
        <v>2418</v>
      </c>
      <c r="E42" s="139" t="str">
        <f>HYPERLINK("https://youtu.be/Jj3pSn0vVPU","channel 2")</f>
        <v>channel 2</v>
      </c>
    </row>
    <row r="43">
      <c r="B43" s="110" t="s">
        <v>1906</v>
      </c>
      <c r="C43" s="135" t="s">
        <v>41</v>
      </c>
      <c r="D43" s="112" t="s">
        <v>3982</v>
      </c>
      <c r="E43" s="11" t="str">
        <f>HYPERLINK("https://youtu.be/Qzo5Di1plD0","channel 1")</f>
        <v>channel 1</v>
      </c>
    </row>
    <row r="44">
      <c r="B44" s="110" t="s">
        <v>4367</v>
      </c>
      <c r="C44" s="135" t="s">
        <v>185</v>
      </c>
      <c r="D44" s="112" t="s">
        <v>2418</v>
      </c>
      <c r="E44" s="139" t="str">
        <f>HYPERLINK("https://youtu.be/SACjBqV5b8E","channel 2")</f>
        <v>channel 2</v>
      </c>
    </row>
    <row r="45">
      <c r="B45" s="96" t="s">
        <v>2780</v>
      </c>
      <c r="C45" s="2"/>
      <c r="D45" s="3"/>
      <c r="E45" s="107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110" t="s">
        <v>4368</v>
      </c>
      <c r="C47" s="179" t="s">
        <v>248</v>
      </c>
      <c r="D47" s="112" t="s">
        <v>4369</v>
      </c>
      <c r="E47" s="11" t="str">
        <f>HYPERLINK("https://youtu.be/0PUUzsPnh1I","channel 1")</f>
        <v>channel 1</v>
      </c>
    </row>
    <row r="48">
      <c r="B48" s="110" t="s">
        <v>4370</v>
      </c>
      <c r="C48" s="135" t="s">
        <v>157</v>
      </c>
      <c r="D48" s="112" t="s">
        <v>4371</v>
      </c>
      <c r="E48" s="139" t="str">
        <f>HYPERLINK("https://youtu.be/_PlMiTa-CkQ","channel 2")</f>
        <v>channel 2</v>
      </c>
    </row>
    <row r="49">
      <c r="B49" s="110" t="s">
        <v>3654</v>
      </c>
      <c r="C49" s="135" t="s">
        <v>158</v>
      </c>
      <c r="D49" s="112" t="s">
        <v>4368</v>
      </c>
      <c r="E49" s="11" t="str">
        <f>HYPERLINK("https://youtu.be/T0cbtlo5mLo","channel 1")</f>
        <v>channel 1</v>
      </c>
    </row>
    <row r="50">
      <c r="B50" s="110" t="s">
        <v>4370</v>
      </c>
      <c r="C50" s="135" t="s">
        <v>301</v>
      </c>
      <c r="D50" s="112" t="s">
        <v>4369</v>
      </c>
      <c r="E50" s="139" t="str">
        <f>HYPERLINK("https://youtu.be/KySMyS6bjbQ","channel 2")</f>
        <v>channel 2</v>
      </c>
    </row>
    <row r="51">
      <c r="B51" s="110" t="s">
        <v>3654</v>
      </c>
      <c r="C51" s="135" t="s">
        <v>185</v>
      </c>
      <c r="D51" s="112" t="s">
        <v>4371</v>
      </c>
      <c r="E51" s="11" t="str">
        <f>HYPERLINK("https://youtu.be/pfHj2Si4brQ","channel 1")</f>
        <v>channel 1</v>
      </c>
    </row>
    <row r="52">
      <c r="B52" s="110" t="s">
        <v>4370</v>
      </c>
      <c r="C52" s="135" t="s">
        <v>193</v>
      </c>
      <c r="D52" s="112" t="s">
        <v>4368</v>
      </c>
      <c r="E52" s="139" t="str">
        <f>HYPERLINK("https://youtu.be/ZeamPcsS9cQ","channel 2")</f>
        <v>channel 2</v>
      </c>
    </row>
    <row r="53">
      <c r="B53" s="110" t="s">
        <v>3654</v>
      </c>
      <c r="C53" s="159" t="s">
        <v>545</v>
      </c>
      <c r="D53" s="112" t="s">
        <v>4369</v>
      </c>
      <c r="E53" s="11" t="str">
        <f>HYPERLINK("https://youtu.be/dXprs-S3Qrk","channel 1")</f>
        <v>channel 1</v>
      </c>
    </row>
    <row r="54">
      <c r="B54" s="110" t="s">
        <v>4371</v>
      </c>
      <c r="C54" s="135" t="s">
        <v>545</v>
      </c>
      <c r="D54" s="112" t="s">
        <v>4368</v>
      </c>
      <c r="E54" s="139" t="str">
        <f>HYPERLINK("https://youtu.be/FuKKlIbtedc","channel 2")</f>
        <v>channel 2</v>
      </c>
    </row>
    <row r="55">
      <c r="B55" s="110" t="s">
        <v>3654</v>
      </c>
      <c r="C55" s="135" t="s">
        <v>7</v>
      </c>
      <c r="D55" s="112" t="s">
        <v>4370</v>
      </c>
      <c r="E55" s="11" t="str">
        <f>HYPERLINK("https://youtu.be/aPSJe0zjF94","channel 1")</f>
        <v>channel 1</v>
      </c>
    </row>
    <row r="56">
      <c r="B56" s="110" t="s">
        <v>4371</v>
      </c>
      <c r="C56" s="135" t="s">
        <v>298</v>
      </c>
      <c r="D56" s="112" t="s">
        <v>4369</v>
      </c>
      <c r="E56" s="139" t="str">
        <f>HYPERLINK("https://youtu.be/0y4EWGGDzxY","channel 2")</f>
        <v>channel 2</v>
      </c>
    </row>
    <row r="57">
      <c r="B57" s="110" t="s">
        <v>4369</v>
      </c>
      <c r="C57" s="135" t="s">
        <v>14</v>
      </c>
      <c r="D57" s="112" t="s">
        <v>4368</v>
      </c>
      <c r="E57" s="11" t="str">
        <f>HYPERLINK("https://youtu.be/XEGWmP5dF1c","channel 1")</f>
        <v>channel 1</v>
      </c>
    </row>
    <row r="58">
      <c r="B58" s="110" t="s">
        <v>4371</v>
      </c>
      <c r="C58" s="135" t="s">
        <v>219</v>
      </c>
      <c r="D58" s="112" t="s">
        <v>4370</v>
      </c>
      <c r="E58" s="139" t="str">
        <f>HYPERLINK("https://youtu.be/KI43QEfeOKU","channel 2")</f>
        <v>channel 2</v>
      </c>
    </row>
    <row r="59">
      <c r="B59" s="110" t="s">
        <v>4368</v>
      </c>
      <c r="C59" s="135" t="s">
        <v>164</v>
      </c>
      <c r="D59" s="112" t="s">
        <v>3654</v>
      </c>
      <c r="E59" s="11" t="str">
        <f>HYPERLINK("https://youtu.be/koyk4CSc38o","channel 1")</f>
        <v>channel 1</v>
      </c>
    </row>
    <row r="60">
      <c r="B60" s="110" t="s">
        <v>4369</v>
      </c>
      <c r="C60" s="135" t="s">
        <v>14</v>
      </c>
      <c r="D60" s="112" t="s">
        <v>4370</v>
      </c>
      <c r="E60" s="139" t="str">
        <f>HYPERLINK("https://youtu.be/ADxmspI8FkM","channel 2")</f>
        <v>channel 2</v>
      </c>
    </row>
    <row r="61">
      <c r="B61" s="110" t="s">
        <v>4371</v>
      </c>
      <c r="C61" s="135" t="s">
        <v>158</v>
      </c>
      <c r="D61" s="112" t="s">
        <v>3654</v>
      </c>
      <c r="E61" s="11" t="str">
        <f>HYPERLINK("https://youtu.be/Ka9zurZi9vo","channel 1")</f>
        <v>channel 1</v>
      </c>
    </row>
    <row r="62">
      <c r="B62" s="110" t="s">
        <v>4368</v>
      </c>
      <c r="C62" s="135" t="s">
        <v>166</v>
      </c>
      <c r="D62" s="112" t="s">
        <v>4370</v>
      </c>
      <c r="E62" s="139" t="str">
        <f>HYPERLINK("https://youtu.be/5PJWlcqmVxI","channel 2")</f>
        <v>channel 2</v>
      </c>
    </row>
    <row r="63">
      <c r="B63" s="110" t="s">
        <v>4369</v>
      </c>
      <c r="C63" s="135" t="s">
        <v>43</v>
      </c>
      <c r="D63" s="112" t="s">
        <v>3654</v>
      </c>
      <c r="E63" s="11" t="str">
        <f>HYPERLINK("https://youtu.be/Au4g-MzV7Hg","channel 1")</f>
        <v>channel 1</v>
      </c>
    </row>
    <row r="64">
      <c r="B64" s="110" t="s">
        <v>4368</v>
      </c>
      <c r="C64" s="135" t="s">
        <v>177</v>
      </c>
      <c r="D64" s="112" t="s">
        <v>4371</v>
      </c>
      <c r="E64" s="139" t="str">
        <f>HYPERLINK("https://youtu.be/oHFE3uL9VJI","channel 2")</f>
        <v>channel 2</v>
      </c>
    </row>
    <row r="65">
      <c r="B65" s="110" t="s">
        <v>4370</v>
      </c>
      <c r="C65" s="135" t="s">
        <v>41</v>
      </c>
      <c r="D65" s="112" t="s">
        <v>3654</v>
      </c>
      <c r="E65" s="11" t="str">
        <f>HYPERLINK("https://youtu.be/YZR1ecoHmDU","channel 1")</f>
        <v>channel 1</v>
      </c>
    </row>
    <row r="66">
      <c r="B66" s="110" t="s">
        <v>4369</v>
      </c>
      <c r="C66" s="135" t="s">
        <v>198</v>
      </c>
      <c r="D66" s="112" t="s">
        <v>4371</v>
      </c>
      <c r="E66" s="139" t="str">
        <f>HYPERLINK("https://youtu.be/exsDlrG1Nvw","channel 2")</f>
        <v>channel 2</v>
      </c>
    </row>
    <row r="67">
      <c r="B67" s="96" t="s">
        <v>4231</v>
      </c>
      <c r="C67" s="2"/>
      <c r="D67" s="3"/>
      <c r="E67" s="107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110" t="s">
        <v>4338</v>
      </c>
      <c r="C69" s="179" t="s">
        <v>173</v>
      </c>
      <c r="D69" s="112" t="s">
        <v>4372</v>
      </c>
      <c r="E69" s="11" t="str">
        <f>HYPERLINK("https://youtu.be/j5lgrstZ_KE","channel 1")</f>
        <v>channel 1</v>
      </c>
    </row>
    <row r="70">
      <c r="B70" s="110" t="s">
        <v>3271</v>
      </c>
      <c r="C70" s="135" t="s">
        <v>281</v>
      </c>
      <c r="D70" s="112" t="s">
        <v>4373</v>
      </c>
      <c r="E70" s="139" t="str">
        <f>HYPERLINK("https://youtu.be/HGnYzkbsRCo","channel 2")</f>
        <v>channel 2</v>
      </c>
    </row>
    <row r="71">
      <c r="B71" s="110" t="s">
        <v>1850</v>
      </c>
      <c r="C71" s="135" t="s">
        <v>193</v>
      </c>
      <c r="D71" s="112" t="s">
        <v>4338</v>
      </c>
      <c r="E71" s="11" t="str">
        <f>HYPERLINK("https://youtu.be/HWOcSZK6j1Y","channel 1")</f>
        <v>channel 1</v>
      </c>
    </row>
    <row r="72">
      <c r="B72" s="110" t="s">
        <v>3271</v>
      </c>
      <c r="C72" s="135" t="s">
        <v>16</v>
      </c>
      <c r="D72" s="112" t="s">
        <v>4372</v>
      </c>
      <c r="E72" s="139" t="str">
        <f>HYPERLINK("https://youtu.be/5IFPCCqQk90","channel 2")</f>
        <v>channel 2</v>
      </c>
    </row>
    <row r="73">
      <c r="B73" s="110" t="s">
        <v>1850</v>
      </c>
      <c r="C73" s="135" t="s">
        <v>194</v>
      </c>
      <c r="D73" s="112" t="s">
        <v>4373</v>
      </c>
      <c r="E73" s="11" t="str">
        <f>HYPERLINK("https://youtu.be/6TMMndp3bL8","channel 1")</f>
        <v>channel 1</v>
      </c>
    </row>
    <row r="74">
      <c r="B74" s="110" t="s">
        <v>3271</v>
      </c>
      <c r="C74" s="135" t="s">
        <v>210</v>
      </c>
      <c r="D74" s="112" t="s">
        <v>4338</v>
      </c>
      <c r="E74" s="139" t="str">
        <f>HYPERLINK("https://youtu.be/fKzswV8CDyA","channel 2")</f>
        <v>channel 2</v>
      </c>
    </row>
    <row r="75">
      <c r="B75" s="110" t="s">
        <v>1850</v>
      </c>
      <c r="C75" s="135" t="s">
        <v>573</v>
      </c>
      <c r="D75" s="112" t="s">
        <v>4372</v>
      </c>
      <c r="E75" s="11" t="str">
        <f>HYPERLINK("https://youtu.be/9syTLQjIYHw","channel 1")</f>
        <v>channel 1</v>
      </c>
    </row>
    <row r="76">
      <c r="B76" s="110" t="s">
        <v>4373</v>
      </c>
      <c r="C76" s="135" t="s">
        <v>225</v>
      </c>
      <c r="D76" s="112" t="s">
        <v>4338</v>
      </c>
      <c r="E76" s="139" t="str">
        <f>HYPERLINK("https://youtu.be/n05iTXGLeO8","channel 2")</f>
        <v>channel 2</v>
      </c>
    </row>
    <row r="77">
      <c r="B77" s="110" t="s">
        <v>1850</v>
      </c>
      <c r="C77" s="135" t="s">
        <v>165</v>
      </c>
      <c r="D77" s="112" t="s">
        <v>3271</v>
      </c>
      <c r="E77" s="11" t="str">
        <f>HYPERLINK("https://youtu.be/VGF73IpUuVs","channel 1")</f>
        <v>channel 1</v>
      </c>
    </row>
    <row r="78">
      <c r="B78" s="110" t="s">
        <v>4373</v>
      </c>
      <c r="C78" s="135" t="s">
        <v>237</v>
      </c>
      <c r="D78" s="112" t="s">
        <v>4372</v>
      </c>
      <c r="E78" s="139" t="str">
        <f>HYPERLINK("https://youtu.be/hymfp0y4-kU","channel 2")</f>
        <v>channel 2</v>
      </c>
    </row>
    <row r="79">
      <c r="B79" s="110" t="s">
        <v>4372</v>
      </c>
      <c r="C79" s="135" t="s">
        <v>37</v>
      </c>
      <c r="D79" s="112" t="s">
        <v>4338</v>
      </c>
      <c r="E79" s="11" t="str">
        <f>HYPERLINK("https://youtu.be/ukEnhEsEaLA","channel 1")</f>
        <v>channel 1</v>
      </c>
    </row>
    <row r="80">
      <c r="B80" s="110" t="s">
        <v>4373</v>
      </c>
      <c r="C80" s="135" t="s">
        <v>271</v>
      </c>
      <c r="D80" s="112" t="s">
        <v>3271</v>
      </c>
      <c r="E80" s="139" t="str">
        <f>HYPERLINK("https://youtu.be/KBeYVDYagKY","channel 2")</f>
        <v>channel 2</v>
      </c>
    </row>
    <row r="81">
      <c r="B81" s="110" t="s">
        <v>4338</v>
      </c>
      <c r="C81" s="135" t="s">
        <v>208</v>
      </c>
      <c r="D81" s="112" t="s">
        <v>1850</v>
      </c>
      <c r="E81" s="11" t="str">
        <f>HYPERLINK("https://youtu.be/GnEgUf_khf0","channel 1")</f>
        <v>channel 1</v>
      </c>
    </row>
    <row r="82">
      <c r="B82" s="110" t="s">
        <v>4372</v>
      </c>
      <c r="C82" s="135" t="s">
        <v>14</v>
      </c>
      <c r="D82" s="112" t="s">
        <v>3271</v>
      </c>
      <c r="E82" s="139" t="str">
        <f>HYPERLINK("https://youtu.be/Ojv_KhTKP4M","channel 2")</f>
        <v>channel 2</v>
      </c>
    </row>
    <row r="83">
      <c r="B83" s="110" t="s">
        <v>4373</v>
      </c>
      <c r="C83" s="135" t="s">
        <v>41</v>
      </c>
      <c r="D83" s="112" t="s">
        <v>1850</v>
      </c>
      <c r="E83" s="11" t="str">
        <f>HYPERLINK("https://youtu.be/XVUylTG1Xg0","channel 1")</f>
        <v>channel 1</v>
      </c>
    </row>
    <row r="84">
      <c r="B84" s="110" t="s">
        <v>4338</v>
      </c>
      <c r="C84" s="135" t="s">
        <v>245</v>
      </c>
      <c r="D84" s="112" t="s">
        <v>3271</v>
      </c>
      <c r="E84" s="139" t="str">
        <f>HYPERLINK("https://youtu.be/pnCOaHwty_Q","channel 2")</f>
        <v>channel 2</v>
      </c>
    </row>
    <row r="85">
      <c r="B85" s="110" t="s">
        <v>4372</v>
      </c>
      <c r="C85" s="135" t="s">
        <v>1392</v>
      </c>
      <c r="D85" s="112" t="s">
        <v>1850</v>
      </c>
      <c r="E85" s="11" t="str">
        <f>HYPERLINK("https://youtu.be/plSBPOA8GYs","channel 1")</f>
        <v>channel 1</v>
      </c>
    </row>
    <row r="86">
      <c r="B86" s="110" t="s">
        <v>4338</v>
      </c>
      <c r="C86" s="135" t="s">
        <v>43</v>
      </c>
      <c r="D86" s="112" t="s">
        <v>4373</v>
      </c>
      <c r="E86" s="139" t="str">
        <f>HYPERLINK("https://youtu.be/d1VB00q_8Hs","channel 2")</f>
        <v>channel 2</v>
      </c>
    </row>
    <row r="87">
      <c r="B87" s="110" t="s">
        <v>3271</v>
      </c>
      <c r="C87" s="135" t="s">
        <v>208</v>
      </c>
      <c r="D87" s="112" t="s">
        <v>1850</v>
      </c>
      <c r="E87" s="11" t="str">
        <f>HYPERLINK("https://youtu.be/rs8G_W5rNGE","channel 1")</f>
        <v>channel 1</v>
      </c>
    </row>
    <row r="88">
      <c r="B88" s="110" t="s">
        <v>4372</v>
      </c>
      <c r="C88" s="135" t="s">
        <v>524</v>
      </c>
      <c r="D88" s="112" t="s">
        <v>4373</v>
      </c>
      <c r="E88" s="139" t="str">
        <f>HYPERLINK("https://youtu.be/d9Vv09vNM4k","channel 2")</f>
        <v>channel 2</v>
      </c>
    </row>
    <row r="89">
      <c r="B89" s="172"/>
      <c r="C89" s="172"/>
      <c r="D89" s="172"/>
      <c r="E89" s="172"/>
    </row>
    <row r="90">
      <c r="B90" s="172"/>
      <c r="C90" s="172"/>
      <c r="D90" s="172"/>
      <c r="E90" s="172"/>
    </row>
    <row r="91">
      <c r="B91" s="172"/>
      <c r="C91" s="172"/>
      <c r="D91" s="172"/>
      <c r="E91" s="172"/>
    </row>
    <row r="92">
      <c r="B92" s="172"/>
      <c r="C92" s="172"/>
      <c r="D92" s="172"/>
      <c r="E92" s="172"/>
    </row>
    <row r="93">
      <c r="B93" s="172"/>
      <c r="C93" s="172"/>
      <c r="D93" s="172"/>
      <c r="E93" s="172"/>
    </row>
    <row r="94">
      <c r="B94" s="172"/>
      <c r="C94" s="172"/>
      <c r="D94" s="172"/>
      <c r="E94" s="172"/>
    </row>
    <row r="95">
      <c r="B95" s="172"/>
      <c r="C95" s="172"/>
      <c r="D95" s="172"/>
      <c r="E95" s="172"/>
    </row>
    <row r="96">
      <c r="B96" s="172"/>
      <c r="C96" s="172"/>
      <c r="D96" s="172"/>
      <c r="E96" s="172"/>
    </row>
    <row r="97">
      <c r="B97" s="172"/>
      <c r="C97" s="172"/>
      <c r="D97" s="172"/>
      <c r="E97" s="172"/>
    </row>
    <row r="98">
      <c r="B98" s="172"/>
      <c r="C98" s="172"/>
      <c r="D98" s="172"/>
      <c r="E98" s="172"/>
    </row>
    <row r="99">
      <c r="B99" s="172"/>
      <c r="C99" s="172"/>
      <c r="D99" s="172"/>
      <c r="E99" s="172"/>
    </row>
    <row r="100">
      <c r="B100" s="172"/>
      <c r="C100" s="172"/>
      <c r="D100" s="172"/>
      <c r="E100" s="172"/>
    </row>
    <row r="101">
      <c r="B101" s="172"/>
      <c r="C101" s="172"/>
      <c r="D101" s="172"/>
      <c r="E101" s="172"/>
    </row>
    <row r="102">
      <c r="B102" s="172"/>
      <c r="C102" s="172"/>
      <c r="D102" s="172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73" t="s">
        <v>1777</v>
      </c>
      <c r="C1" s="37"/>
      <c r="D1" s="38"/>
      <c r="E1" s="183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1111</v>
      </c>
      <c r="C3" s="179" t="s">
        <v>357</v>
      </c>
      <c r="D3" s="180" t="s">
        <v>3568</v>
      </c>
      <c r="E3" s="11" t="str">
        <f>HYPERLINK("https://youtu.be/tZD8yiq9jNM","channel 1")</f>
        <v>channel 1</v>
      </c>
    </row>
    <row r="4">
      <c r="B4" s="110" t="s">
        <v>4213</v>
      </c>
      <c r="C4" s="135" t="s">
        <v>250</v>
      </c>
      <c r="D4" s="112" t="s">
        <v>3839</v>
      </c>
      <c r="E4" s="139" t="str">
        <f>HYPERLINK("https://youtu.be/u6FHbI6SVwI","channel 2")</f>
        <v>channel 2</v>
      </c>
    </row>
    <row r="5">
      <c r="B5" s="110" t="s">
        <v>4139</v>
      </c>
      <c r="C5" s="135" t="s">
        <v>425</v>
      </c>
      <c r="D5" s="112" t="s">
        <v>1111</v>
      </c>
      <c r="E5" s="11" t="str">
        <f>HYPERLINK("https://youtu.be/Etsgb6JJPu4","channel 1")</f>
        <v>channel 1</v>
      </c>
    </row>
    <row r="6">
      <c r="B6" s="110" t="s">
        <v>4213</v>
      </c>
      <c r="C6" s="135" t="s">
        <v>354</v>
      </c>
      <c r="D6" s="112" t="s">
        <v>3568</v>
      </c>
      <c r="E6" s="139" t="str">
        <f>HYPERLINK("https://youtu.be/KqEZBCqyxF8","channel 2")</f>
        <v>channel 2</v>
      </c>
    </row>
    <row r="7">
      <c r="B7" s="110" t="s">
        <v>4139</v>
      </c>
      <c r="C7" s="135" t="s">
        <v>208</v>
      </c>
      <c r="D7" s="112" t="s">
        <v>3839</v>
      </c>
      <c r="E7" s="11" t="str">
        <f>HYPERLINK("https://youtu.be/W1djE-sekGk","channel 1")</f>
        <v>channel 1</v>
      </c>
    </row>
    <row r="8">
      <c r="B8" s="110" t="s">
        <v>4213</v>
      </c>
      <c r="C8" s="135" t="s">
        <v>292</v>
      </c>
      <c r="D8" s="112" t="s">
        <v>1111</v>
      </c>
      <c r="E8" s="139" t="str">
        <f>HYPERLINK("https://youtu.be/h7U85YeXOJ8","channel 2")</f>
        <v>channel 2</v>
      </c>
    </row>
    <row r="9">
      <c r="B9" s="110" t="s">
        <v>4139</v>
      </c>
      <c r="C9" s="135" t="s">
        <v>155</v>
      </c>
      <c r="D9" s="112" t="s">
        <v>3568</v>
      </c>
      <c r="E9" s="11" t="str">
        <f>HYPERLINK("https://youtu.be/w3L_aGTMERg","channel 1")</f>
        <v>channel 1</v>
      </c>
    </row>
    <row r="10">
      <c r="B10" s="110" t="s">
        <v>3839</v>
      </c>
      <c r="C10" s="135" t="s">
        <v>158</v>
      </c>
      <c r="D10" s="112" t="s">
        <v>1111</v>
      </c>
      <c r="E10" s="139" t="str">
        <f>HYPERLINK("https://youtu.be/bQUn_TzdMME","channel 2")</f>
        <v>channel 2</v>
      </c>
    </row>
    <row r="11">
      <c r="B11" s="110" t="s">
        <v>4139</v>
      </c>
      <c r="C11" s="135" t="s">
        <v>517</v>
      </c>
      <c r="D11" s="112" t="s">
        <v>4213</v>
      </c>
      <c r="E11" s="11" t="str">
        <f>HYPERLINK("https://youtu.be/O6LD81viQy4","channel 1")</f>
        <v>channel 1</v>
      </c>
    </row>
    <row r="12">
      <c r="B12" s="110" t="s">
        <v>3839</v>
      </c>
      <c r="C12" s="135" t="s">
        <v>16</v>
      </c>
      <c r="D12" s="112" t="s">
        <v>3568</v>
      </c>
      <c r="E12" s="139" t="str">
        <f>HYPERLINK("https://youtu.be/8rxyXR1hGJ0","channel 2")</f>
        <v>channel 2</v>
      </c>
    </row>
    <row r="13">
      <c r="B13" s="110" t="s">
        <v>3568</v>
      </c>
      <c r="C13" s="135" t="s">
        <v>193</v>
      </c>
      <c r="D13" s="112" t="s">
        <v>1111</v>
      </c>
      <c r="E13" s="11" t="str">
        <f>HYPERLINK("https://youtu.be/VAp-_HnN10w","channel 1")</f>
        <v>channel 1</v>
      </c>
    </row>
    <row r="14">
      <c r="B14" s="110" t="s">
        <v>3839</v>
      </c>
      <c r="C14" s="135" t="s">
        <v>185</v>
      </c>
      <c r="D14" s="112" t="s">
        <v>4213</v>
      </c>
      <c r="E14" s="139" t="str">
        <f>HYPERLINK("https://youtu.be/zjqHlwiTM-g","channel 2")</f>
        <v>channel 2</v>
      </c>
    </row>
    <row r="15">
      <c r="B15" s="110" t="s">
        <v>1111</v>
      </c>
      <c r="C15" s="135" t="s">
        <v>193</v>
      </c>
      <c r="D15" s="112" t="s">
        <v>4139</v>
      </c>
      <c r="E15" s="11" t="str">
        <f>HYPERLINK("https://youtu.be/5Hc0fo08Bxk","channel 1")</f>
        <v>channel 1</v>
      </c>
    </row>
    <row r="16">
      <c r="B16" s="110" t="s">
        <v>3568</v>
      </c>
      <c r="C16" s="135" t="s">
        <v>281</v>
      </c>
      <c r="D16" s="112" t="s">
        <v>4213</v>
      </c>
      <c r="E16" s="139" t="str">
        <f>HYPERLINK("https://youtu.be/-FW_PYY7vaY","channel 2")</f>
        <v>channel 2</v>
      </c>
    </row>
    <row r="17">
      <c r="B17" s="110" t="s">
        <v>3839</v>
      </c>
      <c r="C17" s="135" t="s">
        <v>43</v>
      </c>
      <c r="D17" s="112" t="s">
        <v>4139</v>
      </c>
      <c r="E17" s="11" t="str">
        <f>HYPERLINK("https://youtu.be/WOKL8kZ2b0M","channel 1")</f>
        <v>channel 1</v>
      </c>
    </row>
    <row r="18">
      <c r="B18" s="110" t="s">
        <v>1111</v>
      </c>
      <c r="C18" s="135" t="s">
        <v>165</v>
      </c>
      <c r="D18" s="112" t="s">
        <v>4213</v>
      </c>
      <c r="E18" s="139" t="str">
        <f>HYPERLINK("https://youtu.be/53TFFsTyjL8","channel 2")</f>
        <v>channel 2</v>
      </c>
    </row>
    <row r="19">
      <c r="B19" s="110" t="s">
        <v>3568</v>
      </c>
      <c r="C19" s="135" t="s">
        <v>21</v>
      </c>
      <c r="D19" s="112" t="s">
        <v>4139</v>
      </c>
      <c r="E19" s="11" t="str">
        <f>HYPERLINK("https://youtu.be/pMHbS3XbFGM","channel 1")</f>
        <v>channel 1</v>
      </c>
    </row>
    <row r="20">
      <c r="B20" s="110" t="s">
        <v>1111</v>
      </c>
      <c r="C20" s="135" t="s">
        <v>184</v>
      </c>
      <c r="D20" s="112" t="s">
        <v>3839</v>
      </c>
      <c r="E20" s="139" t="str">
        <f>HYPERLINK("https://youtu.be/AJdS1eCF2YQ","channel 2")</f>
        <v>channel 2</v>
      </c>
    </row>
    <row r="21">
      <c r="B21" s="110" t="s">
        <v>4213</v>
      </c>
      <c r="C21" s="135" t="s">
        <v>264</v>
      </c>
      <c r="D21" s="112" t="s">
        <v>4139</v>
      </c>
      <c r="E21" s="11" t="str">
        <f>HYPERLINK("https://youtu.be/olTPLvT7eOI","channel 1")</f>
        <v>channel 1</v>
      </c>
    </row>
    <row r="22">
      <c r="B22" s="110" t="s">
        <v>3568</v>
      </c>
      <c r="C22" s="135" t="s">
        <v>158</v>
      </c>
      <c r="D22" s="112" t="s">
        <v>3839</v>
      </c>
      <c r="E22" s="139" t="str">
        <f>HYPERLINK("https://youtu.be/fu8QDamAM-w","channel 2")</f>
        <v>channel 2</v>
      </c>
    </row>
    <row r="23">
      <c r="B23" s="173" t="s">
        <v>2335</v>
      </c>
      <c r="C23" s="37"/>
      <c r="D23" s="38"/>
      <c r="E23" s="11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61" t="s">
        <v>4374</v>
      </c>
      <c r="C25" s="179" t="s">
        <v>220</v>
      </c>
      <c r="D25" s="180" t="s">
        <v>4375</v>
      </c>
      <c r="E25" s="11" t="str">
        <f>HYPERLINK("https://youtu.be/ssJAMqJtsB0","channel 1")</f>
        <v>channel 1</v>
      </c>
    </row>
    <row r="26">
      <c r="B26" s="110" t="s">
        <v>1475</v>
      </c>
      <c r="C26" s="135" t="s">
        <v>248</v>
      </c>
      <c r="D26" s="112" t="s">
        <v>4376</v>
      </c>
      <c r="E26" s="139" t="str">
        <f>HYPERLINK("https://youtu.be/YgDwN2ekEEM","channel 2")</f>
        <v>channel 2</v>
      </c>
    </row>
    <row r="27">
      <c r="B27" s="110" t="s">
        <v>4299</v>
      </c>
      <c r="C27" s="135" t="s">
        <v>301</v>
      </c>
      <c r="D27" s="112" t="s">
        <v>4374</v>
      </c>
      <c r="E27" s="11" t="str">
        <f>HYPERLINK("https://youtu.be/uxCbST1ER14","channel 1")</f>
        <v>channel 1</v>
      </c>
    </row>
    <row r="28">
      <c r="B28" s="110" t="s">
        <v>1475</v>
      </c>
      <c r="C28" s="135" t="s">
        <v>161</v>
      </c>
      <c r="D28" s="112" t="s">
        <v>4375</v>
      </c>
      <c r="E28" s="139" t="str">
        <f>HYPERLINK("https://youtu.be/duMZ02Ju8ME","channel 2")</f>
        <v>channel 2</v>
      </c>
    </row>
    <row r="29">
      <c r="B29" s="110" t="s">
        <v>4299</v>
      </c>
      <c r="C29" s="135" t="s">
        <v>222</v>
      </c>
      <c r="D29" s="112" t="s">
        <v>4376</v>
      </c>
      <c r="E29" s="11" t="str">
        <f>HYPERLINK("https://youtu.be/j8-Bob489ck","channel 1")</f>
        <v>channel 1</v>
      </c>
    </row>
    <row r="30">
      <c r="B30" s="110" t="s">
        <v>1475</v>
      </c>
      <c r="C30" s="135" t="s">
        <v>354</v>
      </c>
      <c r="D30" s="112" t="s">
        <v>4374</v>
      </c>
      <c r="E30" s="139" t="str">
        <f>HYPERLINK("https://youtu.be/vl-7St91tDM","channel 2")</f>
        <v>channel 2</v>
      </c>
    </row>
    <row r="31">
      <c r="B31" s="110" t="s">
        <v>4299</v>
      </c>
      <c r="C31" s="135" t="s">
        <v>193</v>
      </c>
      <c r="D31" s="112" t="s">
        <v>4375</v>
      </c>
      <c r="E31" s="11" t="str">
        <f>HYPERLINK("https://youtu.be/QkPwEpSA1To","channel 1")</f>
        <v>channel 1</v>
      </c>
    </row>
    <row r="32">
      <c r="B32" s="110" t="s">
        <v>4376</v>
      </c>
      <c r="C32" s="135" t="s">
        <v>304</v>
      </c>
      <c r="D32" s="112" t="s">
        <v>4374</v>
      </c>
      <c r="E32" s="139" t="str">
        <f>HYPERLINK("https://youtu.be/2gcohRlvCps","channel 2")</f>
        <v>channel 2</v>
      </c>
    </row>
    <row r="33">
      <c r="B33" s="110" t="s">
        <v>4299</v>
      </c>
      <c r="C33" s="135" t="s">
        <v>2125</v>
      </c>
      <c r="D33" s="112" t="s">
        <v>1475</v>
      </c>
      <c r="E33" s="11" t="str">
        <f>HYPERLINK("https://youtu.be/FXcokL5A1-A","channel 1")</f>
        <v>channel 1</v>
      </c>
    </row>
    <row r="34">
      <c r="B34" s="110" t="s">
        <v>4376</v>
      </c>
      <c r="C34" s="135" t="s">
        <v>292</v>
      </c>
      <c r="D34" s="112" t="s">
        <v>4375</v>
      </c>
      <c r="E34" s="139" t="str">
        <f>HYPERLINK("https://youtu.be/rjko2W8F-sU","channel 2")</f>
        <v>channel 2</v>
      </c>
    </row>
    <row r="35">
      <c r="B35" s="110" t="s">
        <v>4375</v>
      </c>
      <c r="C35" s="135" t="s">
        <v>352</v>
      </c>
      <c r="D35" s="112" t="s">
        <v>4374</v>
      </c>
      <c r="E35" s="11" t="str">
        <f>HYPERLINK("https://youtu.be/M5XmwN2ymwo","channel 1")</f>
        <v>channel 1</v>
      </c>
    </row>
    <row r="36">
      <c r="B36" s="110" t="s">
        <v>4376</v>
      </c>
      <c r="C36" s="135" t="s">
        <v>425</v>
      </c>
      <c r="D36" s="112" t="s">
        <v>1475</v>
      </c>
      <c r="E36" s="139" t="str">
        <f>HYPERLINK("https://youtu.be/cf8OY09Senk","channel 2")</f>
        <v>channel 2</v>
      </c>
    </row>
    <row r="37">
      <c r="B37" s="110" t="s">
        <v>4374</v>
      </c>
      <c r="C37" s="135" t="s">
        <v>464</v>
      </c>
      <c r="D37" s="112" t="s">
        <v>4299</v>
      </c>
      <c r="E37" s="11" t="str">
        <f>HYPERLINK("https://youtu.be/oxRRQ5z3i2E","channel 1")</f>
        <v>channel 1</v>
      </c>
    </row>
    <row r="38">
      <c r="B38" s="110" t="s">
        <v>4375</v>
      </c>
      <c r="C38" s="135" t="s">
        <v>547</v>
      </c>
      <c r="D38" s="112" t="s">
        <v>1475</v>
      </c>
      <c r="E38" s="139" t="str">
        <f>HYPERLINK("https://youtu.be/DLimPE_oTsE","channel 2")</f>
        <v>channel 2</v>
      </c>
    </row>
    <row r="39">
      <c r="B39" s="110" t="s">
        <v>4376</v>
      </c>
      <c r="C39" s="135" t="s">
        <v>41</v>
      </c>
      <c r="D39" s="112" t="s">
        <v>4299</v>
      </c>
      <c r="E39" s="11" t="str">
        <f>HYPERLINK("https://youtu.be/BNLLbwCH490","channel 1")</f>
        <v>channel 1</v>
      </c>
    </row>
    <row r="40">
      <c r="B40" s="110" t="s">
        <v>4374</v>
      </c>
      <c r="C40" s="135" t="s">
        <v>357</v>
      </c>
      <c r="D40" s="112" t="s">
        <v>1475</v>
      </c>
      <c r="E40" s="139" t="str">
        <f>HYPERLINK("https://youtu.be/8olPjWy7jkk","channel 2")</f>
        <v>channel 2</v>
      </c>
    </row>
    <row r="41">
      <c r="B41" s="110" t="s">
        <v>4375</v>
      </c>
      <c r="C41" s="135" t="s">
        <v>181</v>
      </c>
      <c r="D41" s="112" t="s">
        <v>4299</v>
      </c>
      <c r="E41" s="11" t="str">
        <f>HYPERLINK("https://youtu.be/vJj2Xb2y_pg","channel 1")</f>
        <v>channel 1</v>
      </c>
    </row>
    <row r="42">
      <c r="B42" s="110" t="s">
        <v>4374</v>
      </c>
      <c r="C42" s="135" t="s">
        <v>193</v>
      </c>
      <c r="D42" s="112" t="s">
        <v>4376</v>
      </c>
      <c r="E42" s="139" t="str">
        <f>HYPERLINK("https://youtu.be/c_QH1keXQl0","channel 2")</f>
        <v>channel 2</v>
      </c>
    </row>
    <row r="43">
      <c r="B43" s="110" t="s">
        <v>1475</v>
      </c>
      <c r="C43" s="135" t="s">
        <v>227</v>
      </c>
      <c r="D43" s="112" t="s">
        <v>4299</v>
      </c>
      <c r="E43" s="11" t="str">
        <f>HYPERLINK("https://youtu.be/FyC-PO1ocLk","channel 1")</f>
        <v>channel 1</v>
      </c>
    </row>
    <row r="44">
      <c r="B44" s="110" t="s">
        <v>4375</v>
      </c>
      <c r="C44" s="135" t="s">
        <v>442</v>
      </c>
      <c r="D44" s="112" t="s">
        <v>4376</v>
      </c>
      <c r="E44" s="139" t="str">
        <f>HYPERLINK("https://youtu.be/5LONwsH8Nsg","channel 2")</f>
        <v>channel 2</v>
      </c>
    </row>
    <row r="45">
      <c r="B45" s="1" t="s">
        <v>2417</v>
      </c>
      <c r="C45" s="2"/>
      <c r="D45" s="3"/>
      <c r="E45" s="107"/>
    </row>
    <row r="46">
      <c r="B46" s="108" t="s">
        <v>2</v>
      </c>
      <c r="C46" s="109" t="s">
        <v>3</v>
      </c>
      <c r="D46" s="109" t="s">
        <v>4</v>
      </c>
      <c r="E46" s="109" t="s">
        <v>5</v>
      </c>
    </row>
    <row r="47">
      <c r="B47" s="110" t="s">
        <v>3977</v>
      </c>
      <c r="C47" s="179" t="s">
        <v>36</v>
      </c>
      <c r="D47" s="112" t="s">
        <v>4043</v>
      </c>
      <c r="E47" s="11" t="str">
        <f>HYPERLINK("https://youtu.be/V85CG_s-Kmg","channel 1")</f>
        <v>channel 1</v>
      </c>
    </row>
    <row r="48">
      <c r="B48" s="110" t="s">
        <v>3699</v>
      </c>
      <c r="C48" s="135" t="s">
        <v>193</v>
      </c>
      <c r="D48" s="112" t="s">
        <v>4377</v>
      </c>
      <c r="E48" s="139" t="str">
        <f>HYPERLINK("https://youtu.be/5ko6G9gL_9Y","channel 2")</f>
        <v>channel 2</v>
      </c>
    </row>
    <row r="49">
      <c r="B49" s="110" t="s">
        <v>4378</v>
      </c>
      <c r="C49" s="135" t="s">
        <v>158</v>
      </c>
      <c r="D49" s="112" t="s">
        <v>3977</v>
      </c>
      <c r="E49" s="11" t="str">
        <f>HYPERLINK("https://youtu.be/6Si0IA70Hus","channel 1")</f>
        <v>channel 1</v>
      </c>
    </row>
    <row r="50">
      <c r="B50" s="110" t="s">
        <v>3699</v>
      </c>
      <c r="C50" s="135" t="s">
        <v>245</v>
      </c>
      <c r="D50" s="112" t="s">
        <v>4043</v>
      </c>
      <c r="E50" s="139" t="str">
        <f>HYPERLINK("https://youtu.be/X3SihWm9cZo","channel 2")</f>
        <v>channel 2</v>
      </c>
    </row>
    <row r="51">
      <c r="B51" s="110" t="s">
        <v>4378</v>
      </c>
      <c r="C51" s="135" t="s">
        <v>281</v>
      </c>
      <c r="D51" s="112" t="s">
        <v>4377</v>
      </c>
      <c r="E51" s="11" t="str">
        <f>HYPERLINK("https://youtu.be/6N53phQSJxA","channel 1")</f>
        <v>channel 1</v>
      </c>
    </row>
    <row r="52">
      <c r="B52" s="110" t="s">
        <v>3699</v>
      </c>
      <c r="C52" s="135" t="s">
        <v>193</v>
      </c>
      <c r="D52" s="112" t="s">
        <v>3977</v>
      </c>
      <c r="E52" s="139" t="str">
        <f>HYPERLINK("https://youtu.be/xO8Bv2WroCo","channel 2")</f>
        <v>channel 2</v>
      </c>
    </row>
    <row r="53">
      <c r="B53" s="110" t="s">
        <v>4378</v>
      </c>
      <c r="C53" s="135" t="s">
        <v>185</v>
      </c>
      <c r="D53" s="112" t="s">
        <v>4043</v>
      </c>
      <c r="E53" s="11" t="str">
        <f>HYPERLINK("https://youtu.be/PPCuB16oybw","channel 1")</f>
        <v>channel 1</v>
      </c>
    </row>
    <row r="54">
      <c r="B54" s="110" t="s">
        <v>4377</v>
      </c>
      <c r="C54" s="135" t="s">
        <v>195</v>
      </c>
      <c r="D54" s="112" t="s">
        <v>3977</v>
      </c>
      <c r="E54" s="139" t="str">
        <f>HYPERLINK("https://youtu.be/cFEMvqyWQ6M","channel 2")</f>
        <v>channel 2</v>
      </c>
    </row>
    <row r="55">
      <c r="B55" s="110" t="s">
        <v>4378</v>
      </c>
      <c r="C55" s="135" t="s">
        <v>16</v>
      </c>
      <c r="D55" s="112" t="s">
        <v>3699</v>
      </c>
      <c r="E55" s="11" t="str">
        <f>HYPERLINK("https://youtu.be/yV2ZHNnAUAo","channel 1")</f>
        <v>channel 1</v>
      </c>
    </row>
    <row r="56">
      <c r="B56" s="110" t="s">
        <v>4377</v>
      </c>
      <c r="C56" s="135" t="s">
        <v>426</v>
      </c>
      <c r="D56" s="112" t="s">
        <v>4043</v>
      </c>
      <c r="E56" s="139" t="str">
        <f>HYPERLINK("https://youtu.be/nKjO2PZNLxI","channel 2")</f>
        <v>channel 2</v>
      </c>
    </row>
    <row r="57">
      <c r="B57" s="110" t="s">
        <v>4043</v>
      </c>
      <c r="C57" s="135" t="s">
        <v>20</v>
      </c>
      <c r="D57" s="112" t="s">
        <v>3977</v>
      </c>
      <c r="E57" s="11" t="str">
        <f>HYPERLINK("https://youtu.be/OfwR6YLcV-M","channel 1")</f>
        <v>channel 1</v>
      </c>
    </row>
    <row r="58">
      <c r="B58" s="110" t="s">
        <v>4377</v>
      </c>
      <c r="C58" s="135" t="s">
        <v>155</v>
      </c>
      <c r="D58" s="112" t="s">
        <v>3699</v>
      </c>
      <c r="E58" s="139" t="str">
        <f>HYPERLINK("https://youtu.be/7jl_FMj8Xf8","channel 2")</f>
        <v>channel 2</v>
      </c>
    </row>
    <row r="59">
      <c r="B59" s="110" t="s">
        <v>3977</v>
      </c>
      <c r="C59" s="135" t="s">
        <v>354</v>
      </c>
      <c r="D59" s="112" t="s">
        <v>4378</v>
      </c>
      <c r="E59" s="11" t="str">
        <f>HYPERLINK("https://youtu.be/kiTAf2US_Rc","channel 1")</f>
        <v>channel 1</v>
      </c>
    </row>
    <row r="60">
      <c r="B60" s="110" t="s">
        <v>4043</v>
      </c>
      <c r="C60" s="135" t="s">
        <v>750</v>
      </c>
      <c r="D60" s="112" t="s">
        <v>3699</v>
      </c>
      <c r="E60" s="139" t="str">
        <f>HYPERLINK("https://youtu.be/rkEfAlcZpQE","channel 2")</f>
        <v>channel 2</v>
      </c>
    </row>
    <row r="61">
      <c r="B61" s="110" t="s">
        <v>4377</v>
      </c>
      <c r="C61" s="135" t="s">
        <v>20</v>
      </c>
      <c r="D61" s="112" t="s">
        <v>4378</v>
      </c>
      <c r="E61" s="11" t="str">
        <f>HYPERLINK("https://youtu.be/36uZqBiwT9U","channel 1")</f>
        <v>channel 1</v>
      </c>
    </row>
    <row r="62">
      <c r="B62" s="110" t="s">
        <v>3977</v>
      </c>
      <c r="C62" s="135" t="s">
        <v>4379</v>
      </c>
      <c r="D62" s="112" t="s">
        <v>3699</v>
      </c>
      <c r="E62" s="139" t="str">
        <f>HYPERLINK("https://youtu.be/MWOBFC1oI8w","channel 2")</f>
        <v>channel 2</v>
      </c>
    </row>
    <row r="63">
      <c r="B63" s="110" t="s">
        <v>4043</v>
      </c>
      <c r="C63" s="135" t="s">
        <v>23</v>
      </c>
      <c r="D63" s="112" t="s">
        <v>4378</v>
      </c>
      <c r="E63" s="11" t="str">
        <f>HYPERLINK("https://youtu.be/cXgOQy4qI-I","channel 1")</f>
        <v>channel 1</v>
      </c>
    </row>
    <row r="64">
      <c r="B64" s="110" t="s">
        <v>3977</v>
      </c>
      <c r="C64" s="135" t="s">
        <v>1866</v>
      </c>
      <c r="D64" s="112" t="s">
        <v>4377</v>
      </c>
      <c r="E64" s="139" t="str">
        <f>HYPERLINK("https://youtu.be/Ksq9O27j7p8","channel 2")</f>
        <v>channel 2</v>
      </c>
    </row>
    <row r="65">
      <c r="B65" s="110" t="s">
        <v>3699</v>
      </c>
      <c r="C65" s="135" t="s">
        <v>302</v>
      </c>
      <c r="D65" s="112" t="s">
        <v>4378</v>
      </c>
      <c r="E65" s="11" t="str">
        <f>HYPERLINK("https://youtu.be/URkFlyqgSZI","channel 1")</f>
        <v>channel 1</v>
      </c>
    </row>
    <row r="66">
      <c r="B66" s="110" t="s">
        <v>4043</v>
      </c>
      <c r="C66" s="135" t="s">
        <v>181</v>
      </c>
      <c r="D66" s="112" t="s">
        <v>4377</v>
      </c>
      <c r="E66" s="139" t="str">
        <f>HYPERLINK("https://youtu.be/fqQqHIyP9AU","channel 2")</f>
        <v>channel 2</v>
      </c>
    </row>
    <row r="67">
      <c r="B67" s="1" t="s">
        <v>3011</v>
      </c>
      <c r="C67" s="2"/>
      <c r="D67" s="3"/>
      <c r="E67" s="107"/>
    </row>
    <row r="68">
      <c r="B68" s="108" t="s">
        <v>2</v>
      </c>
      <c r="C68" s="109" t="s">
        <v>3</v>
      </c>
      <c r="D68" s="109" t="s">
        <v>4</v>
      </c>
      <c r="E68" s="109" t="s">
        <v>5</v>
      </c>
    </row>
    <row r="69">
      <c r="B69" s="110" t="s">
        <v>4380</v>
      </c>
      <c r="C69" s="179" t="s">
        <v>20</v>
      </c>
      <c r="D69" s="112" t="s">
        <v>3850</v>
      </c>
      <c r="E69" s="11" t="str">
        <f>HYPERLINK("https://youtu.be/6mq1-F53zmY","channel 1")</f>
        <v>channel 1</v>
      </c>
    </row>
    <row r="70">
      <c r="B70" s="110" t="s">
        <v>3588</v>
      </c>
      <c r="C70" s="135" t="s">
        <v>36</v>
      </c>
      <c r="D70" s="112" t="s">
        <v>4020</v>
      </c>
      <c r="E70" s="139" t="str">
        <f>HYPERLINK("https://youtu.be/hgT5c3TOGGw","channel 2")</f>
        <v>channel 2</v>
      </c>
    </row>
    <row r="71">
      <c r="B71" s="110" t="s">
        <v>4381</v>
      </c>
      <c r="C71" s="135" t="s">
        <v>18</v>
      </c>
      <c r="D71" s="112" t="s">
        <v>4380</v>
      </c>
      <c r="E71" s="11" t="str">
        <f>HYPERLINK("https://youtu.be/3HesP6eqkq8","channel 1")</f>
        <v>channel 1</v>
      </c>
    </row>
    <row r="72">
      <c r="B72" s="110" t="s">
        <v>3588</v>
      </c>
      <c r="C72" s="135" t="s">
        <v>19</v>
      </c>
      <c r="D72" s="112" t="s">
        <v>3850</v>
      </c>
      <c r="E72" s="139" t="str">
        <f>HYPERLINK("https://youtu.be/XoYiVf-lOgs","channel 2")</f>
        <v>channel 2</v>
      </c>
    </row>
    <row r="73">
      <c r="B73" s="110" t="s">
        <v>4381</v>
      </c>
      <c r="C73" s="135" t="s">
        <v>162</v>
      </c>
      <c r="D73" s="112" t="s">
        <v>4020</v>
      </c>
      <c r="E73" s="11" t="str">
        <f>HYPERLINK("https://youtu.be/X0R9d1JuNPM","channel 1")</f>
        <v>channel 1</v>
      </c>
    </row>
    <row r="74">
      <c r="B74" s="110" t="s">
        <v>3588</v>
      </c>
      <c r="C74" s="135" t="s">
        <v>292</v>
      </c>
      <c r="D74" s="112" t="s">
        <v>4380</v>
      </c>
      <c r="E74" s="139" t="str">
        <f>HYPERLINK("https://youtu.be/QPyb81vPNaU","channel 2")</f>
        <v>channel 2</v>
      </c>
    </row>
    <row r="75">
      <c r="B75" s="110" t="s">
        <v>4381</v>
      </c>
      <c r="C75" s="135" t="s">
        <v>744</v>
      </c>
      <c r="D75" s="112" t="s">
        <v>3850</v>
      </c>
      <c r="E75" s="11" t="str">
        <f>HYPERLINK("https://youtu.be/rgFkjN4Alho","channel 1")</f>
        <v>channel 1</v>
      </c>
    </row>
    <row r="76">
      <c r="B76" s="110" t="s">
        <v>4020</v>
      </c>
      <c r="C76" s="135" t="s">
        <v>17</v>
      </c>
      <c r="D76" s="112" t="s">
        <v>4380</v>
      </c>
      <c r="E76" s="139" t="str">
        <f>HYPERLINK("https://youtu.be/yLPKlHRBmeY","channel 2")</f>
        <v>channel 2</v>
      </c>
    </row>
    <row r="77">
      <c r="B77" s="110" t="s">
        <v>4381</v>
      </c>
      <c r="C77" s="135" t="s">
        <v>20</v>
      </c>
      <c r="D77" s="112" t="s">
        <v>3588</v>
      </c>
      <c r="E77" s="11" t="str">
        <f>HYPERLINK("https://youtu.be/TSK98HDa1RU","channel 1")</f>
        <v>channel 1</v>
      </c>
    </row>
    <row r="78">
      <c r="B78" s="110" t="s">
        <v>4020</v>
      </c>
      <c r="C78" s="135" t="s">
        <v>43</v>
      </c>
      <c r="D78" s="112" t="s">
        <v>3850</v>
      </c>
      <c r="E78" s="139" t="str">
        <f>HYPERLINK("https://youtu.be/ZtghG73mEwg","channel 2")</f>
        <v>channel 2</v>
      </c>
    </row>
    <row r="79">
      <c r="B79" s="110" t="s">
        <v>3850</v>
      </c>
      <c r="C79" s="135" t="s">
        <v>257</v>
      </c>
      <c r="D79" s="112" t="s">
        <v>4380</v>
      </c>
      <c r="E79" s="11" t="str">
        <f>HYPERLINK("https://youtu.be/61mvepC4cO8","channel 1")</f>
        <v>channel 1</v>
      </c>
    </row>
    <row r="80">
      <c r="B80" s="110" t="s">
        <v>4020</v>
      </c>
      <c r="C80" s="135" t="s">
        <v>38</v>
      </c>
      <c r="D80" s="112" t="s">
        <v>3588</v>
      </c>
      <c r="E80" s="139" t="str">
        <f>HYPERLINK("https://youtu.be/PqbCxNZTCrM","channel 2")</f>
        <v>channel 2</v>
      </c>
    </row>
    <row r="81">
      <c r="B81" s="110" t="s">
        <v>4380</v>
      </c>
      <c r="C81" s="135" t="s">
        <v>173</v>
      </c>
      <c r="D81" s="112" t="s">
        <v>4381</v>
      </c>
      <c r="E81" s="11" t="str">
        <f>HYPERLINK("https://youtu.be/fETTg1CFHKY","channel 1")</f>
        <v>channel 1</v>
      </c>
    </row>
    <row r="82">
      <c r="B82" s="110" t="s">
        <v>3850</v>
      </c>
      <c r="C82" s="135" t="s">
        <v>351</v>
      </c>
      <c r="D82" s="112" t="s">
        <v>3588</v>
      </c>
      <c r="E82" s="139" t="str">
        <f>HYPERLINK("https://youtu.be/G3WzKnwWsXs","channel 2")</f>
        <v>channel 2</v>
      </c>
    </row>
    <row r="83">
      <c r="B83" s="110" t="s">
        <v>4020</v>
      </c>
      <c r="C83" s="135" t="s">
        <v>302</v>
      </c>
      <c r="D83" s="112" t="s">
        <v>4381</v>
      </c>
      <c r="E83" s="11" t="str">
        <f>HYPERLINK("https://youtu.be/h4-CVVnxr7A","channel 1")</f>
        <v>channel 1</v>
      </c>
    </row>
    <row r="84">
      <c r="B84" s="110" t="s">
        <v>4380</v>
      </c>
      <c r="C84" s="135" t="s">
        <v>640</v>
      </c>
      <c r="D84" s="112" t="s">
        <v>3588</v>
      </c>
      <c r="E84" s="139" t="str">
        <f>HYPERLINK("https://youtu.be/MNdClWk0HvU","channel 2")</f>
        <v>channel 2</v>
      </c>
    </row>
    <row r="85">
      <c r="B85" s="110" t="s">
        <v>3850</v>
      </c>
      <c r="C85" s="135" t="s">
        <v>16</v>
      </c>
      <c r="D85" s="112" t="s">
        <v>4381</v>
      </c>
      <c r="E85" s="11" t="str">
        <f>HYPERLINK("https://youtu.be/DNIFP9P6jQ0","channel 1")</f>
        <v>channel 1</v>
      </c>
    </row>
    <row r="86">
      <c r="B86" s="110" t="s">
        <v>4380</v>
      </c>
      <c r="C86" s="135" t="s">
        <v>292</v>
      </c>
      <c r="D86" s="112" t="s">
        <v>4020</v>
      </c>
      <c r="E86" s="139" t="str">
        <f>HYPERLINK("https://youtu.be/psGZR-2BHj4","channel 2")</f>
        <v>channel 2</v>
      </c>
    </row>
    <row r="87">
      <c r="B87" s="110" t="s">
        <v>3588</v>
      </c>
      <c r="C87" s="135" t="s">
        <v>41</v>
      </c>
      <c r="D87" s="112" t="s">
        <v>4381</v>
      </c>
      <c r="E87" s="11" t="str">
        <f>HYPERLINK("https://youtu.be/f7nsMEjnTIc","channel 1")</f>
        <v>channel 1</v>
      </c>
    </row>
    <row r="88">
      <c r="B88" s="110" t="s">
        <v>3850</v>
      </c>
      <c r="C88" s="135" t="s">
        <v>269</v>
      </c>
      <c r="D88" s="112" t="s">
        <v>4020</v>
      </c>
      <c r="E88" s="139" t="str">
        <f>HYPERLINK("https://youtu.be/A8QP8Bg_-R4","channel 2")</f>
        <v>channel 2</v>
      </c>
    </row>
    <row r="89">
      <c r="B89" s="172"/>
      <c r="C89" s="172"/>
      <c r="D89" s="172"/>
      <c r="E89" s="172"/>
    </row>
    <row r="90">
      <c r="B90" s="172"/>
      <c r="C90" s="172"/>
      <c r="D90" s="172"/>
      <c r="E90" s="172"/>
    </row>
    <row r="91">
      <c r="B91" s="172"/>
      <c r="C91" s="172"/>
      <c r="D91" s="172"/>
      <c r="E91" s="172"/>
    </row>
    <row r="92">
      <c r="B92" s="172"/>
      <c r="C92" s="172"/>
      <c r="D92" s="172"/>
      <c r="E92" s="172"/>
    </row>
    <row r="93">
      <c r="B93" s="172"/>
      <c r="C93" s="172"/>
      <c r="D93" s="172"/>
      <c r="E93" s="172"/>
    </row>
    <row r="94">
      <c r="B94" s="172"/>
      <c r="C94" s="172"/>
      <c r="D94" s="172"/>
      <c r="E94" s="172"/>
    </row>
    <row r="95">
      <c r="B95" s="172"/>
      <c r="C95" s="172"/>
      <c r="D95" s="172"/>
      <c r="E95" s="172"/>
    </row>
    <row r="96">
      <c r="B96" s="172"/>
      <c r="C96" s="172"/>
      <c r="D96" s="172"/>
      <c r="E96" s="172"/>
    </row>
    <row r="97">
      <c r="B97" s="172"/>
      <c r="C97" s="172"/>
      <c r="D97" s="172"/>
      <c r="E97" s="172"/>
    </row>
    <row r="98">
      <c r="B98" s="172"/>
      <c r="C98" s="172"/>
      <c r="D98" s="172"/>
      <c r="E98" s="172"/>
    </row>
    <row r="99">
      <c r="B99" s="172"/>
      <c r="C99" s="172"/>
      <c r="D99" s="172"/>
      <c r="E99" s="172"/>
    </row>
    <row r="100">
      <c r="B100" s="172"/>
      <c r="C100" s="172"/>
      <c r="D100" s="172"/>
      <c r="E100" s="172"/>
    </row>
    <row r="101">
      <c r="B101" s="172"/>
      <c r="C101" s="172"/>
      <c r="D101" s="172"/>
      <c r="E101" s="172"/>
    </row>
    <row r="102">
      <c r="B102" s="172"/>
      <c r="C102" s="172"/>
      <c r="D102" s="172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188" t="s">
        <v>4382</v>
      </c>
      <c r="C1" s="37"/>
      <c r="D1" s="38"/>
      <c r="E1" s="183"/>
    </row>
    <row r="2">
      <c r="B2" s="174" t="s">
        <v>2</v>
      </c>
      <c r="C2" s="109" t="s">
        <v>3</v>
      </c>
      <c r="D2" s="29" t="s">
        <v>4</v>
      </c>
      <c r="E2" s="29" t="s">
        <v>5</v>
      </c>
    </row>
    <row r="3">
      <c r="B3" s="61" t="s">
        <v>1870</v>
      </c>
      <c r="C3" s="179" t="s">
        <v>1162</v>
      </c>
      <c r="D3" s="180" t="s">
        <v>4383</v>
      </c>
      <c r="E3" s="11" t="str">
        <f>HYPERLINK("https://youtu.be/o5r7PtbWdls","channel 1")</f>
        <v>channel 1</v>
      </c>
    </row>
    <row r="4">
      <c r="B4" s="110" t="s">
        <v>4243</v>
      </c>
      <c r="C4" s="135" t="s">
        <v>158</v>
      </c>
      <c r="D4" s="112" t="s">
        <v>1535</v>
      </c>
      <c r="E4" s="139" t="str">
        <f>HYPERLINK("https://youtu.be/_A-vVV8XvVQ","channel 2")</f>
        <v>channel 2</v>
      </c>
    </row>
    <row r="5">
      <c r="B5" s="110" t="s">
        <v>4061</v>
      </c>
      <c r="C5" s="135" t="s">
        <v>573</v>
      </c>
      <c r="D5" s="112" t="s">
        <v>1870</v>
      </c>
      <c r="E5" s="11" t="str">
        <f>HYPERLINK("https://youtu.be/F5t97bIGkcQ","channel 1")</f>
        <v>channel 1</v>
      </c>
    </row>
    <row r="6">
      <c r="B6" s="110" t="s">
        <v>4243</v>
      </c>
      <c r="C6" s="135" t="s">
        <v>18</v>
      </c>
      <c r="D6" s="112" t="s">
        <v>4383</v>
      </c>
      <c r="E6" s="139" t="str">
        <f>HYPERLINK("https://youtu.be/FeLbH4eZkwk","channel 2")</f>
        <v>channel 2</v>
      </c>
    </row>
    <row r="7">
      <c r="B7" s="110" t="s">
        <v>4061</v>
      </c>
      <c r="C7" s="135" t="s">
        <v>164</v>
      </c>
      <c r="D7" s="112" t="s">
        <v>1535</v>
      </c>
      <c r="E7" s="11" t="str">
        <f>HYPERLINK("https://youtu.be/YHGwARxX2z4","channel 1")</f>
        <v>channel 1</v>
      </c>
    </row>
    <row r="8">
      <c r="B8" s="110" t="s">
        <v>4243</v>
      </c>
      <c r="C8" s="135" t="s">
        <v>18</v>
      </c>
      <c r="D8" s="112" t="s">
        <v>1870</v>
      </c>
      <c r="E8" s="139" t="str">
        <f>HYPERLINK("https://youtu.be/JprB-FSmH2E","channel 2")</f>
        <v>channel 2</v>
      </c>
    </row>
    <row r="9">
      <c r="B9" s="110" t="s">
        <v>4061</v>
      </c>
      <c r="C9" s="135" t="s">
        <v>251</v>
      </c>
      <c r="D9" s="112" t="s">
        <v>4383</v>
      </c>
      <c r="E9" s="11" t="str">
        <f>HYPERLINK("https://youtu.be/zzzEZzFVNH0","channel 1")</f>
        <v>channel 1</v>
      </c>
    </row>
    <row r="10">
      <c r="B10" s="110" t="s">
        <v>1535</v>
      </c>
      <c r="C10" s="135" t="s">
        <v>219</v>
      </c>
      <c r="D10" s="112" t="s">
        <v>1870</v>
      </c>
      <c r="E10" s="139" t="str">
        <f>HYPERLINK("https://youtu.be/XGy2Gt5Oyos","channel 2")</f>
        <v>channel 2</v>
      </c>
    </row>
    <row r="11">
      <c r="B11" s="110" t="s">
        <v>4061</v>
      </c>
      <c r="C11" s="135" t="s">
        <v>4384</v>
      </c>
      <c r="D11" s="112" t="s">
        <v>4243</v>
      </c>
      <c r="E11" s="11" t="str">
        <f>HYPERLINK("https://youtu.be/C7hAaoBEN9w","channel 1")</f>
        <v>channel 1</v>
      </c>
    </row>
    <row r="12">
      <c r="B12" s="110" t="s">
        <v>1535</v>
      </c>
      <c r="C12" s="135" t="s">
        <v>547</v>
      </c>
      <c r="D12" s="112" t="s">
        <v>4383</v>
      </c>
      <c r="E12" s="139" t="str">
        <f>HYPERLINK("https://youtu.be/GL7fvsQgPe8","channel 2")</f>
        <v>channel 2</v>
      </c>
    </row>
    <row r="13">
      <c r="B13" s="110" t="s">
        <v>4383</v>
      </c>
      <c r="C13" s="135" t="s">
        <v>219</v>
      </c>
      <c r="D13" s="112" t="s">
        <v>1870</v>
      </c>
      <c r="E13" s="11" t="str">
        <f>HYPERLINK("https://youtu.be/6H7X_UcvTwI","channel 1")</f>
        <v>channel 1</v>
      </c>
    </row>
    <row r="14">
      <c r="B14" s="110" t="s">
        <v>1535</v>
      </c>
      <c r="C14" s="135" t="s">
        <v>181</v>
      </c>
      <c r="D14" s="112" t="s">
        <v>4243</v>
      </c>
      <c r="E14" s="139" t="str">
        <f>HYPERLINK("https://youtu.be/UFanh5a2RFc","channel 2")</f>
        <v>channel 2</v>
      </c>
    </row>
    <row r="15">
      <c r="B15" s="110" t="s">
        <v>1870</v>
      </c>
      <c r="C15" s="135" t="s">
        <v>477</v>
      </c>
      <c r="D15" s="112" t="s">
        <v>4061</v>
      </c>
      <c r="E15" s="11" t="str">
        <f>HYPERLINK("https://youtu.be/qGK8DQ9fGjE","channel 1")</f>
        <v>channel 1</v>
      </c>
    </row>
    <row r="16">
      <c r="B16" s="110" t="s">
        <v>4383</v>
      </c>
      <c r="C16" s="135" t="s">
        <v>525</v>
      </c>
      <c r="D16" s="112" t="s">
        <v>4243</v>
      </c>
      <c r="E16" s="139" t="str">
        <f>HYPERLINK("https://youtu.be/30M_1CgvNEU","channel 2")</f>
        <v>channel 2</v>
      </c>
    </row>
    <row r="17">
      <c r="B17" s="110" t="s">
        <v>1535</v>
      </c>
      <c r="C17" s="135" t="s">
        <v>394</v>
      </c>
      <c r="D17" s="112" t="s">
        <v>4061</v>
      </c>
      <c r="E17" s="11" t="str">
        <f>HYPERLINK("https://youtu.be/A8r6efo96v8","channel 1")</f>
        <v>channel 1</v>
      </c>
    </row>
    <row r="18">
      <c r="B18" s="110" t="s">
        <v>1870</v>
      </c>
      <c r="C18" s="135" t="s">
        <v>225</v>
      </c>
      <c r="D18" s="112" t="s">
        <v>4243</v>
      </c>
      <c r="E18" s="139" t="str">
        <f>HYPERLINK("https://youtu.be/PpQSAmdrH7A","channel 2")</f>
        <v>channel 2</v>
      </c>
    </row>
    <row r="19">
      <c r="B19" s="110" t="s">
        <v>4383</v>
      </c>
      <c r="C19" s="135" t="s">
        <v>165</v>
      </c>
      <c r="D19" s="112" t="s">
        <v>4061</v>
      </c>
      <c r="E19" s="11" t="str">
        <f>HYPERLINK("https://youtu.be/rzOqh4ETIm4","channel 1")</f>
        <v>channel 1</v>
      </c>
    </row>
    <row r="20">
      <c r="B20" s="110" t="s">
        <v>1870</v>
      </c>
      <c r="C20" s="135" t="s">
        <v>442</v>
      </c>
      <c r="D20" s="112" t="s">
        <v>1535</v>
      </c>
      <c r="E20" s="139" t="str">
        <f>HYPERLINK("https://youtu.be/SoehULYNFls","channel 2")</f>
        <v>channel 2</v>
      </c>
    </row>
    <row r="21">
      <c r="B21" s="110" t="s">
        <v>4243</v>
      </c>
      <c r="C21" s="135" t="s">
        <v>185</v>
      </c>
      <c r="D21" s="112" t="s">
        <v>4061</v>
      </c>
      <c r="E21" s="11" t="str">
        <f>HYPERLINK("https://youtu.be/0__04TAh2g8","channel 1")</f>
        <v>channel 1</v>
      </c>
    </row>
    <row r="22">
      <c r="B22" s="110" t="s">
        <v>4383</v>
      </c>
      <c r="C22" s="135" t="s">
        <v>278</v>
      </c>
      <c r="D22" s="112" t="s">
        <v>1535</v>
      </c>
      <c r="E22" s="139" t="str">
        <f>HYPERLINK("https://youtu.be/ia1tu1jZViI","channel 2")</f>
        <v>channel 2</v>
      </c>
    </row>
    <row r="23">
      <c r="B23" s="188" t="s">
        <v>3737</v>
      </c>
      <c r="C23" s="37"/>
      <c r="D23" s="38"/>
      <c r="E23" s="118"/>
    </row>
    <row r="24">
      <c r="B24" s="174" t="s">
        <v>2</v>
      </c>
      <c r="C24" s="109" t="s">
        <v>3</v>
      </c>
      <c r="D24" s="29" t="s">
        <v>4</v>
      </c>
      <c r="E24" s="29" t="s">
        <v>5</v>
      </c>
    </row>
    <row r="25">
      <c r="B25" s="110" t="s">
        <v>550</v>
      </c>
      <c r="C25" s="135" t="s">
        <v>218</v>
      </c>
      <c r="D25" s="112" t="s">
        <v>4385</v>
      </c>
      <c r="E25" s="11" t="str">
        <f>HYPERLINK("https://youtu.be/DRg58_iOdlI","channel 1")</f>
        <v>channel 1</v>
      </c>
    </row>
    <row r="26">
      <c r="B26" s="110" t="s">
        <v>4386</v>
      </c>
      <c r="C26" s="135" t="s">
        <v>38</v>
      </c>
      <c r="D26" s="112" t="s">
        <v>883</v>
      </c>
      <c r="E26" s="139" t="str">
        <f>HYPERLINK("https://youtu.be/VqPtQjRXZEE","channel 2")</f>
        <v>channel 2</v>
      </c>
    </row>
    <row r="27">
      <c r="B27" s="110" t="s">
        <v>3932</v>
      </c>
      <c r="C27" s="135" t="s">
        <v>394</v>
      </c>
      <c r="D27" s="112" t="s">
        <v>550</v>
      </c>
      <c r="E27" s="11" t="str">
        <f>HYPERLINK("https://youtu.be/_2ZoLf-k5xM","channel 1")</f>
        <v>channel 1</v>
      </c>
    </row>
    <row r="28">
      <c r="B28" s="110" t="s">
        <v>4386</v>
      </c>
      <c r="C28" s="135" t="s">
        <v>38</v>
      </c>
      <c r="D28" s="112" t="s">
        <v>4385</v>
      </c>
      <c r="E28" s="139" t="str">
        <f>HYPERLINK("https://youtu.be/yyX6mOyHXBw","channel 2")</f>
        <v>channel 2</v>
      </c>
    </row>
    <row r="29">
      <c r="B29" s="110" t="s">
        <v>3932</v>
      </c>
      <c r="C29" s="135" t="s">
        <v>220</v>
      </c>
      <c r="D29" s="112" t="s">
        <v>883</v>
      </c>
      <c r="E29" s="11" t="str">
        <f>HYPERLINK("https://youtu.be/PIybCQcXp6k","channel 1")</f>
        <v>channel 1</v>
      </c>
    </row>
    <row r="30">
      <c r="B30" s="110" t="s">
        <v>4386</v>
      </c>
      <c r="C30" s="135" t="s">
        <v>196</v>
      </c>
      <c r="D30" s="112" t="s">
        <v>550</v>
      </c>
      <c r="E30" s="139" t="str">
        <f>HYPERLINK("https://youtu.be/FVDjnYYnWxU","channel 2")</f>
        <v>channel 2</v>
      </c>
    </row>
    <row r="31">
      <c r="B31" s="110" t="s">
        <v>3932</v>
      </c>
      <c r="C31" s="135" t="s">
        <v>281</v>
      </c>
      <c r="D31" s="112" t="s">
        <v>4385</v>
      </c>
      <c r="E31" s="11" t="str">
        <f>HYPERLINK("https://youtu.be/mYJzgHbg-zM","channel 1")</f>
        <v>channel 1</v>
      </c>
    </row>
    <row r="32">
      <c r="B32" s="110" t="s">
        <v>883</v>
      </c>
      <c r="C32" s="135" t="s">
        <v>465</v>
      </c>
      <c r="D32" s="112" t="s">
        <v>550</v>
      </c>
      <c r="E32" s="139" t="str">
        <f>HYPERLINK("https://youtu.be/yzl_PsCHLmM","channel 2")</f>
        <v>channel 2</v>
      </c>
    </row>
    <row r="33">
      <c r="B33" s="110" t="s">
        <v>3932</v>
      </c>
      <c r="C33" s="135" t="s">
        <v>161</v>
      </c>
      <c r="D33" s="112" t="s">
        <v>4386</v>
      </c>
      <c r="E33" s="11" t="str">
        <f>HYPERLINK("https://youtu.be/9lLccTPI2Lw","channel 1")</f>
        <v>channel 1</v>
      </c>
    </row>
    <row r="34">
      <c r="B34" s="110" t="s">
        <v>883</v>
      </c>
      <c r="C34" s="135" t="s">
        <v>203</v>
      </c>
      <c r="D34" s="112" t="s">
        <v>4385</v>
      </c>
      <c r="E34" s="139" t="str">
        <f>HYPERLINK("https://youtu.be/AkoL6WKilxo","channel 2")</f>
        <v>channel 2</v>
      </c>
    </row>
    <row r="35">
      <c r="B35" s="110" t="s">
        <v>4385</v>
      </c>
      <c r="C35" s="135" t="s">
        <v>517</v>
      </c>
      <c r="D35" s="112" t="s">
        <v>550</v>
      </c>
      <c r="E35" s="11" t="str">
        <f>HYPERLINK("https://youtu.be/R70xT-SrFes","channel 1")</f>
        <v>channel 1</v>
      </c>
    </row>
    <row r="36">
      <c r="B36" s="110" t="s">
        <v>883</v>
      </c>
      <c r="C36" s="135" t="s">
        <v>181</v>
      </c>
      <c r="D36" s="112" t="s">
        <v>4386</v>
      </c>
      <c r="E36" s="139" t="str">
        <f>HYPERLINK("https://youtu.be/xHg-PRgvDYw","channel 2")</f>
        <v>channel 2</v>
      </c>
    </row>
    <row r="37">
      <c r="B37" s="110" t="s">
        <v>550</v>
      </c>
      <c r="C37" s="135" t="s">
        <v>193</v>
      </c>
      <c r="D37" s="112" t="s">
        <v>3932</v>
      </c>
      <c r="E37" s="11" t="str">
        <f>HYPERLINK("https://youtu.be/SG6ivxr2quA","channel 1")</f>
        <v>channel 1</v>
      </c>
    </row>
    <row r="38">
      <c r="B38" s="110" t="s">
        <v>4385</v>
      </c>
      <c r="C38" s="135" t="s">
        <v>440</v>
      </c>
      <c r="D38" s="112" t="s">
        <v>4386</v>
      </c>
      <c r="E38" s="139" t="str">
        <f>HYPERLINK("https://youtu.be/QPoB5T__ZBw","channel 2")</f>
        <v>channel 2</v>
      </c>
    </row>
    <row r="39">
      <c r="B39" s="110" t="s">
        <v>883</v>
      </c>
      <c r="C39" s="135" t="s">
        <v>292</v>
      </c>
      <c r="D39" s="112" t="s">
        <v>3932</v>
      </c>
      <c r="E39" s="11" t="str">
        <f>HYPERLINK("https://youtu.be/dUqn-ywgEcI","channel 1")</f>
        <v>channel 1</v>
      </c>
    </row>
    <row r="40">
      <c r="B40" s="110" t="s">
        <v>550</v>
      </c>
      <c r="C40" s="135" t="s">
        <v>166</v>
      </c>
      <c r="D40" s="112" t="s">
        <v>4386</v>
      </c>
      <c r="E40" s="139" t="str">
        <f>HYPERLINK("https://youtu.be/KqM3DUbJgsI","channel 2")</f>
        <v>channel 2</v>
      </c>
    </row>
    <row r="41">
      <c r="B41" s="110" t="s">
        <v>4385</v>
      </c>
      <c r="C41" s="135" t="s">
        <v>1389</v>
      </c>
      <c r="D41" s="112" t="s">
        <v>3932</v>
      </c>
      <c r="E41" s="11" t="str">
        <f>HYPERLINK("https://youtu.be/7_Uhc81dErk","channel 1")</f>
        <v>channel 1</v>
      </c>
    </row>
    <row r="42">
      <c r="B42" s="110" t="s">
        <v>550</v>
      </c>
      <c r="C42" s="135" t="s">
        <v>271</v>
      </c>
      <c r="D42" s="112" t="s">
        <v>883</v>
      </c>
      <c r="E42" s="139" t="str">
        <f>HYPERLINK("https://youtu.be/S1b3RDwRRFY","channel 2")</f>
        <v>channel 2</v>
      </c>
    </row>
    <row r="43">
      <c r="B43" s="110" t="s">
        <v>4386</v>
      </c>
      <c r="C43" s="135" t="s">
        <v>20</v>
      </c>
      <c r="D43" s="112" t="s">
        <v>3932</v>
      </c>
      <c r="E43" s="11" t="str">
        <f>HYPERLINK("https://youtu.be/lKUAKh-Q9fk","channel 1")</f>
        <v>channel 1</v>
      </c>
    </row>
    <row r="44">
      <c r="B44" s="110" t="s">
        <v>4385</v>
      </c>
      <c r="C44" s="135" t="s">
        <v>545</v>
      </c>
      <c r="D44" s="112" t="s">
        <v>883</v>
      </c>
      <c r="E44" s="139" t="str">
        <f>HYPERLINK("https://youtu.be/5S88gfGiiUU","channel 2")</f>
        <v>channel 2</v>
      </c>
    </row>
    <row r="45">
      <c r="B45" s="172"/>
      <c r="C45" s="172"/>
      <c r="D45" s="172"/>
      <c r="E45" s="172"/>
    </row>
    <row r="46">
      <c r="B46" s="172"/>
      <c r="C46" s="172"/>
      <c r="D46" s="172"/>
      <c r="E46" s="172"/>
    </row>
    <row r="47">
      <c r="B47" s="172"/>
      <c r="C47" s="172"/>
      <c r="D47" s="172"/>
      <c r="E47" s="172"/>
    </row>
    <row r="48">
      <c r="B48" s="172"/>
      <c r="C48" s="172"/>
      <c r="D48" s="172"/>
      <c r="E48" s="172"/>
    </row>
    <row r="49">
      <c r="B49" s="172"/>
      <c r="C49" s="172"/>
      <c r="D49" s="172"/>
      <c r="E49" s="172"/>
    </row>
    <row r="50">
      <c r="B50" s="172"/>
      <c r="C50" s="172"/>
      <c r="D50" s="172"/>
      <c r="E50" s="172"/>
    </row>
    <row r="51">
      <c r="B51" s="172"/>
      <c r="C51" s="172"/>
      <c r="D51" s="172"/>
      <c r="E51" s="172"/>
    </row>
    <row r="52">
      <c r="B52" s="172"/>
      <c r="C52" s="172"/>
      <c r="D52" s="172"/>
      <c r="E52" s="172"/>
    </row>
    <row r="53">
      <c r="B53" s="172"/>
      <c r="C53" s="172"/>
      <c r="D53" s="172"/>
      <c r="E53" s="172"/>
    </row>
    <row r="54">
      <c r="B54" s="172"/>
      <c r="C54" s="172"/>
      <c r="D54" s="172"/>
      <c r="E54" s="172"/>
    </row>
    <row r="55">
      <c r="B55" s="172"/>
      <c r="C55" s="172"/>
      <c r="D55" s="172"/>
      <c r="E55" s="172"/>
    </row>
    <row r="56">
      <c r="B56" s="172"/>
      <c r="C56" s="172"/>
      <c r="D56" s="172"/>
      <c r="E56" s="172"/>
    </row>
    <row r="57">
      <c r="B57" s="172"/>
      <c r="C57" s="172"/>
      <c r="D57" s="172"/>
      <c r="E57" s="172"/>
    </row>
    <row r="58">
      <c r="B58" s="172"/>
      <c r="C58" s="172"/>
      <c r="D58" s="172"/>
      <c r="E58" s="172"/>
    </row>
    <row r="59">
      <c r="B59" s="172"/>
      <c r="C59" s="172"/>
      <c r="D59" s="172"/>
      <c r="E59" s="172"/>
    </row>
    <row r="60">
      <c r="B60" s="172"/>
      <c r="C60" s="172"/>
      <c r="D60" s="172"/>
      <c r="E60" s="172"/>
    </row>
    <row r="61">
      <c r="B61" s="172"/>
      <c r="C61" s="172"/>
      <c r="D61" s="172"/>
      <c r="E61" s="172"/>
    </row>
    <row r="62">
      <c r="B62" s="172"/>
      <c r="C62" s="172"/>
      <c r="D62" s="172"/>
      <c r="E62" s="172"/>
    </row>
    <row r="63">
      <c r="B63" s="172"/>
      <c r="C63" s="172"/>
      <c r="D63" s="172"/>
      <c r="E63" s="172"/>
    </row>
    <row r="64">
      <c r="B64" s="172"/>
      <c r="C64" s="172"/>
      <c r="D64" s="172"/>
      <c r="E64" s="172"/>
    </row>
    <row r="65">
      <c r="B65" s="172"/>
      <c r="C65" s="172"/>
      <c r="D65" s="172"/>
      <c r="E65" s="172"/>
    </row>
    <row r="66">
      <c r="B66" s="172"/>
      <c r="C66" s="172"/>
      <c r="D66" s="172"/>
      <c r="E66" s="172"/>
    </row>
    <row r="67">
      <c r="B67" s="172"/>
      <c r="C67" s="172"/>
      <c r="D67" s="172"/>
      <c r="E67" s="172"/>
    </row>
    <row r="68">
      <c r="B68" s="172"/>
      <c r="C68" s="172"/>
      <c r="D68" s="172"/>
      <c r="E68" s="172"/>
    </row>
    <row r="69">
      <c r="B69" s="172"/>
      <c r="C69" s="172"/>
      <c r="D69" s="172"/>
      <c r="E69" s="172"/>
    </row>
    <row r="70">
      <c r="B70" s="172"/>
      <c r="C70" s="172"/>
      <c r="D70" s="172"/>
      <c r="E70" s="172"/>
    </row>
    <row r="71">
      <c r="B71" s="172"/>
      <c r="C71" s="172"/>
      <c r="D71" s="172"/>
      <c r="E71" s="172"/>
    </row>
    <row r="72">
      <c r="B72" s="172"/>
      <c r="C72" s="172"/>
      <c r="D72" s="172"/>
      <c r="E72" s="172"/>
    </row>
    <row r="73">
      <c r="B73" s="172"/>
      <c r="C73" s="172"/>
      <c r="D73" s="172"/>
      <c r="E73" s="172"/>
    </row>
    <row r="74">
      <c r="B74" s="172"/>
      <c r="C74" s="172"/>
      <c r="D74" s="172"/>
      <c r="E74" s="172"/>
    </row>
    <row r="75">
      <c r="B75" s="172"/>
      <c r="C75" s="172"/>
      <c r="D75" s="172"/>
      <c r="E75" s="172"/>
    </row>
    <row r="76">
      <c r="B76" s="172"/>
      <c r="C76" s="172"/>
      <c r="D76" s="172"/>
      <c r="E76" s="172"/>
    </row>
    <row r="77">
      <c r="B77" s="172"/>
      <c r="C77" s="172"/>
      <c r="D77" s="172"/>
      <c r="E77" s="172"/>
    </row>
    <row r="78">
      <c r="B78" s="172"/>
      <c r="C78" s="172"/>
      <c r="D78" s="172"/>
      <c r="E78" s="172"/>
    </row>
    <row r="79">
      <c r="B79" s="172"/>
      <c r="C79" s="172"/>
      <c r="D79" s="172"/>
      <c r="E79" s="172"/>
    </row>
    <row r="80">
      <c r="B80" s="172"/>
      <c r="C80" s="172"/>
      <c r="D80" s="172"/>
      <c r="E80" s="172"/>
    </row>
    <row r="81">
      <c r="B81" s="172"/>
      <c r="C81" s="172"/>
      <c r="D81" s="172"/>
      <c r="E81" s="172"/>
    </row>
    <row r="82">
      <c r="B82" s="172"/>
      <c r="C82" s="172"/>
      <c r="D82" s="172"/>
      <c r="E82" s="172"/>
    </row>
    <row r="83">
      <c r="B83" s="172"/>
      <c r="C83" s="172"/>
      <c r="D83" s="172"/>
      <c r="E83" s="172"/>
    </row>
    <row r="84">
      <c r="B84" s="172"/>
      <c r="C84" s="172"/>
      <c r="D84" s="172"/>
      <c r="E84" s="172"/>
    </row>
    <row r="85">
      <c r="B85" s="172"/>
      <c r="C85" s="172"/>
      <c r="D85" s="172"/>
      <c r="E85" s="172"/>
    </row>
    <row r="86">
      <c r="B86" s="172"/>
      <c r="C86" s="172"/>
      <c r="D86" s="172"/>
      <c r="E86" s="172"/>
    </row>
    <row r="87">
      <c r="B87" s="172"/>
      <c r="C87" s="172"/>
      <c r="D87" s="172"/>
      <c r="E87" s="172"/>
    </row>
    <row r="88">
      <c r="B88" s="172"/>
      <c r="C88" s="172"/>
      <c r="D88" s="172"/>
      <c r="E88" s="172"/>
    </row>
    <row r="89">
      <c r="B89" s="172"/>
      <c r="C89" s="172"/>
      <c r="D89" s="172"/>
      <c r="E89" s="172"/>
    </row>
    <row r="90">
      <c r="B90" s="172"/>
      <c r="C90" s="172"/>
      <c r="D90" s="172"/>
      <c r="E90" s="172"/>
    </row>
    <row r="91">
      <c r="B91" s="172"/>
      <c r="C91" s="172"/>
      <c r="D91" s="172"/>
      <c r="E91" s="172"/>
    </row>
    <row r="92">
      <c r="B92" s="172"/>
      <c r="C92" s="172"/>
      <c r="D92" s="172"/>
      <c r="E92" s="172"/>
    </row>
    <row r="93">
      <c r="B93" s="172"/>
      <c r="C93" s="172"/>
      <c r="D93" s="172"/>
      <c r="E93" s="172"/>
    </row>
    <row r="94">
      <c r="B94" s="172"/>
      <c r="C94" s="172"/>
      <c r="D94" s="172"/>
      <c r="E94" s="172"/>
    </row>
    <row r="95">
      <c r="B95" s="172"/>
      <c r="C95" s="172"/>
      <c r="D95" s="172"/>
      <c r="E95" s="172"/>
    </row>
    <row r="96">
      <c r="B96" s="172"/>
      <c r="C96" s="172"/>
      <c r="D96" s="172"/>
      <c r="E96" s="172"/>
    </row>
    <row r="97">
      <c r="B97" s="172"/>
      <c r="C97" s="172"/>
      <c r="D97" s="172"/>
      <c r="E97" s="172"/>
    </row>
    <row r="98">
      <c r="B98" s="172"/>
      <c r="C98" s="172"/>
      <c r="D98" s="172"/>
      <c r="E98" s="172"/>
    </row>
    <row r="99">
      <c r="B99" s="172"/>
      <c r="C99" s="172"/>
      <c r="D99" s="172"/>
      <c r="E99" s="172"/>
    </row>
    <row r="100">
      <c r="B100" s="172"/>
      <c r="C100" s="172"/>
      <c r="D100" s="172"/>
      <c r="E100" s="172"/>
    </row>
    <row r="101">
      <c r="B101" s="172"/>
      <c r="C101" s="172"/>
      <c r="D101" s="172"/>
      <c r="E101" s="172"/>
    </row>
    <row r="102">
      <c r="B102" s="172"/>
      <c r="C102" s="172"/>
      <c r="D102" s="172"/>
      <c r="E102" s="172"/>
    </row>
    <row r="103">
      <c r="B103" s="42"/>
      <c r="C103" s="42"/>
      <c r="D103" s="42"/>
      <c r="E103" s="42"/>
    </row>
    <row r="104">
      <c r="B104" s="42"/>
      <c r="C104" s="42"/>
      <c r="D104" s="42"/>
      <c r="E104" s="42"/>
    </row>
    <row r="105">
      <c r="B105" s="42"/>
      <c r="C105" s="42"/>
      <c r="D105" s="42"/>
      <c r="E105" s="42"/>
    </row>
    <row r="106">
      <c r="B106" s="42"/>
      <c r="C106" s="42"/>
      <c r="D106" s="42"/>
      <c r="E106" s="42"/>
    </row>
    <row r="107">
      <c r="B107" s="42"/>
      <c r="C107" s="42"/>
      <c r="D107" s="42"/>
      <c r="E107" s="42"/>
    </row>
    <row r="108">
      <c r="B108" s="42"/>
      <c r="C108" s="42"/>
      <c r="D108" s="42"/>
      <c r="E108" s="42"/>
    </row>
    <row r="109">
      <c r="B109" s="42"/>
      <c r="C109" s="42"/>
      <c r="D109" s="42"/>
      <c r="E109" s="42"/>
    </row>
    <row r="110">
      <c r="B110" s="42"/>
      <c r="C110" s="42"/>
      <c r="D110" s="42"/>
      <c r="E110" s="42"/>
    </row>
    <row r="111">
      <c r="B111" s="42"/>
      <c r="C111" s="42"/>
      <c r="D111" s="42"/>
      <c r="E111" s="42"/>
    </row>
    <row r="112">
      <c r="B112" s="42"/>
      <c r="C112" s="42"/>
      <c r="D112" s="42"/>
      <c r="E112" s="42"/>
    </row>
    <row r="113">
      <c r="B113" s="42"/>
      <c r="C113" s="42"/>
      <c r="D113" s="42"/>
      <c r="E113" s="42"/>
    </row>
    <row r="114">
      <c r="B114" s="42"/>
      <c r="C114" s="42"/>
      <c r="D114" s="42"/>
      <c r="E114" s="42"/>
    </row>
    <row r="115">
      <c r="B115" s="42"/>
      <c r="C115" s="42"/>
      <c r="D115" s="42"/>
      <c r="E115" s="42"/>
    </row>
    <row r="116">
      <c r="B116" s="42"/>
      <c r="C116" s="42"/>
      <c r="D116" s="42"/>
      <c r="E116" s="42"/>
    </row>
    <row r="117">
      <c r="B117" s="42"/>
      <c r="C117" s="42"/>
      <c r="D117" s="42"/>
      <c r="E117" s="42"/>
    </row>
    <row r="118">
      <c r="B118" s="42"/>
      <c r="C118" s="42"/>
      <c r="D118" s="42"/>
      <c r="E118" s="42"/>
    </row>
    <row r="119">
      <c r="B119" s="42"/>
      <c r="C119" s="42"/>
      <c r="D119" s="42"/>
      <c r="E119" s="42"/>
    </row>
    <row r="120">
      <c r="B120" s="42"/>
      <c r="C120" s="42"/>
      <c r="D120" s="42"/>
      <c r="E120" s="42"/>
    </row>
    <row r="121">
      <c r="B121" s="42"/>
      <c r="C121" s="42"/>
      <c r="D121" s="42"/>
      <c r="E121" s="42"/>
    </row>
    <row r="122">
      <c r="B122" s="42"/>
      <c r="C122" s="42"/>
      <c r="D122" s="42"/>
      <c r="E122" s="42"/>
    </row>
    <row r="123">
      <c r="B123" s="42"/>
      <c r="C123" s="42"/>
      <c r="D123" s="42"/>
      <c r="E123" s="42"/>
    </row>
    <row r="124">
      <c r="B124" s="42"/>
      <c r="C124" s="42"/>
      <c r="D124" s="42"/>
      <c r="E124" s="42"/>
    </row>
    <row r="125">
      <c r="B125" s="42"/>
      <c r="C125" s="42"/>
      <c r="D125" s="42"/>
      <c r="E125" s="42"/>
    </row>
    <row r="126">
      <c r="B126" s="42"/>
      <c r="C126" s="42"/>
      <c r="D126" s="42"/>
      <c r="E126" s="42"/>
    </row>
    <row r="127">
      <c r="B127" s="42"/>
      <c r="C127" s="42"/>
      <c r="D127" s="42"/>
      <c r="E127" s="42"/>
    </row>
    <row r="128">
      <c r="B128" s="42"/>
      <c r="C128" s="42"/>
      <c r="D128" s="42"/>
      <c r="E128" s="42"/>
    </row>
    <row r="129">
      <c r="B129" s="42"/>
      <c r="C129" s="42"/>
      <c r="D129" s="42"/>
      <c r="E129" s="42"/>
    </row>
    <row r="130">
      <c r="B130" s="42"/>
      <c r="C130" s="42"/>
      <c r="D130" s="42"/>
      <c r="E130" s="42"/>
    </row>
    <row r="131">
      <c r="B131" s="42"/>
      <c r="C131" s="42"/>
      <c r="D131" s="42"/>
      <c r="E131" s="42"/>
    </row>
    <row r="132">
      <c r="B132" s="42"/>
      <c r="C132" s="42"/>
      <c r="D132" s="42"/>
      <c r="E132" s="42"/>
    </row>
    <row r="133">
      <c r="B133" s="42"/>
      <c r="C133" s="42"/>
      <c r="D133" s="42"/>
      <c r="E133" s="42"/>
    </row>
    <row r="134">
      <c r="B134" s="42"/>
      <c r="C134" s="42"/>
      <c r="D134" s="42"/>
      <c r="E134" s="42"/>
    </row>
    <row r="135">
      <c r="B135" s="42"/>
      <c r="C135" s="42"/>
      <c r="D135" s="42"/>
      <c r="E135" s="42"/>
    </row>
    <row r="136">
      <c r="B136" s="42"/>
      <c r="C136" s="42"/>
      <c r="D136" s="42"/>
      <c r="E136" s="42"/>
    </row>
    <row r="137">
      <c r="B137" s="42"/>
      <c r="C137" s="42"/>
      <c r="D137" s="42"/>
      <c r="E137" s="42"/>
    </row>
    <row r="138">
      <c r="B138" s="42"/>
      <c r="C138" s="42"/>
      <c r="D138" s="42"/>
      <c r="E138" s="42"/>
    </row>
    <row r="139">
      <c r="B139" s="42"/>
      <c r="C139" s="42"/>
      <c r="D139" s="42"/>
      <c r="E139" s="42"/>
    </row>
    <row r="140">
      <c r="B140" s="42"/>
      <c r="C140" s="42"/>
      <c r="D140" s="42"/>
      <c r="E140" s="42"/>
    </row>
    <row r="141">
      <c r="B141" s="42"/>
      <c r="C141" s="42"/>
      <c r="D141" s="42"/>
      <c r="E141" s="42"/>
    </row>
    <row r="142">
      <c r="B142" s="42"/>
      <c r="C142" s="42"/>
      <c r="D142" s="42"/>
      <c r="E142" s="42"/>
    </row>
    <row r="143">
      <c r="B143" s="42"/>
      <c r="C143" s="42"/>
      <c r="D143" s="42"/>
      <c r="E143" s="42"/>
    </row>
    <row r="144">
      <c r="B144" s="42"/>
      <c r="C144" s="42"/>
      <c r="D144" s="42"/>
      <c r="E144" s="42"/>
    </row>
    <row r="145">
      <c r="B145" s="42"/>
      <c r="C145" s="42"/>
      <c r="D145" s="42"/>
      <c r="E145" s="42"/>
    </row>
    <row r="146">
      <c r="B146" s="42"/>
      <c r="C146" s="42"/>
      <c r="D146" s="42"/>
      <c r="E146" s="42"/>
    </row>
    <row r="147">
      <c r="B147" s="42"/>
      <c r="C147" s="42"/>
      <c r="D147" s="42"/>
      <c r="E147" s="42"/>
    </row>
    <row r="148">
      <c r="B148" s="42"/>
      <c r="C148" s="42"/>
      <c r="D148" s="42"/>
      <c r="E148" s="42"/>
    </row>
    <row r="149">
      <c r="B149" s="42"/>
      <c r="C149" s="42"/>
      <c r="D149" s="42"/>
      <c r="E149" s="42"/>
    </row>
    <row r="150">
      <c r="B150" s="42"/>
      <c r="C150" s="42"/>
      <c r="D150" s="42"/>
      <c r="E150" s="42"/>
    </row>
    <row r="151">
      <c r="B151" s="42"/>
      <c r="C151" s="42"/>
      <c r="D151" s="42"/>
      <c r="E151" s="42"/>
    </row>
    <row r="152">
      <c r="B152" s="42"/>
      <c r="C152" s="42"/>
      <c r="D152" s="42"/>
      <c r="E152" s="42"/>
    </row>
    <row r="153">
      <c r="B153" s="42"/>
      <c r="C153" s="42"/>
      <c r="D153" s="42"/>
      <c r="E153" s="42"/>
    </row>
    <row r="154">
      <c r="B154" s="42"/>
      <c r="C154" s="42"/>
      <c r="D154" s="42"/>
      <c r="E154" s="42"/>
    </row>
    <row r="155">
      <c r="B155" s="42"/>
      <c r="C155" s="42"/>
      <c r="D155" s="42"/>
      <c r="E155" s="42"/>
    </row>
    <row r="156">
      <c r="B156" s="42"/>
      <c r="C156" s="42"/>
      <c r="D156" s="42"/>
      <c r="E156" s="42"/>
    </row>
    <row r="157">
      <c r="B157" s="42"/>
      <c r="C157" s="42"/>
      <c r="D157" s="42"/>
      <c r="E157" s="42"/>
    </row>
    <row r="158">
      <c r="B158" s="42"/>
      <c r="C158" s="42"/>
      <c r="D158" s="42"/>
      <c r="E158" s="42"/>
    </row>
    <row r="159">
      <c r="B159" s="42"/>
      <c r="C159" s="42"/>
      <c r="D159" s="42"/>
      <c r="E159" s="42"/>
    </row>
    <row r="160">
      <c r="B160" s="42"/>
      <c r="C160" s="42"/>
      <c r="D160" s="42"/>
      <c r="E160" s="42"/>
    </row>
    <row r="161">
      <c r="B161" s="42"/>
      <c r="C161" s="42"/>
      <c r="D161" s="42"/>
      <c r="E161" s="42"/>
    </row>
    <row r="162">
      <c r="B162" s="42"/>
      <c r="C162" s="42"/>
      <c r="D162" s="42"/>
      <c r="E162" s="42"/>
    </row>
    <row r="163">
      <c r="B163" s="42"/>
      <c r="C163" s="42"/>
      <c r="D163" s="42"/>
      <c r="E163" s="42"/>
    </row>
    <row r="164">
      <c r="B164" s="42"/>
      <c r="C164" s="42"/>
      <c r="D164" s="42"/>
      <c r="E164" s="42"/>
    </row>
    <row r="165">
      <c r="B165" s="42"/>
      <c r="C165" s="42"/>
      <c r="D165" s="42"/>
      <c r="E165" s="42"/>
    </row>
    <row r="166">
      <c r="B166" s="42"/>
      <c r="C166" s="42"/>
      <c r="D166" s="42"/>
      <c r="E166" s="42"/>
    </row>
    <row r="167">
      <c r="B167" s="42"/>
      <c r="C167" s="42"/>
      <c r="D167" s="42"/>
      <c r="E167" s="42"/>
    </row>
    <row r="168">
      <c r="B168" s="42"/>
      <c r="C168" s="42"/>
      <c r="D168" s="42"/>
      <c r="E168" s="42"/>
    </row>
    <row r="169">
      <c r="B169" s="42"/>
      <c r="C169" s="42"/>
      <c r="D169" s="42"/>
      <c r="E169" s="42"/>
    </row>
    <row r="170">
      <c r="B170" s="42"/>
      <c r="C170" s="42"/>
      <c r="D170" s="42"/>
      <c r="E170" s="42"/>
    </row>
    <row r="171">
      <c r="B171" s="42"/>
      <c r="C171" s="42"/>
      <c r="D171" s="42"/>
      <c r="E171" s="42"/>
    </row>
    <row r="172">
      <c r="B172" s="42"/>
      <c r="C172" s="42"/>
      <c r="D172" s="42"/>
      <c r="E172" s="42"/>
    </row>
    <row r="173">
      <c r="B173" s="42"/>
      <c r="C173" s="42"/>
      <c r="D173" s="42"/>
      <c r="E173" s="42"/>
    </row>
    <row r="174">
      <c r="B174" s="42"/>
      <c r="C174" s="42"/>
      <c r="D174" s="42"/>
      <c r="E174" s="42"/>
    </row>
    <row r="175">
      <c r="B175" s="42"/>
      <c r="C175" s="42"/>
      <c r="D175" s="42"/>
      <c r="E175" s="42"/>
    </row>
    <row r="176">
      <c r="B176" s="42"/>
      <c r="C176" s="42"/>
      <c r="D176" s="42"/>
      <c r="E176" s="42"/>
    </row>
    <row r="177">
      <c r="B177" s="42"/>
      <c r="C177" s="42"/>
      <c r="D177" s="42"/>
      <c r="E177" s="42"/>
    </row>
    <row r="178">
      <c r="B178" s="42"/>
      <c r="C178" s="42"/>
      <c r="D178" s="42"/>
      <c r="E178" s="42"/>
    </row>
    <row r="179">
      <c r="B179" s="42"/>
      <c r="C179" s="42"/>
      <c r="D179" s="42"/>
      <c r="E179" s="42"/>
    </row>
    <row r="180">
      <c r="B180" s="42"/>
      <c r="C180" s="42"/>
      <c r="D180" s="42"/>
      <c r="E180" s="42"/>
    </row>
    <row r="181">
      <c r="B181" s="42"/>
      <c r="C181" s="42"/>
      <c r="D181" s="42"/>
      <c r="E181" s="42"/>
    </row>
    <row r="182">
      <c r="B182" s="42"/>
      <c r="C182" s="42"/>
      <c r="D182" s="42"/>
      <c r="E182" s="42"/>
    </row>
    <row r="183">
      <c r="B183" s="42"/>
      <c r="C183" s="42"/>
      <c r="D183" s="42"/>
      <c r="E183" s="42"/>
    </row>
    <row r="184">
      <c r="B184" s="42"/>
      <c r="C184" s="42"/>
      <c r="D184" s="42"/>
      <c r="E184" s="42"/>
    </row>
    <row r="185">
      <c r="B185" s="42"/>
      <c r="C185" s="42"/>
      <c r="D185" s="42"/>
      <c r="E185" s="42"/>
    </row>
    <row r="186">
      <c r="B186" s="42"/>
      <c r="C186" s="42"/>
      <c r="D186" s="42"/>
      <c r="E186" s="42"/>
    </row>
    <row r="187">
      <c r="B187" s="42"/>
      <c r="C187" s="42"/>
      <c r="D187" s="42"/>
      <c r="E187" s="42"/>
    </row>
    <row r="188">
      <c r="B188" s="42"/>
      <c r="C188" s="42"/>
      <c r="D188" s="42"/>
      <c r="E188" s="42"/>
    </row>
    <row r="189">
      <c r="B189" s="42"/>
      <c r="C189" s="42"/>
      <c r="D189" s="42"/>
      <c r="E189" s="42"/>
    </row>
    <row r="190">
      <c r="B190" s="42"/>
      <c r="C190" s="42"/>
      <c r="D190" s="42"/>
      <c r="E190" s="42"/>
    </row>
    <row r="191">
      <c r="B191" s="42"/>
      <c r="C191" s="42"/>
      <c r="D191" s="42"/>
      <c r="E191" s="42"/>
    </row>
    <row r="192">
      <c r="B192" s="42"/>
      <c r="C192" s="42"/>
      <c r="D192" s="42"/>
      <c r="E192" s="42"/>
    </row>
    <row r="193">
      <c r="B193" s="42"/>
      <c r="C193" s="42"/>
      <c r="D193" s="42"/>
      <c r="E193" s="42"/>
    </row>
    <row r="194">
      <c r="B194" s="42"/>
      <c r="C194" s="42"/>
      <c r="D194" s="42"/>
      <c r="E194" s="42"/>
    </row>
    <row r="195">
      <c r="B195" s="42"/>
      <c r="C195" s="42"/>
      <c r="D195" s="42"/>
      <c r="E195" s="42"/>
    </row>
    <row r="196">
      <c r="B196" s="42"/>
      <c r="C196" s="42"/>
      <c r="D196" s="42"/>
      <c r="E196" s="42"/>
    </row>
    <row r="197">
      <c r="B197" s="42"/>
      <c r="C197" s="42"/>
      <c r="D197" s="42"/>
      <c r="E197" s="42"/>
    </row>
    <row r="198">
      <c r="B198" s="42"/>
      <c r="C198" s="42"/>
      <c r="D198" s="42"/>
      <c r="E198" s="42"/>
    </row>
    <row r="199">
      <c r="B199" s="42"/>
      <c r="C199" s="42"/>
      <c r="D199" s="42"/>
      <c r="E199" s="42"/>
    </row>
    <row r="200">
      <c r="B200" s="42"/>
      <c r="C200" s="42"/>
      <c r="D200" s="42"/>
      <c r="E200" s="42"/>
    </row>
    <row r="201">
      <c r="B201" s="42"/>
      <c r="C201" s="42"/>
      <c r="D201" s="42"/>
      <c r="E201" s="42"/>
    </row>
    <row r="202">
      <c r="B202" s="42"/>
      <c r="C202" s="42"/>
      <c r="D202" s="42"/>
      <c r="E202" s="42"/>
    </row>
    <row r="203">
      <c r="B203" s="42"/>
      <c r="C203" s="42"/>
      <c r="D203" s="42"/>
      <c r="E203" s="42"/>
    </row>
    <row r="204">
      <c r="B204" s="42"/>
      <c r="C204" s="42"/>
      <c r="D204" s="42"/>
      <c r="E204" s="42"/>
    </row>
    <row r="205">
      <c r="B205" s="42"/>
      <c r="C205" s="42"/>
      <c r="D205" s="42"/>
      <c r="E205" s="42"/>
    </row>
    <row r="206">
      <c r="B206" s="42"/>
      <c r="C206" s="42"/>
      <c r="D206" s="42"/>
      <c r="E206" s="42"/>
    </row>
    <row r="207">
      <c r="B207" s="42"/>
      <c r="C207" s="42"/>
      <c r="D207" s="42"/>
      <c r="E207" s="42"/>
    </row>
    <row r="208">
      <c r="B208" s="42"/>
      <c r="C208" s="42"/>
      <c r="D208" s="42"/>
      <c r="E208" s="42"/>
    </row>
    <row r="209">
      <c r="B209" s="42"/>
      <c r="C209" s="42"/>
      <c r="D209" s="42"/>
      <c r="E209" s="42"/>
    </row>
    <row r="210">
      <c r="B210" s="42"/>
      <c r="C210" s="42"/>
      <c r="D210" s="42"/>
      <c r="E210" s="42"/>
    </row>
    <row r="211">
      <c r="B211" s="42"/>
      <c r="C211" s="42"/>
      <c r="D211" s="42"/>
      <c r="E211" s="42"/>
    </row>
    <row r="212">
      <c r="B212" s="42"/>
      <c r="C212" s="42"/>
      <c r="D212" s="42"/>
      <c r="E212" s="42"/>
    </row>
    <row r="213">
      <c r="B213" s="42"/>
      <c r="C213" s="42"/>
      <c r="D213" s="42"/>
      <c r="E213" s="42"/>
    </row>
    <row r="214">
      <c r="B214" s="42"/>
      <c r="C214" s="42"/>
      <c r="D214" s="42"/>
      <c r="E214" s="42"/>
    </row>
    <row r="215">
      <c r="B215" s="42"/>
      <c r="C215" s="42"/>
      <c r="D215" s="42"/>
      <c r="E215" s="42"/>
    </row>
    <row r="216">
      <c r="B216" s="42"/>
      <c r="C216" s="42"/>
      <c r="D216" s="42"/>
      <c r="E216" s="42"/>
    </row>
    <row r="217">
      <c r="B217" s="42"/>
      <c r="C217" s="42"/>
      <c r="D217" s="42"/>
      <c r="E217" s="42"/>
    </row>
    <row r="218">
      <c r="B218" s="42"/>
      <c r="C218" s="42"/>
      <c r="D218" s="42"/>
      <c r="E218" s="42"/>
    </row>
    <row r="219">
      <c r="B219" s="42"/>
      <c r="C219" s="42"/>
      <c r="D219" s="42"/>
      <c r="E219" s="42"/>
    </row>
    <row r="220">
      <c r="B220" s="42"/>
      <c r="C220" s="42"/>
      <c r="D220" s="42"/>
      <c r="E220" s="42"/>
    </row>
    <row r="221">
      <c r="B221" s="42"/>
      <c r="C221" s="42"/>
      <c r="D221" s="42"/>
      <c r="E221" s="42"/>
    </row>
    <row r="222">
      <c r="B222" s="42"/>
      <c r="C222" s="42"/>
      <c r="D222" s="42"/>
      <c r="E222" s="42"/>
    </row>
    <row r="223">
      <c r="B223" s="42"/>
      <c r="C223" s="42"/>
      <c r="D223" s="42"/>
      <c r="E223" s="42"/>
    </row>
    <row r="224">
      <c r="B224" s="42"/>
      <c r="C224" s="42"/>
      <c r="D224" s="42"/>
      <c r="E224" s="42"/>
    </row>
    <row r="225">
      <c r="B225" s="42"/>
      <c r="C225" s="42"/>
      <c r="D225" s="42"/>
      <c r="E225" s="42"/>
    </row>
    <row r="226">
      <c r="B226" s="42"/>
      <c r="C226" s="42"/>
      <c r="D226" s="42"/>
      <c r="E226" s="42"/>
    </row>
    <row r="227">
      <c r="B227" s="42"/>
      <c r="C227" s="42"/>
      <c r="D227" s="42"/>
      <c r="E227" s="42"/>
    </row>
    <row r="228">
      <c r="B228" s="42"/>
      <c r="C228" s="42"/>
      <c r="D228" s="42"/>
      <c r="E228" s="42"/>
    </row>
    <row r="229">
      <c r="B229" s="42"/>
      <c r="C229" s="42"/>
      <c r="D229" s="42"/>
      <c r="E229" s="42"/>
    </row>
    <row r="230">
      <c r="B230" s="42"/>
      <c r="C230" s="42"/>
      <c r="D230" s="42"/>
      <c r="E230" s="42"/>
    </row>
    <row r="231">
      <c r="B231" s="42"/>
      <c r="C231" s="42"/>
      <c r="D231" s="42"/>
      <c r="E231" s="42"/>
    </row>
    <row r="232">
      <c r="B232" s="42"/>
      <c r="C232" s="42"/>
      <c r="D232" s="42"/>
      <c r="E232" s="42"/>
    </row>
    <row r="233">
      <c r="B233" s="42"/>
      <c r="C233" s="42"/>
      <c r="D233" s="42"/>
      <c r="E233" s="42"/>
    </row>
    <row r="234">
      <c r="B234" s="42"/>
      <c r="C234" s="42"/>
      <c r="D234" s="42"/>
      <c r="E234" s="42"/>
    </row>
    <row r="235">
      <c r="B235" s="42"/>
      <c r="C235" s="42"/>
      <c r="D235" s="42"/>
      <c r="E235" s="42"/>
    </row>
    <row r="236">
      <c r="B236" s="42"/>
      <c r="C236" s="42"/>
      <c r="D236" s="42"/>
      <c r="E236" s="42"/>
    </row>
    <row r="237">
      <c r="B237" s="42"/>
      <c r="C237" s="42"/>
      <c r="D237" s="42"/>
      <c r="E237" s="42"/>
    </row>
    <row r="238">
      <c r="B238" s="42"/>
      <c r="C238" s="42"/>
      <c r="D238" s="42"/>
      <c r="E238" s="42"/>
    </row>
    <row r="239">
      <c r="B239" s="42"/>
      <c r="C239" s="42"/>
      <c r="D239" s="42"/>
      <c r="E239" s="42"/>
    </row>
    <row r="240">
      <c r="B240" s="42"/>
      <c r="C240" s="42"/>
      <c r="D240" s="42"/>
      <c r="E240" s="42"/>
    </row>
    <row r="241">
      <c r="B241" s="42"/>
      <c r="C241" s="42"/>
      <c r="D241" s="42"/>
      <c r="E241" s="42"/>
    </row>
    <row r="242">
      <c r="B242" s="42"/>
      <c r="C242" s="42"/>
      <c r="D242" s="42"/>
      <c r="E242" s="42"/>
    </row>
    <row r="243">
      <c r="B243" s="42"/>
      <c r="C243" s="42"/>
      <c r="D243" s="42"/>
      <c r="E243" s="42"/>
    </row>
    <row r="244">
      <c r="B244" s="42"/>
      <c r="C244" s="42"/>
      <c r="D244" s="42"/>
      <c r="E244" s="42"/>
    </row>
    <row r="245">
      <c r="B245" s="42"/>
      <c r="C245" s="42"/>
      <c r="D245" s="42"/>
      <c r="E245" s="42"/>
    </row>
    <row r="246">
      <c r="B246" s="42"/>
      <c r="C246" s="42"/>
      <c r="D246" s="42"/>
      <c r="E246" s="42"/>
    </row>
    <row r="247">
      <c r="B247" s="42"/>
      <c r="C247" s="42"/>
      <c r="D247" s="42"/>
      <c r="E247" s="42"/>
    </row>
    <row r="248">
      <c r="B248" s="42"/>
      <c r="C248" s="42"/>
      <c r="D248" s="42"/>
      <c r="E248" s="42"/>
    </row>
    <row r="249">
      <c r="B249" s="42"/>
      <c r="C249" s="42"/>
      <c r="D249" s="42"/>
      <c r="E249" s="42"/>
    </row>
    <row r="250">
      <c r="B250" s="42"/>
      <c r="C250" s="42"/>
      <c r="D250" s="42"/>
      <c r="E250" s="42"/>
    </row>
    <row r="251">
      <c r="B251" s="42"/>
      <c r="C251" s="42"/>
      <c r="D251" s="42"/>
      <c r="E251" s="42"/>
    </row>
    <row r="252">
      <c r="B252" s="42"/>
      <c r="C252" s="42"/>
      <c r="D252" s="42"/>
      <c r="E252" s="42"/>
    </row>
    <row r="253">
      <c r="B253" s="42"/>
      <c r="C253" s="42"/>
      <c r="D253" s="42"/>
      <c r="E253" s="42"/>
    </row>
    <row r="254">
      <c r="B254" s="42"/>
      <c r="C254" s="42"/>
      <c r="D254" s="42"/>
      <c r="E254" s="42"/>
    </row>
    <row r="255">
      <c r="B255" s="42"/>
      <c r="C255" s="42"/>
      <c r="D255" s="42"/>
      <c r="E255" s="42"/>
    </row>
    <row r="256">
      <c r="B256" s="42"/>
      <c r="C256" s="42"/>
      <c r="D256" s="42"/>
      <c r="E256" s="42"/>
    </row>
    <row r="257">
      <c r="B257" s="42"/>
      <c r="C257" s="42"/>
      <c r="D257" s="42"/>
      <c r="E257" s="42"/>
    </row>
    <row r="258">
      <c r="B258" s="42"/>
      <c r="C258" s="42"/>
      <c r="D258" s="42"/>
      <c r="E258" s="42"/>
    </row>
    <row r="259">
      <c r="B259" s="42"/>
      <c r="C259" s="42"/>
      <c r="D259" s="42"/>
      <c r="E259" s="42"/>
    </row>
    <row r="260">
      <c r="B260" s="42"/>
      <c r="C260" s="42"/>
      <c r="D260" s="42"/>
      <c r="E260" s="42"/>
    </row>
    <row r="261">
      <c r="B261" s="42"/>
      <c r="C261" s="42"/>
      <c r="D261" s="42"/>
      <c r="E261" s="42"/>
    </row>
    <row r="262">
      <c r="B262" s="42"/>
      <c r="C262" s="42"/>
      <c r="D262" s="42"/>
      <c r="E262" s="42"/>
    </row>
    <row r="263">
      <c r="B263" s="42"/>
      <c r="C263" s="42"/>
      <c r="D263" s="42"/>
      <c r="E263" s="42"/>
    </row>
    <row r="264">
      <c r="B264" s="42"/>
      <c r="C264" s="42"/>
      <c r="D264" s="42"/>
      <c r="E264" s="42"/>
    </row>
    <row r="265">
      <c r="B265" s="42"/>
      <c r="C265" s="42"/>
      <c r="D265" s="42"/>
      <c r="E265" s="42"/>
    </row>
    <row r="266">
      <c r="B266" s="42"/>
      <c r="C266" s="42"/>
      <c r="D266" s="42"/>
      <c r="E266" s="42"/>
    </row>
    <row r="267">
      <c r="B267" s="42"/>
      <c r="C267" s="42"/>
      <c r="D267" s="42"/>
      <c r="E267" s="42"/>
    </row>
    <row r="268">
      <c r="B268" s="42"/>
      <c r="C268" s="42"/>
      <c r="D268" s="42"/>
      <c r="E268" s="42"/>
    </row>
    <row r="269">
      <c r="B269" s="42"/>
      <c r="C269" s="42"/>
      <c r="D269" s="42"/>
      <c r="E269" s="42"/>
    </row>
    <row r="270">
      <c r="B270" s="42"/>
      <c r="C270" s="42"/>
      <c r="D270" s="42"/>
      <c r="E270" s="42"/>
    </row>
    <row r="271">
      <c r="B271" s="42"/>
      <c r="C271" s="42"/>
      <c r="D271" s="42"/>
      <c r="E271" s="42"/>
    </row>
    <row r="272">
      <c r="B272" s="42"/>
      <c r="C272" s="42"/>
      <c r="D272" s="42"/>
      <c r="E272" s="42"/>
    </row>
    <row r="273">
      <c r="B273" s="42"/>
      <c r="C273" s="42"/>
      <c r="D273" s="42"/>
      <c r="E273" s="42"/>
    </row>
    <row r="274">
      <c r="B274" s="42"/>
      <c r="C274" s="42"/>
      <c r="D274" s="42"/>
      <c r="E274" s="42"/>
    </row>
    <row r="275">
      <c r="B275" s="42"/>
      <c r="C275" s="42"/>
      <c r="D275" s="42"/>
      <c r="E275" s="42"/>
    </row>
    <row r="276">
      <c r="B276" s="42"/>
      <c r="C276" s="42"/>
      <c r="D276" s="42"/>
      <c r="E276" s="42"/>
    </row>
    <row r="277">
      <c r="B277" s="42"/>
      <c r="C277" s="42"/>
      <c r="D277" s="42"/>
      <c r="E277" s="42"/>
    </row>
    <row r="278">
      <c r="B278" s="42"/>
      <c r="C278" s="42"/>
      <c r="D278" s="42"/>
      <c r="E278" s="42"/>
    </row>
    <row r="279">
      <c r="B279" s="42"/>
      <c r="C279" s="42"/>
      <c r="D279" s="42"/>
      <c r="E279" s="42"/>
    </row>
    <row r="280">
      <c r="B280" s="42"/>
      <c r="C280" s="42"/>
      <c r="D280" s="42"/>
      <c r="E280" s="42"/>
    </row>
    <row r="281">
      <c r="B281" s="42"/>
      <c r="C281" s="42"/>
      <c r="D281" s="42"/>
      <c r="E281" s="42"/>
    </row>
    <row r="282">
      <c r="B282" s="42"/>
      <c r="C282" s="42"/>
      <c r="D282" s="42"/>
      <c r="E282" s="42"/>
    </row>
    <row r="283">
      <c r="B283" s="42"/>
      <c r="C283" s="42"/>
      <c r="D283" s="42"/>
      <c r="E283" s="42"/>
    </row>
    <row r="284">
      <c r="B284" s="42"/>
      <c r="C284" s="42"/>
      <c r="D284" s="42"/>
      <c r="E284" s="42"/>
    </row>
    <row r="285">
      <c r="B285" s="42"/>
      <c r="C285" s="42"/>
      <c r="D285" s="42"/>
      <c r="E285" s="42"/>
    </row>
    <row r="286">
      <c r="B286" s="42"/>
      <c r="C286" s="42"/>
      <c r="D286" s="42"/>
      <c r="E286" s="42"/>
    </row>
    <row r="287">
      <c r="B287" s="42"/>
      <c r="C287" s="42"/>
      <c r="D287" s="42"/>
      <c r="E287" s="42"/>
    </row>
    <row r="288">
      <c r="B288" s="42"/>
      <c r="C288" s="42"/>
      <c r="D288" s="42"/>
      <c r="E288" s="42"/>
    </row>
    <row r="289">
      <c r="B289" s="42"/>
      <c r="C289" s="42"/>
      <c r="D289" s="42"/>
      <c r="E289" s="42"/>
    </row>
    <row r="290">
      <c r="B290" s="42"/>
      <c r="C290" s="42"/>
      <c r="D290" s="42"/>
      <c r="E290" s="42"/>
    </row>
    <row r="291">
      <c r="B291" s="42"/>
      <c r="C291" s="42"/>
      <c r="D291" s="42"/>
      <c r="E291" s="42"/>
    </row>
    <row r="292">
      <c r="B292" s="42"/>
      <c r="C292" s="42"/>
      <c r="D292" s="42"/>
      <c r="E292" s="42"/>
    </row>
    <row r="293">
      <c r="B293" s="42"/>
      <c r="C293" s="42"/>
      <c r="D293" s="42"/>
      <c r="E293" s="42"/>
    </row>
    <row r="294">
      <c r="B294" s="42"/>
      <c r="C294" s="42"/>
      <c r="D294" s="42"/>
      <c r="E294" s="42"/>
    </row>
    <row r="295">
      <c r="B295" s="42"/>
      <c r="C295" s="42"/>
      <c r="D295" s="42"/>
      <c r="E295" s="42"/>
    </row>
    <row r="296">
      <c r="B296" s="42"/>
      <c r="C296" s="42"/>
      <c r="D296" s="42"/>
      <c r="E296" s="42"/>
    </row>
    <row r="297">
      <c r="B297" s="42"/>
      <c r="C297" s="42"/>
      <c r="D297" s="42"/>
      <c r="E297" s="42"/>
    </row>
    <row r="298">
      <c r="B298" s="42"/>
      <c r="C298" s="42"/>
      <c r="D298" s="42"/>
      <c r="E298" s="42"/>
    </row>
    <row r="299">
      <c r="B299" s="42"/>
      <c r="C299" s="42"/>
      <c r="D299" s="42"/>
      <c r="E299" s="42"/>
    </row>
    <row r="300">
      <c r="B300" s="42"/>
      <c r="C300" s="42"/>
      <c r="D300" s="42"/>
      <c r="E300" s="42"/>
    </row>
    <row r="301">
      <c r="B301" s="42"/>
      <c r="C301" s="42"/>
      <c r="D301" s="42"/>
      <c r="E301" s="42"/>
    </row>
    <row r="302">
      <c r="B302" s="42"/>
      <c r="C302" s="42"/>
      <c r="D302" s="42"/>
      <c r="E302" s="42"/>
    </row>
    <row r="303">
      <c r="B303" s="42"/>
      <c r="C303" s="42"/>
      <c r="D303" s="42"/>
      <c r="E303" s="42"/>
    </row>
    <row r="304">
      <c r="B304" s="42"/>
      <c r="C304" s="42"/>
      <c r="D304" s="42"/>
      <c r="E304" s="42"/>
    </row>
    <row r="305">
      <c r="B305" s="42"/>
      <c r="C305" s="42"/>
      <c r="D305" s="42"/>
      <c r="E305" s="42"/>
    </row>
    <row r="306">
      <c r="B306" s="42"/>
      <c r="C306" s="42"/>
      <c r="D306" s="42"/>
      <c r="E306" s="42"/>
    </row>
    <row r="307">
      <c r="B307" s="42"/>
      <c r="C307" s="42"/>
      <c r="D307" s="42"/>
      <c r="E307" s="42"/>
    </row>
    <row r="308">
      <c r="B308" s="42"/>
      <c r="C308" s="42"/>
      <c r="D308" s="42"/>
      <c r="E308" s="42"/>
    </row>
    <row r="309">
      <c r="B309" s="42"/>
      <c r="C309" s="42"/>
      <c r="D309" s="42"/>
      <c r="E309" s="42"/>
    </row>
    <row r="310">
      <c r="B310" s="42"/>
      <c r="C310" s="42"/>
      <c r="D310" s="42"/>
      <c r="E310" s="42"/>
    </row>
    <row r="311">
      <c r="B311" s="42"/>
      <c r="C311" s="42"/>
      <c r="D311" s="42"/>
      <c r="E311" s="42"/>
    </row>
    <row r="312">
      <c r="B312" s="42"/>
      <c r="C312" s="42"/>
      <c r="D312" s="42"/>
      <c r="E312" s="42"/>
    </row>
    <row r="313">
      <c r="B313" s="42"/>
      <c r="C313" s="42"/>
      <c r="D313" s="42"/>
      <c r="E313" s="42"/>
    </row>
    <row r="314">
      <c r="B314" s="42"/>
      <c r="C314" s="42"/>
      <c r="D314" s="42"/>
      <c r="E314" s="42"/>
    </row>
    <row r="315">
      <c r="B315" s="42"/>
      <c r="C315" s="42"/>
      <c r="D315" s="42"/>
      <c r="E315" s="42"/>
    </row>
    <row r="316">
      <c r="B316" s="42"/>
      <c r="C316" s="42"/>
      <c r="D316" s="42"/>
      <c r="E316" s="42"/>
    </row>
    <row r="317">
      <c r="B317" s="42"/>
      <c r="C317" s="42"/>
      <c r="D317" s="42"/>
      <c r="E317" s="42"/>
    </row>
    <row r="318">
      <c r="B318" s="42"/>
      <c r="C318" s="42"/>
      <c r="D318" s="42"/>
      <c r="E318" s="42"/>
    </row>
    <row r="319">
      <c r="B319" s="42"/>
      <c r="C319" s="42"/>
      <c r="D319" s="42"/>
      <c r="E319" s="42"/>
    </row>
    <row r="320">
      <c r="B320" s="42"/>
      <c r="C320" s="42"/>
      <c r="D320" s="42"/>
      <c r="E320" s="42"/>
    </row>
    <row r="321">
      <c r="B321" s="42"/>
      <c r="C321" s="42"/>
      <c r="D321" s="42"/>
      <c r="E321" s="42"/>
    </row>
    <row r="322">
      <c r="B322" s="42"/>
      <c r="C322" s="42"/>
      <c r="D322" s="42"/>
      <c r="E322" s="42"/>
    </row>
    <row r="323">
      <c r="B323" s="42"/>
      <c r="C323" s="42"/>
      <c r="D323" s="42"/>
      <c r="E323" s="42"/>
    </row>
    <row r="324">
      <c r="B324" s="42"/>
      <c r="C324" s="42"/>
      <c r="D324" s="42"/>
      <c r="E324" s="42"/>
    </row>
    <row r="325">
      <c r="B325" s="42"/>
      <c r="C325" s="42"/>
      <c r="D325" s="42"/>
      <c r="E325" s="42"/>
    </row>
    <row r="326">
      <c r="B326" s="42"/>
      <c r="C326" s="42"/>
      <c r="D326" s="42"/>
      <c r="E326" s="42"/>
    </row>
    <row r="327">
      <c r="B327" s="42"/>
      <c r="C327" s="42"/>
      <c r="D327" s="42"/>
      <c r="E327" s="42"/>
    </row>
    <row r="328">
      <c r="B328" s="42"/>
      <c r="C328" s="42"/>
      <c r="D328" s="42"/>
      <c r="E328" s="42"/>
    </row>
    <row r="329">
      <c r="B329" s="42"/>
      <c r="C329" s="42"/>
      <c r="D329" s="42"/>
      <c r="E329" s="42"/>
    </row>
    <row r="330">
      <c r="B330" s="42"/>
      <c r="C330" s="42"/>
      <c r="D330" s="42"/>
      <c r="E330" s="42"/>
    </row>
    <row r="331">
      <c r="B331" s="42"/>
      <c r="C331" s="42"/>
      <c r="D331" s="42"/>
      <c r="E331" s="42"/>
    </row>
    <row r="332">
      <c r="B332" s="42"/>
      <c r="C332" s="42"/>
      <c r="D332" s="42"/>
      <c r="E332" s="42"/>
    </row>
    <row r="333">
      <c r="B333" s="42"/>
      <c r="C333" s="42"/>
      <c r="D333" s="42"/>
      <c r="E333" s="42"/>
    </row>
    <row r="334">
      <c r="B334" s="42"/>
      <c r="C334" s="42"/>
      <c r="D334" s="42"/>
      <c r="E334" s="42"/>
    </row>
    <row r="335">
      <c r="B335" s="42"/>
      <c r="C335" s="42"/>
      <c r="D335" s="42"/>
      <c r="E335" s="42"/>
    </row>
    <row r="336">
      <c r="B336" s="42"/>
      <c r="C336" s="42"/>
      <c r="D336" s="42"/>
      <c r="E336" s="42"/>
    </row>
    <row r="337">
      <c r="B337" s="42"/>
      <c r="C337" s="42"/>
      <c r="D337" s="42"/>
      <c r="E337" s="42"/>
    </row>
    <row r="338">
      <c r="B338" s="42"/>
      <c r="C338" s="42"/>
      <c r="D338" s="42"/>
      <c r="E338" s="42"/>
    </row>
    <row r="339">
      <c r="B339" s="42"/>
      <c r="C339" s="42"/>
      <c r="D339" s="42"/>
      <c r="E339" s="42"/>
    </row>
    <row r="340">
      <c r="B340" s="42"/>
      <c r="C340" s="42"/>
      <c r="D340" s="42"/>
      <c r="E340" s="42"/>
    </row>
    <row r="341">
      <c r="B341" s="42"/>
      <c r="C341" s="42"/>
      <c r="D341" s="42"/>
      <c r="E341" s="42"/>
    </row>
    <row r="342">
      <c r="B342" s="42"/>
      <c r="C342" s="42"/>
      <c r="D342" s="42"/>
      <c r="E342" s="42"/>
    </row>
    <row r="343">
      <c r="B343" s="42"/>
      <c r="C343" s="42"/>
      <c r="D343" s="42"/>
      <c r="E343" s="42"/>
    </row>
    <row r="344">
      <c r="B344" s="42"/>
      <c r="C344" s="42"/>
      <c r="D344" s="42"/>
      <c r="E344" s="42"/>
    </row>
    <row r="345">
      <c r="B345" s="42"/>
      <c r="C345" s="42"/>
      <c r="D345" s="42"/>
      <c r="E345" s="42"/>
    </row>
    <row r="346">
      <c r="B346" s="42"/>
      <c r="C346" s="42"/>
      <c r="D346" s="42"/>
      <c r="E346" s="42"/>
    </row>
    <row r="347">
      <c r="B347" s="42"/>
      <c r="C347" s="42"/>
      <c r="D347" s="42"/>
      <c r="E347" s="42"/>
    </row>
    <row r="348">
      <c r="B348" s="42"/>
      <c r="C348" s="42"/>
      <c r="D348" s="42"/>
      <c r="E348" s="42"/>
    </row>
    <row r="349">
      <c r="B349" s="42"/>
      <c r="C349" s="42"/>
      <c r="D349" s="42"/>
      <c r="E349" s="42"/>
    </row>
    <row r="350">
      <c r="B350" s="42"/>
      <c r="C350" s="42"/>
      <c r="D350" s="42"/>
      <c r="E350" s="42"/>
    </row>
    <row r="351">
      <c r="B351" s="42"/>
      <c r="C351" s="42"/>
      <c r="D351" s="42"/>
      <c r="E351" s="42"/>
    </row>
    <row r="352">
      <c r="B352" s="42"/>
      <c r="C352" s="42"/>
      <c r="D352" s="42"/>
      <c r="E352" s="42"/>
    </row>
    <row r="353">
      <c r="B353" s="42"/>
      <c r="C353" s="42"/>
      <c r="D353" s="42"/>
      <c r="E353" s="42"/>
    </row>
    <row r="354">
      <c r="B354" s="42"/>
      <c r="C354" s="42"/>
      <c r="D354" s="42"/>
      <c r="E354" s="42"/>
    </row>
    <row r="355">
      <c r="B355" s="42"/>
      <c r="C355" s="42"/>
      <c r="D355" s="42"/>
      <c r="E355" s="42"/>
    </row>
    <row r="356">
      <c r="B356" s="42"/>
      <c r="C356" s="42"/>
      <c r="D356" s="42"/>
      <c r="E356" s="42"/>
    </row>
    <row r="357">
      <c r="B357" s="42"/>
      <c r="C357" s="42"/>
      <c r="D357" s="42"/>
      <c r="E357" s="42"/>
    </row>
    <row r="358">
      <c r="B358" s="42"/>
      <c r="C358" s="42"/>
      <c r="D358" s="42"/>
      <c r="E358" s="42"/>
    </row>
    <row r="359">
      <c r="B359" s="42"/>
      <c r="C359" s="42"/>
      <c r="D359" s="42"/>
      <c r="E359" s="42"/>
    </row>
    <row r="360">
      <c r="B360" s="42"/>
      <c r="C360" s="42"/>
      <c r="D360" s="42"/>
      <c r="E360" s="42"/>
    </row>
    <row r="361">
      <c r="B361" s="42"/>
      <c r="C361" s="42"/>
      <c r="D361" s="42"/>
      <c r="E361" s="42"/>
    </row>
    <row r="362">
      <c r="B362" s="42"/>
      <c r="C362" s="42"/>
      <c r="D362" s="42"/>
      <c r="E362" s="42"/>
    </row>
    <row r="363">
      <c r="B363" s="42"/>
      <c r="C363" s="42"/>
      <c r="D363" s="42"/>
      <c r="E363" s="42"/>
    </row>
    <row r="364">
      <c r="B364" s="42"/>
      <c r="C364" s="42"/>
      <c r="D364" s="42"/>
      <c r="E364" s="42"/>
    </row>
    <row r="365">
      <c r="B365" s="42"/>
      <c r="C365" s="42"/>
      <c r="D365" s="42"/>
      <c r="E365" s="42"/>
    </row>
    <row r="366">
      <c r="B366" s="42"/>
      <c r="C366" s="42"/>
      <c r="D366" s="42"/>
      <c r="E366" s="42"/>
    </row>
    <row r="367">
      <c r="B367" s="42"/>
      <c r="C367" s="42"/>
      <c r="D367" s="42"/>
      <c r="E367" s="42"/>
    </row>
    <row r="368">
      <c r="B368" s="42"/>
      <c r="C368" s="42"/>
      <c r="D368" s="42"/>
      <c r="E368" s="42"/>
    </row>
    <row r="369">
      <c r="B369" s="42"/>
      <c r="C369" s="42"/>
      <c r="D369" s="42"/>
      <c r="E369" s="42"/>
    </row>
    <row r="370">
      <c r="B370" s="42"/>
      <c r="C370" s="42"/>
      <c r="D370" s="42"/>
      <c r="E370" s="42"/>
    </row>
    <row r="371">
      <c r="B371" s="42"/>
      <c r="C371" s="42"/>
      <c r="D371" s="42"/>
      <c r="E371" s="42"/>
    </row>
    <row r="372">
      <c r="B372" s="42"/>
      <c r="C372" s="42"/>
      <c r="D372" s="42"/>
      <c r="E372" s="42"/>
    </row>
    <row r="373">
      <c r="B373" s="42"/>
      <c r="C373" s="42"/>
      <c r="D373" s="42"/>
      <c r="E373" s="42"/>
    </row>
    <row r="374">
      <c r="B374" s="42"/>
      <c r="C374" s="42"/>
      <c r="D374" s="42"/>
      <c r="E374" s="42"/>
    </row>
    <row r="375">
      <c r="B375" s="42"/>
      <c r="C375" s="42"/>
      <c r="D375" s="42"/>
      <c r="E375" s="42"/>
    </row>
    <row r="376">
      <c r="B376" s="42"/>
      <c r="C376" s="42"/>
      <c r="D376" s="42"/>
      <c r="E376" s="42"/>
    </row>
    <row r="377">
      <c r="B377" s="42"/>
      <c r="C377" s="42"/>
      <c r="D377" s="42"/>
      <c r="E377" s="42"/>
    </row>
    <row r="378">
      <c r="B378" s="42"/>
      <c r="C378" s="42"/>
      <c r="D378" s="42"/>
      <c r="E378" s="42"/>
    </row>
    <row r="379">
      <c r="B379" s="42"/>
      <c r="C379" s="42"/>
      <c r="D379" s="42"/>
      <c r="E379" s="42"/>
    </row>
    <row r="380">
      <c r="B380" s="42"/>
      <c r="C380" s="42"/>
      <c r="D380" s="42"/>
      <c r="E380" s="42"/>
    </row>
    <row r="381">
      <c r="B381" s="42"/>
      <c r="C381" s="42"/>
      <c r="D381" s="42"/>
      <c r="E381" s="42"/>
    </row>
    <row r="382">
      <c r="B382" s="42"/>
      <c r="C382" s="42"/>
      <c r="D382" s="42"/>
      <c r="E382" s="42"/>
    </row>
    <row r="383">
      <c r="B383" s="42"/>
      <c r="C383" s="42"/>
      <c r="D383" s="42"/>
      <c r="E383" s="42"/>
    </row>
    <row r="384">
      <c r="B384" s="42"/>
      <c r="C384" s="42"/>
      <c r="D384" s="42"/>
      <c r="E384" s="42"/>
    </row>
    <row r="385">
      <c r="B385" s="42"/>
      <c r="C385" s="42"/>
      <c r="D385" s="42"/>
      <c r="E385" s="42"/>
    </row>
    <row r="386">
      <c r="B386" s="42"/>
      <c r="C386" s="42"/>
      <c r="D386" s="42"/>
      <c r="E386" s="42"/>
    </row>
    <row r="387">
      <c r="B387" s="42"/>
      <c r="C387" s="42"/>
      <c r="D387" s="42"/>
      <c r="E387" s="42"/>
    </row>
    <row r="388">
      <c r="B388" s="42"/>
      <c r="C388" s="42"/>
      <c r="D388" s="42"/>
      <c r="E388" s="42"/>
    </row>
    <row r="389">
      <c r="B389" s="42"/>
      <c r="C389" s="42"/>
      <c r="D389" s="42"/>
      <c r="E389" s="42"/>
    </row>
    <row r="390">
      <c r="B390" s="42"/>
      <c r="C390" s="42"/>
      <c r="D390" s="42"/>
      <c r="E390" s="42"/>
    </row>
    <row r="391">
      <c r="B391" s="42"/>
      <c r="C391" s="42"/>
      <c r="D391" s="42"/>
      <c r="E391" s="42"/>
    </row>
    <row r="392">
      <c r="B392" s="42"/>
      <c r="C392" s="42"/>
      <c r="D392" s="42"/>
      <c r="E392" s="42"/>
    </row>
    <row r="393">
      <c r="B393" s="42"/>
      <c r="C393" s="42"/>
      <c r="D393" s="42"/>
      <c r="E393" s="42"/>
    </row>
    <row r="394">
      <c r="B394" s="42"/>
      <c r="C394" s="42"/>
      <c r="D394" s="42"/>
      <c r="E394" s="42"/>
    </row>
    <row r="395">
      <c r="B395" s="42"/>
      <c r="C395" s="42"/>
      <c r="D395" s="42"/>
      <c r="E395" s="42"/>
    </row>
    <row r="396">
      <c r="B396" s="42"/>
      <c r="C396" s="42"/>
      <c r="D396" s="42"/>
      <c r="E396" s="42"/>
    </row>
    <row r="397">
      <c r="B397" s="42"/>
      <c r="C397" s="42"/>
      <c r="D397" s="42"/>
      <c r="E397" s="42"/>
    </row>
    <row r="398">
      <c r="B398" s="42"/>
      <c r="C398" s="42"/>
      <c r="D398" s="42"/>
      <c r="E398" s="42"/>
    </row>
    <row r="399">
      <c r="B399" s="42"/>
      <c r="C399" s="42"/>
      <c r="D399" s="42"/>
      <c r="E399" s="42"/>
    </row>
    <row r="400">
      <c r="B400" s="42"/>
      <c r="C400" s="42"/>
      <c r="D400" s="42"/>
      <c r="E400" s="42"/>
    </row>
    <row r="401">
      <c r="B401" s="42"/>
      <c r="C401" s="42"/>
      <c r="D401" s="42"/>
      <c r="E401" s="42"/>
    </row>
    <row r="402">
      <c r="B402" s="42"/>
      <c r="C402" s="42"/>
      <c r="D402" s="42"/>
      <c r="E402" s="42"/>
    </row>
    <row r="403">
      <c r="B403" s="42"/>
      <c r="C403" s="42"/>
      <c r="D403" s="42"/>
      <c r="E403" s="42"/>
    </row>
    <row r="404">
      <c r="B404" s="42"/>
      <c r="C404" s="42"/>
      <c r="D404" s="42"/>
      <c r="E404" s="42"/>
    </row>
    <row r="405">
      <c r="B405" s="42"/>
      <c r="C405" s="42"/>
      <c r="D405" s="42"/>
      <c r="E405" s="42"/>
    </row>
    <row r="406">
      <c r="B406" s="42"/>
      <c r="C406" s="42"/>
      <c r="D406" s="42"/>
      <c r="E406" s="42"/>
    </row>
    <row r="407">
      <c r="B407" s="42"/>
      <c r="C407" s="42"/>
      <c r="D407" s="42"/>
      <c r="E407" s="42"/>
    </row>
    <row r="408">
      <c r="B408" s="42"/>
      <c r="C408" s="42"/>
      <c r="D408" s="42"/>
      <c r="E408" s="42"/>
    </row>
    <row r="409">
      <c r="B409" s="42"/>
      <c r="C409" s="42"/>
      <c r="D409" s="42"/>
      <c r="E409" s="42"/>
    </row>
    <row r="410">
      <c r="B410" s="42"/>
      <c r="C410" s="42"/>
      <c r="D410" s="42"/>
      <c r="E410" s="42"/>
    </row>
    <row r="411">
      <c r="B411" s="42"/>
      <c r="C411" s="42"/>
      <c r="D411" s="42"/>
      <c r="E411" s="42"/>
    </row>
    <row r="412">
      <c r="B412" s="42"/>
      <c r="C412" s="42"/>
      <c r="D412" s="42"/>
      <c r="E412" s="42"/>
    </row>
    <row r="413">
      <c r="B413" s="42"/>
      <c r="C413" s="42"/>
      <c r="D413" s="42"/>
      <c r="E413" s="42"/>
    </row>
    <row r="414">
      <c r="B414" s="42"/>
      <c r="C414" s="42"/>
      <c r="D414" s="42"/>
      <c r="E414" s="42"/>
    </row>
    <row r="415">
      <c r="B415" s="42"/>
      <c r="C415" s="42"/>
      <c r="D415" s="42"/>
      <c r="E415" s="42"/>
    </row>
    <row r="416">
      <c r="B416" s="42"/>
      <c r="C416" s="42"/>
      <c r="D416" s="42"/>
      <c r="E416" s="42"/>
    </row>
    <row r="417">
      <c r="B417" s="42"/>
      <c r="C417" s="42"/>
      <c r="D417" s="42"/>
      <c r="E417" s="42"/>
    </row>
    <row r="418">
      <c r="B418" s="42"/>
      <c r="C418" s="42"/>
      <c r="D418" s="42"/>
      <c r="E418" s="42"/>
    </row>
    <row r="419">
      <c r="B419" s="42"/>
      <c r="C419" s="42"/>
      <c r="D419" s="42"/>
      <c r="E419" s="42"/>
    </row>
    <row r="420">
      <c r="B420" s="42"/>
      <c r="C420" s="42"/>
      <c r="D420" s="42"/>
      <c r="E420" s="42"/>
    </row>
    <row r="421">
      <c r="B421" s="42"/>
      <c r="C421" s="42"/>
      <c r="D421" s="42"/>
      <c r="E421" s="42"/>
    </row>
    <row r="422">
      <c r="B422" s="42"/>
      <c r="C422" s="42"/>
      <c r="D422" s="42"/>
      <c r="E422" s="42"/>
    </row>
    <row r="423">
      <c r="B423" s="42"/>
      <c r="C423" s="42"/>
      <c r="D423" s="42"/>
      <c r="E423" s="42"/>
    </row>
    <row r="424">
      <c r="B424" s="42"/>
      <c r="C424" s="42"/>
      <c r="D424" s="42"/>
      <c r="E424" s="42"/>
    </row>
    <row r="425">
      <c r="B425" s="42"/>
      <c r="C425" s="42"/>
      <c r="D425" s="42"/>
      <c r="E425" s="42"/>
    </row>
    <row r="426">
      <c r="B426" s="42"/>
      <c r="C426" s="42"/>
      <c r="D426" s="42"/>
      <c r="E426" s="42"/>
    </row>
    <row r="427">
      <c r="B427" s="42"/>
      <c r="C427" s="42"/>
      <c r="D427" s="42"/>
      <c r="E427" s="42"/>
    </row>
    <row r="428">
      <c r="B428" s="42"/>
      <c r="C428" s="42"/>
      <c r="D428" s="42"/>
      <c r="E428" s="42"/>
    </row>
    <row r="429">
      <c r="B429" s="42"/>
      <c r="C429" s="42"/>
      <c r="D429" s="42"/>
      <c r="E429" s="42"/>
    </row>
    <row r="430">
      <c r="B430" s="42"/>
      <c r="C430" s="42"/>
      <c r="D430" s="42"/>
      <c r="E430" s="42"/>
    </row>
    <row r="431">
      <c r="B431" s="42"/>
      <c r="C431" s="42"/>
      <c r="D431" s="42"/>
      <c r="E431" s="42"/>
    </row>
    <row r="432">
      <c r="B432" s="42"/>
      <c r="C432" s="42"/>
      <c r="D432" s="42"/>
      <c r="E432" s="42"/>
    </row>
    <row r="433">
      <c r="B433" s="42"/>
      <c r="C433" s="42"/>
      <c r="D433" s="42"/>
      <c r="E433" s="42"/>
    </row>
    <row r="434">
      <c r="B434" s="42"/>
      <c r="C434" s="42"/>
      <c r="D434" s="42"/>
      <c r="E434" s="42"/>
    </row>
    <row r="435">
      <c r="B435" s="42"/>
      <c r="C435" s="42"/>
      <c r="D435" s="42"/>
      <c r="E435" s="42"/>
    </row>
    <row r="436">
      <c r="B436" s="42"/>
      <c r="C436" s="42"/>
      <c r="D436" s="42"/>
      <c r="E436" s="42"/>
    </row>
    <row r="437">
      <c r="B437" s="42"/>
      <c r="C437" s="42"/>
      <c r="D437" s="42"/>
      <c r="E437" s="42"/>
    </row>
    <row r="438">
      <c r="B438" s="42"/>
      <c r="C438" s="42"/>
      <c r="D438" s="42"/>
      <c r="E438" s="42"/>
    </row>
    <row r="439">
      <c r="B439" s="42"/>
      <c r="C439" s="42"/>
      <c r="D439" s="42"/>
      <c r="E439" s="42"/>
    </row>
    <row r="440">
      <c r="B440" s="42"/>
      <c r="C440" s="42"/>
      <c r="D440" s="42"/>
      <c r="E440" s="42"/>
    </row>
    <row r="441">
      <c r="B441" s="42"/>
      <c r="C441" s="42"/>
      <c r="D441" s="42"/>
      <c r="E441" s="42"/>
    </row>
    <row r="442">
      <c r="B442" s="42"/>
      <c r="C442" s="42"/>
      <c r="D442" s="42"/>
      <c r="E442" s="42"/>
    </row>
    <row r="443">
      <c r="B443" s="42"/>
      <c r="C443" s="42"/>
      <c r="D443" s="42"/>
      <c r="E443" s="42"/>
    </row>
    <row r="444">
      <c r="B444" s="42"/>
      <c r="C444" s="42"/>
      <c r="D444" s="42"/>
      <c r="E444" s="42"/>
    </row>
    <row r="445">
      <c r="B445" s="42"/>
      <c r="C445" s="42"/>
      <c r="D445" s="42"/>
      <c r="E445" s="42"/>
    </row>
    <row r="446">
      <c r="B446" s="42"/>
      <c r="C446" s="42"/>
      <c r="D446" s="42"/>
      <c r="E446" s="42"/>
    </row>
    <row r="447">
      <c r="B447" s="42"/>
      <c r="C447" s="42"/>
      <c r="D447" s="42"/>
      <c r="E447" s="42"/>
    </row>
    <row r="448">
      <c r="B448" s="42"/>
      <c r="C448" s="42"/>
      <c r="D448" s="42"/>
      <c r="E448" s="42"/>
    </row>
    <row r="449">
      <c r="B449" s="42"/>
      <c r="C449" s="42"/>
      <c r="D449" s="42"/>
      <c r="E449" s="42"/>
    </row>
    <row r="450">
      <c r="B450" s="42"/>
      <c r="C450" s="42"/>
      <c r="D450" s="42"/>
      <c r="E450" s="42"/>
    </row>
    <row r="451">
      <c r="B451" s="42"/>
      <c r="C451" s="42"/>
      <c r="D451" s="42"/>
      <c r="E451" s="42"/>
    </row>
    <row r="452">
      <c r="B452" s="42"/>
      <c r="C452" s="42"/>
      <c r="D452" s="42"/>
      <c r="E452" s="42"/>
    </row>
    <row r="453">
      <c r="B453" s="42"/>
      <c r="C453" s="42"/>
      <c r="D453" s="42"/>
      <c r="E453" s="42"/>
    </row>
    <row r="454">
      <c r="B454" s="42"/>
      <c r="C454" s="42"/>
      <c r="D454" s="42"/>
      <c r="E454" s="42"/>
    </row>
    <row r="455">
      <c r="B455" s="42"/>
      <c r="C455" s="42"/>
      <c r="D455" s="42"/>
      <c r="E455" s="42"/>
    </row>
    <row r="456">
      <c r="B456" s="42"/>
      <c r="C456" s="42"/>
      <c r="D456" s="42"/>
      <c r="E456" s="42"/>
    </row>
    <row r="457">
      <c r="B457" s="42"/>
      <c r="C457" s="42"/>
      <c r="D457" s="42"/>
      <c r="E457" s="42"/>
    </row>
    <row r="458">
      <c r="B458" s="42"/>
      <c r="C458" s="42"/>
      <c r="D458" s="42"/>
      <c r="E458" s="42"/>
    </row>
    <row r="459">
      <c r="B459" s="42"/>
      <c r="C459" s="42"/>
      <c r="D459" s="42"/>
      <c r="E459" s="42"/>
    </row>
    <row r="460">
      <c r="B460" s="42"/>
      <c r="C460" s="42"/>
      <c r="D460" s="42"/>
      <c r="E460" s="42"/>
    </row>
    <row r="461">
      <c r="B461" s="42"/>
      <c r="C461" s="42"/>
      <c r="D461" s="42"/>
      <c r="E461" s="42"/>
    </row>
    <row r="462">
      <c r="B462" s="42"/>
      <c r="C462" s="42"/>
      <c r="D462" s="42"/>
      <c r="E462" s="42"/>
    </row>
    <row r="463">
      <c r="B463" s="42"/>
      <c r="C463" s="42"/>
      <c r="D463" s="42"/>
      <c r="E463" s="42"/>
    </row>
    <row r="464">
      <c r="B464" s="42"/>
      <c r="C464" s="42"/>
      <c r="D464" s="42"/>
      <c r="E464" s="42"/>
    </row>
    <row r="465">
      <c r="B465" s="42"/>
      <c r="C465" s="42"/>
      <c r="D465" s="42"/>
      <c r="E465" s="42"/>
    </row>
    <row r="466">
      <c r="B466" s="42"/>
      <c r="C466" s="42"/>
      <c r="D466" s="42"/>
      <c r="E466" s="42"/>
    </row>
    <row r="467">
      <c r="B467" s="42"/>
      <c r="C467" s="42"/>
      <c r="D467" s="42"/>
      <c r="E467" s="42"/>
    </row>
    <row r="468">
      <c r="B468" s="42"/>
      <c r="C468" s="42"/>
      <c r="D468" s="42"/>
      <c r="E468" s="42"/>
    </row>
    <row r="469">
      <c r="B469" s="42"/>
      <c r="C469" s="42"/>
      <c r="D469" s="42"/>
      <c r="E469" s="42"/>
    </row>
    <row r="470">
      <c r="B470" s="42"/>
      <c r="C470" s="42"/>
      <c r="D470" s="42"/>
      <c r="E470" s="42"/>
    </row>
    <row r="471">
      <c r="B471" s="42"/>
      <c r="C471" s="42"/>
      <c r="D471" s="42"/>
      <c r="E471" s="42"/>
    </row>
    <row r="472">
      <c r="B472" s="42"/>
      <c r="C472" s="42"/>
      <c r="D472" s="42"/>
      <c r="E472" s="42"/>
    </row>
    <row r="473">
      <c r="B473" s="42"/>
      <c r="C473" s="42"/>
      <c r="D473" s="42"/>
      <c r="E473" s="42"/>
    </row>
    <row r="474">
      <c r="B474" s="42"/>
      <c r="C474" s="42"/>
      <c r="D474" s="42"/>
      <c r="E474" s="42"/>
    </row>
    <row r="475">
      <c r="B475" s="42"/>
      <c r="C475" s="42"/>
      <c r="D475" s="42"/>
      <c r="E475" s="42"/>
    </row>
    <row r="476">
      <c r="B476" s="42"/>
      <c r="C476" s="42"/>
      <c r="D476" s="42"/>
      <c r="E476" s="42"/>
    </row>
    <row r="477">
      <c r="B477" s="42"/>
      <c r="C477" s="42"/>
      <c r="D477" s="42"/>
      <c r="E477" s="42"/>
    </row>
    <row r="478">
      <c r="B478" s="42"/>
      <c r="C478" s="42"/>
      <c r="D478" s="42"/>
      <c r="E478" s="42"/>
    </row>
    <row r="479">
      <c r="B479" s="42"/>
      <c r="C479" s="42"/>
      <c r="D479" s="42"/>
      <c r="E479" s="42"/>
    </row>
    <row r="480">
      <c r="B480" s="42"/>
      <c r="C480" s="42"/>
      <c r="D480" s="42"/>
      <c r="E480" s="42"/>
    </row>
    <row r="481">
      <c r="B481" s="42"/>
      <c r="C481" s="42"/>
      <c r="D481" s="42"/>
      <c r="E481" s="42"/>
    </row>
    <row r="482">
      <c r="B482" s="42"/>
      <c r="C482" s="42"/>
      <c r="D482" s="42"/>
      <c r="E482" s="42"/>
    </row>
    <row r="483">
      <c r="B483" s="42"/>
      <c r="C483" s="42"/>
      <c r="D483" s="42"/>
      <c r="E483" s="42"/>
    </row>
    <row r="484">
      <c r="B484" s="42"/>
      <c r="C484" s="42"/>
      <c r="D484" s="42"/>
      <c r="E484" s="42"/>
    </row>
    <row r="485">
      <c r="B485" s="42"/>
      <c r="C485" s="42"/>
      <c r="D485" s="42"/>
      <c r="E485" s="42"/>
    </row>
    <row r="486">
      <c r="B486" s="42"/>
      <c r="C486" s="42"/>
      <c r="D486" s="42"/>
      <c r="E486" s="42"/>
    </row>
    <row r="487">
      <c r="B487" s="42"/>
      <c r="C487" s="42"/>
      <c r="D487" s="42"/>
      <c r="E487" s="42"/>
    </row>
    <row r="488">
      <c r="B488" s="42"/>
      <c r="C488" s="42"/>
      <c r="D488" s="42"/>
      <c r="E488" s="42"/>
    </row>
    <row r="489">
      <c r="B489" s="42"/>
      <c r="C489" s="42"/>
      <c r="D489" s="42"/>
      <c r="E489" s="42"/>
    </row>
    <row r="490">
      <c r="B490" s="42"/>
      <c r="C490" s="42"/>
      <c r="D490" s="42"/>
      <c r="E490" s="42"/>
    </row>
    <row r="491">
      <c r="B491" s="42"/>
      <c r="C491" s="42"/>
      <c r="D491" s="42"/>
      <c r="E491" s="42"/>
    </row>
    <row r="492">
      <c r="B492" s="42"/>
      <c r="C492" s="42"/>
      <c r="D492" s="42"/>
      <c r="E492" s="42"/>
    </row>
    <row r="493">
      <c r="B493" s="42"/>
      <c r="C493" s="42"/>
      <c r="D493" s="42"/>
      <c r="E493" s="42"/>
    </row>
    <row r="494">
      <c r="B494" s="42"/>
      <c r="C494" s="42"/>
      <c r="D494" s="42"/>
      <c r="E494" s="42"/>
    </row>
    <row r="495">
      <c r="B495" s="42"/>
      <c r="C495" s="42"/>
      <c r="D495" s="42"/>
      <c r="E495" s="42"/>
    </row>
    <row r="496">
      <c r="B496" s="42"/>
      <c r="C496" s="42"/>
      <c r="D496" s="42"/>
      <c r="E496" s="42"/>
    </row>
    <row r="497">
      <c r="B497" s="42"/>
      <c r="C497" s="42"/>
      <c r="D497" s="42"/>
      <c r="E497" s="42"/>
    </row>
    <row r="498">
      <c r="B498" s="42"/>
      <c r="C498" s="42"/>
      <c r="D498" s="42"/>
      <c r="E498" s="42"/>
    </row>
    <row r="499">
      <c r="B499" s="42"/>
      <c r="C499" s="42"/>
      <c r="D499" s="42"/>
      <c r="E499" s="42"/>
    </row>
    <row r="500">
      <c r="B500" s="42"/>
      <c r="C500" s="42"/>
      <c r="D500" s="42"/>
      <c r="E500" s="42"/>
    </row>
    <row r="501">
      <c r="B501" s="42"/>
      <c r="C501" s="42"/>
      <c r="D501" s="42"/>
      <c r="E501" s="42"/>
    </row>
    <row r="502">
      <c r="B502" s="42"/>
      <c r="C502" s="42"/>
      <c r="D502" s="42"/>
      <c r="E502" s="42"/>
    </row>
    <row r="503">
      <c r="B503" s="42"/>
      <c r="C503" s="42"/>
      <c r="D503" s="42"/>
      <c r="E503" s="42"/>
    </row>
    <row r="504">
      <c r="B504" s="42"/>
      <c r="C504" s="42"/>
      <c r="D504" s="42"/>
      <c r="E504" s="42"/>
    </row>
    <row r="505">
      <c r="B505" s="42"/>
      <c r="C505" s="42"/>
      <c r="D505" s="42"/>
      <c r="E505" s="42"/>
    </row>
    <row r="506">
      <c r="B506" s="42"/>
      <c r="C506" s="42"/>
      <c r="D506" s="42"/>
      <c r="E506" s="42"/>
    </row>
    <row r="507">
      <c r="B507" s="42"/>
      <c r="C507" s="42"/>
      <c r="D507" s="42"/>
      <c r="E507" s="42"/>
    </row>
    <row r="508">
      <c r="B508" s="42"/>
      <c r="C508" s="42"/>
      <c r="D508" s="42"/>
      <c r="E508" s="42"/>
    </row>
    <row r="509">
      <c r="B509" s="42"/>
      <c r="C509" s="42"/>
      <c r="D509" s="42"/>
      <c r="E509" s="42"/>
    </row>
    <row r="510">
      <c r="B510" s="42"/>
      <c r="C510" s="42"/>
      <c r="D510" s="42"/>
      <c r="E510" s="42"/>
    </row>
    <row r="511">
      <c r="B511" s="42"/>
      <c r="C511" s="42"/>
      <c r="D511" s="42"/>
      <c r="E511" s="42"/>
    </row>
    <row r="512">
      <c r="B512" s="42"/>
      <c r="C512" s="42"/>
      <c r="D512" s="42"/>
      <c r="E512" s="42"/>
    </row>
    <row r="513">
      <c r="B513" s="42"/>
      <c r="C513" s="42"/>
      <c r="D513" s="42"/>
      <c r="E513" s="42"/>
    </row>
    <row r="514">
      <c r="B514" s="42"/>
      <c r="C514" s="42"/>
      <c r="D514" s="42"/>
      <c r="E514" s="42"/>
    </row>
    <row r="515">
      <c r="B515" s="42"/>
      <c r="C515" s="42"/>
      <c r="D515" s="42"/>
      <c r="E515" s="42"/>
    </row>
    <row r="516">
      <c r="B516" s="42"/>
      <c r="C516" s="42"/>
      <c r="D516" s="42"/>
      <c r="E516" s="42"/>
    </row>
    <row r="517">
      <c r="B517" s="42"/>
      <c r="C517" s="42"/>
      <c r="D517" s="42"/>
      <c r="E517" s="42"/>
    </row>
    <row r="518">
      <c r="B518" s="42"/>
      <c r="C518" s="42"/>
      <c r="D518" s="42"/>
      <c r="E518" s="42"/>
    </row>
    <row r="519">
      <c r="B519" s="42"/>
      <c r="C519" s="42"/>
      <c r="D519" s="42"/>
      <c r="E519" s="42"/>
    </row>
    <row r="520">
      <c r="B520" s="42"/>
      <c r="C520" s="42"/>
      <c r="D520" s="42"/>
      <c r="E520" s="42"/>
    </row>
    <row r="521">
      <c r="B521" s="42"/>
      <c r="C521" s="42"/>
      <c r="D521" s="42"/>
      <c r="E521" s="42"/>
    </row>
    <row r="522">
      <c r="B522" s="42"/>
      <c r="C522" s="42"/>
      <c r="D522" s="42"/>
      <c r="E522" s="42"/>
    </row>
    <row r="523">
      <c r="B523" s="42"/>
      <c r="C523" s="42"/>
      <c r="D523" s="42"/>
      <c r="E523" s="42"/>
    </row>
    <row r="524">
      <c r="B524" s="42"/>
      <c r="C524" s="42"/>
      <c r="D524" s="42"/>
      <c r="E524" s="42"/>
    </row>
    <row r="525">
      <c r="B525" s="42"/>
      <c r="C525" s="42"/>
      <c r="D525" s="42"/>
      <c r="E525" s="42"/>
    </row>
    <row r="526">
      <c r="B526" s="42"/>
      <c r="C526" s="42"/>
      <c r="D526" s="42"/>
      <c r="E526" s="42"/>
    </row>
    <row r="527">
      <c r="B527" s="42"/>
      <c r="C527" s="42"/>
      <c r="D527" s="42"/>
      <c r="E527" s="42"/>
    </row>
    <row r="528">
      <c r="B528" s="42"/>
      <c r="C528" s="42"/>
      <c r="D528" s="42"/>
      <c r="E528" s="42"/>
    </row>
    <row r="529">
      <c r="B529" s="42"/>
      <c r="C529" s="42"/>
      <c r="D529" s="42"/>
      <c r="E529" s="42"/>
    </row>
    <row r="530">
      <c r="B530" s="42"/>
      <c r="C530" s="42"/>
      <c r="D530" s="42"/>
      <c r="E530" s="42"/>
    </row>
    <row r="531">
      <c r="B531" s="42"/>
      <c r="C531" s="42"/>
      <c r="D531" s="42"/>
      <c r="E531" s="42"/>
    </row>
    <row r="532">
      <c r="B532" s="42"/>
      <c r="C532" s="42"/>
      <c r="D532" s="42"/>
      <c r="E532" s="42"/>
    </row>
    <row r="533">
      <c r="B533" s="42"/>
      <c r="C533" s="42"/>
      <c r="D533" s="42"/>
      <c r="E533" s="42"/>
    </row>
    <row r="534">
      <c r="B534" s="42"/>
      <c r="C534" s="42"/>
      <c r="D534" s="42"/>
      <c r="E534" s="42"/>
    </row>
    <row r="535">
      <c r="B535" s="42"/>
      <c r="C535" s="42"/>
      <c r="D535" s="42"/>
      <c r="E535" s="42"/>
    </row>
    <row r="536">
      <c r="B536" s="42"/>
      <c r="C536" s="42"/>
      <c r="D536" s="42"/>
      <c r="E536" s="42"/>
    </row>
    <row r="537">
      <c r="B537" s="42"/>
      <c r="C537" s="42"/>
      <c r="D537" s="42"/>
      <c r="E537" s="42"/>
    </row>
    <row r="538">
      <c r="B538" s="42"/>
      <c r="C538" s="42"/>
      <c r="D538" s="42"/>
      <c r="E538" s="42"/>
    </row>
    <row r="539">
      <c r="B539" s="42"/>
      <c r="C539" s="42"/>
      <c r="D539" s="42"/>
      <c r="E539" s="42"/>
    </row>
    <row r="540">
      <c r="B540" s="42"/>
      <c r="C540" s="42"/>
      <c r="D540" s="42"/>
      <c r="E540" s="42"/>
    </row>
    <row r="541">
      <c r="B541" s="42"/>
      <c r="C541" s="42"/>
      <c r="D541" s="42"/>
      <c r="E541" s="42"/>
    </row>
    <row r="542">
      <c r="B542" s="42"/>
      <c r="C542" s="42"/>
      <c r="D542" s="42"/>
      <c r="E542" s="42"/>
    </row>
    <row r="543">
      <c r="B543" s="42"/>
      <c r="C543" s="42"/>
      <c r="D543" s="42"/>
      <c r="E543" s="42"/>
    </row>
    <row r="544">
      <c r="B544" s="42"/>
      <c r="C544" s="42"/>
      <c r="D544" s="42"/>
      <c r="E544" s="42"/>
    </row>
    <row r="545">
      <c r="B545" s="42"/>
      <c r="C545" s="42"/>
      <c r="D545" s="42"/>
      <c r="E545" s="42"/>
    </row>
    <row r="546">
      <c r="B546" s="42"/>
      <c r="C546" s="42"/>
      <c r="D546" s="42"/>
      <c r="E546" s="42"/>
    </row>
    <row r="547">
      <c r="B547" s="42"/>
      <c r="C547" s="42"/>
      <c r="D547" s="42"/>
      <c r="E547" s="42"/>
    </row>
    <row r="548">
      <c r="B548" s="42"/>
      <c r="C548" s="42"/>
      <c r="D548" s="42"/>
      <c r="E548" s="42"/>
    </row>
    <row r="549">
      <c r="B549" s="42"/>
      <c r="C549" s="42"/>
      <c r="D549" s="42"/>
      <c r="E549" s="42"/>
    </row>
    <row r="550">
      <c r="B550" s="42"/>
      <c r="C550" s="42"/>
      <c r="D550" s="42"/>
      <c r="E550" s="42"/>
    </row>
    <row r="551">
      <c r="B551" s="42"/>
      <c r="C551" s="42"/>
      <c r="D551" s="42"/>
      <c r="E551" s="42"/>
    </row>
    <row r="552">
      <c r="B552" s="42"/>
      <c r="C552" s="42"/>
      <c r="D552" s="42"/>
      <c r="E552" s="42"/>
    </row>
    <row r="553">
      <c r="B553" s="42"/>
      <c r="C553" s="42"/>
      <c r="D553" s="42"/>
      <c r="E553" s="42"/>
    </row>
    <row r="554">
      <c r="B554" s="42"/>
      <c r="C554" s="42"/>
      <c r="D554" s="42"/>
      <c r="E554" s="42"/>
    </row>
    <row r="555">
      <c r="B555" s="42"/>
      <c r="C555" s="42"/>
      <c r="D555" s="42"/>
      <c r="E555" s="42"/>
    </row>
    <row r="556">
      <c r="B556" s="42"/>
      <c r="C556" s="42"/>
      <c r="D556" s="42"/>
      <c r="E556" s="42"/>
    </row>
    <row r="557">
      <c r="B557" s="42"/>
      <c r="C557" s="42"/>
      <c r="D557" s="42"/>
      <c r="E557" s="42"/>
    </row>
    <row r="558">
      <c r="B558" s="42"/>
      <c r="C558" s="42"/>
      <c r="D558" s="42"/>
      <c r="E558" s="42"/>
    </row>
    <row r="559">
      <c r="B559" s="42"/>
      <c r="C559" s="42"/>
      <c r="D559" s="42"/>
      <c r="E559" s="42"/>
    </row>
    <row r="560">
      <c r="B560" s="42"/>
      <c r="C560" s="42"/>
      <c r="D560" s="42"/>
      <c r="E560" s="42"/>
    </row>
    <row r="561">
      <c r="B561" s="42"/>
      <c r="C561" s="42"/>
      <c r="D561" s="42"/>
      <c r="E561" s="42"/>
    </row>
    <row r="562">
      <c r="B562" s="42"/>
      <c r="C562" s="42"/>
      <c r="D562" s="42"/>
      <c r="E562" s="42"/>
    </row>
    <row r="563">
      <c r="B563" s="42"/>
      <c r="C563" s="42"/>
      <c r="D563" s="42"/>
      <c r="E563" s="42"/>
    </row>
    <row r="564">
      <c r="B564" s="42"/>
      <c r="C564" s="42"/>
      <c r="D564" s="42"/>
      <c r="E564" s="42"/>
    </row>
    <row r="565">
      <c r="B565" s="42"/>
      <c r="C565" s="42"/>
      <c r="D565" s="42"/>
      <c r="E565" s="42"/>
    </row>
    <row r="566">
      <c r="B566" s="42"/>
      <c r="C566" s="42"/>
      <c r="D566" s="42"/>
      <c r="E566" s="42"/>
    </row>
    <row r="567">
      <c r="B567" s="42"/>
      <c r="C567" s="42"/>
      <c r="D567" s="42"/>
      <c r="E567" s="42"/>
    </row>
    <row r="568">
      <c r="B568" s="42"/>
      <c r="C568" s="42"/>
      <c r="D568" s="42"/>
      <c r="E568" s="42"/>
    </row>
    <row r="569">
      <c r="B569" s="42"/>
      <c r="C569" s="42"/>
      <c r="D569" s="42"/>
      <c r="E569" s="42"/>
    </row>
    <row r="570">
      <c r="B570" s="42"/>
      <c r="C570" s="42"/>
      <c r="D570" s="42"/>
      <c r="E570" s="42"/>
    </row>
    <row r="571">
      <c r="B571" s="42"/>
      <c r="C571" s="42"/>
      <c r="D571" s="42"/>
      <c r="E571" s="42"/>
    </row>
    <row r="572">
      <c r="B572" s="42"/>
      <c r="C572" s="42"/>
      <c r="D572" s="42"/>
      <c r="E572" s="42"/>
    </row>
    <row r="573">
      <c r="B573" s="42"/>
      <c r="C573" s="42"/>
      <c r="D573" s="42"/>
      <c r="E573" s="42"/>
    </row>
    <row r="574">
      <c r="B574" s="42"/>
      <c r="C574" s="42"/>
      <c r="D574" s="42"/>
      <c r="E574" s="42"/>
    </row>
    <row r="575">
      <c r="B575" s="42"/>
      <c r="C575" s="42"/>
      <c r="D575" s="42"/>
      <c r="E575" s="42"/>
    </row>
    <row r="576">
      <c r="B576" s="42"/>
      <c r="C576" s="42"/>
      <c r="D576" s="42"/>
      <c r="E576" s="42"/>
    </row>
    <row r="577">
      <c r="B577" s="42"/>
      <c r="C577" s="42"/>
      <c r="D577" s="42"/>
      <c r="E577" s="42"/>
    </row>
    <row r="578">
      <c r="B578" s="42"/>
      <c r="C578" s="42"/>
      <c r="D578" s="42"/>
      <c r="E578" s="42"/>
    </row>
    <row r="579">
      <c r="B579" s="42"/>
      <c r="C579" s="42"/>
      <c r="D579" s="42"/>
      <c r="E579" s="42"/>
    </row>
    <row r="580">
      <c r="B580" s="42"/>
      <c r="C580" s="42"/>
      <c r="D580" s="42"/>
      <c r="E580" s="42"/>
    </row>
    <row r="581">
      <c r="B581" s="42"/>
      <c r="C581" s="42"/>
      <c r="D581" s="42"/>
      <c r="E581" s="42"/>
    </row>
    <row r="582">
      <c r="B582" s="42"/>
      <c r="C582" s="42"/>
      <c r="D582" s="42"/>
      <c r="E582" s="42"/>
    </row>
    <row r="583">
      <c r="B583" s="42"/>
      <c r="C583" s="42"/>
      <c r="D583" s="42"/>
      <c r="E583" s="42"/>
    </row>
    <row r="584">
      <c r="B584" s="42"/>
      <c r="C584" s="42"/>
      <c r="D584" s="42"/>
      <c r="E584" s="42"/>
    </row>
    <row r="585">
      <c r="B585" s="42"/>
      <c r="C585" s="42"/>
      <c r="D585" s="42"/>
      <c r="E585" s="42"/>
    </row>
    <row r="586">
      <c r="B586" s="42"/>
      <c r="C586" s="42"/>
      <c r="D586" s="42"/>
      <c r="E586" s="42"/>
    </row>
    <row r="587">
      <c r="B587" s="42"/>
      <c r="C587" s="42"/>
      <c r="D587" s="42"/>
      <c r="E587" s="42"/>
    </row>
    <row r="588">
      <c r="B588" s="42"/>
      <c r="C588" s="42"/>
      <c r="D588" s="42"/>
      <c r="E588" s="42"/>
    </row>
    <row r="589">
      <c r="B589" s="42"/>
      <c r="C589" s="42"/>
      <c r="D589" s="42"/>
      <c r="E589" s="42"/>
    </row>
    <row r="590">
      <c r="B590" s="42"/>
      <c r="C590" s="42"/>
      <c r="D590" s="42"/>
      <c r="E590" s="42"/>
    </row>
    <row r="591">
      <c r="B591" s="42"/>
      <c r="C591" s="42"/>
      <c r="D591" s="42"/>
      <c r="E591" s="42"/>
    </row>
    <row r="592">
      <c r="B592" s="42"/>
      <c r="C592" s="42"/>
      <c r="D592" s="42"/>
      <c r="E592" s="42"/>
    </row>
    <row r="593">
      <c r="B593" s="42"/>
      <c r="C593" s="42"/>
      <c r="D593" s="42"/>
      <c r="E593" s="42"/>
    </row>
    <row r="594">
      <c r="B594" s="42"/>
      <c r="C594" s="42"/>
      <c r="D594" s="42"/>
      <c r="E594" s="42"/>
    </row>
    <row r="595">
      <c r="B595" s="42"/>
      <c r="C595" s="42"/>
      <c r="D595" s="42"/>
      <c r="E595" s="42"/>
    </row>
    <row r="596">
      <c r="B596" s="42"/>
      <c r="C596" s="42"/>
      <c r="D596" s="42"/>
      <c r="E596" s="42"/>
    </row>
    <row r="597">
      <c r="B597" s="42"/>
      <c r="C597" s="42"/>
      <c r="D597" s="42"/>
      <c r="E597" s="42"/>
    </row>
    <row r="598">
      <c r="B598" s="42"/>
      <c r="C598" s="42"/>
      <c r="D598" s="42"/>
      <c r="E598" s="42"/>
    </row>
    <row r="599">
      <c r="B599" s="42"/>
      <c r="C599" s="42"/>
      <c r="D599" s="42"/>
      <c r="E599" s="42"/>
    </row>
    <row r="600">
      <c r="B600" s="42"/>
      <c r="C600" s="42"/>
      <c r="D600" s="42"/>
      <c r="E600" s="42"/>
    </row>
    <row r="601">
      <c r="B601" s="42"/>
      <c r="C601" s="42"/>
      <c r="D601" s="42"/>
      <c r="E601" s="42"/>
    </row>
    <row r="602">
      <c r="B602" s="42"/>
      <c r="C602" s="42"/>
      <c r="D602" s="42"/>
      <c r="E602" s="42"/>
    </row>
    <row r="603">
      <c r="B603" s="42"/>
      <c r="C603" s="42"/>
      <c r="D603" s="42"/>
      <c r="E603" s="42"/>
    </row>
    <row r="604">
      <c r="B604" s="42"/>
      <c r="C604" s="42"/>
      <c r="D604" s="42"/>
      <c r="E604" s="42"/>
    </row>
    <row r="605">
      <c r="B605" s="42"/>
      <c r="C605" s="42"/>
      <c r="D605" s="42"/>
      <c r="E605" s="42"/>
    </row>
    <row r="606">
      <c r="B606" s="42"/>
      <c r="C606" s="42"/>
      <c r="D606" s="42"/>
      <c r="E606" s="42"/>
    </row>
    <row r="607">
      <c r="B607" s="42"/>
      <c r="C607" s="42"/>
      <c r="D607" s="42"/>
      <c r="E607" s="42"/>
    </row>
    <row r="608">
      <c r="B608" s="42"/>
      <c r="C608" s="42"/>
      <c r="D608" s="42"/>
      <c r="E608" s="42"/>
    </row>
    <row r="609">
      <c r="B609" s="42"/>
      <c r="C609" s="42"/>
      <c r="D609" s="42"/>
      <c r="E609" s="42"/>
    </row>
    <row r="610">
      <c r="B610" s="42"/>
      <c r="C610" s="42"/>
      <c r="D610" s="42"/>
      <c r="E610" s="42"/>
    </row>
    <row r="611">
      <c r="B611" s="42"/>
      <c r="C611" s="42"/>
      <c r="D611" s="42"/>
      <c r="E611" s="42"/>
    </row>
    <row r="612">
      <c r="B612" s="42"/>
      <c r="C612" s="42"/>
      <c r="D612" s="42"/>
      <c r="E612" s="42"/>
    </row>
    <row r="613">
      <c r="B613" s="42"/>
      <c r="C613" s="42"/>
      <c r="D613" s="42"/>
      <c r="E613" s="42"/>
    </row>
    <row r="614">
      <c r="B614" s="42"/>
      <c r="C614" s="42"/>
      <c r="D614" s="42"/>
      <c r="E614" s="42"/>
    </row>
    <row r="615">
      <c r="B615" s="42"/>
      <c r="C615" s="42"/>
      <c r="D615" s="42"/>
      <c r="E615" s="42"/>
    </row>
    <row r="616">
      <c r="B616" s="42"/>
      <c r="C616" s="42"/>
      <c r="D616" s="42"/>
      <c r="E616" s="42"/>
    </row>
    <row r="617">
      <c r="B617" s="42"/>
      <c r="C617" s="42"/>
      <c r="D617" s="42"/>
      <c r="E617" s="42"/>
    </row>
    <row r="618">
      <c r="B618" s="42"/>
      <c r="C618" s="42"/>
      <c r="D618" s="42"/>
      <c r="E618" s="42"/>
    </row>
    <row r="619">
      <c r="B619" s="42"/>
      <c r="C619" s="42"/>
      <c r="D619" s="42"/>
      <c r="E619" s="42"/>
    </row>
    <row r="620">
      <c r="B620" s="42"/>
      <c r="C620" s="42"/>
      <c r="D620" s="42"/>
      <c r="E620" s="42"/>
    </row>
    <row r="621">
      <c r="B621" s="42"/>
      <c r="C621" s="42"/>
      <c r="D621" s="42"/>
      <c r="E621" s="42"/>
    </row>
    <row r="622">
      <c r="B622" s="42"/>
      <c r="C622" s="42"/>
      <c r="D622" s="42"/>
      <c r="E622" s="42"/>
    </row>
    <row r="623">
      <c r="B623" s="42"/>
      <c r="C623" s="42"/>
      <c r="D623" s="42"/>
      <c r="E623" s="42"/>
    </row>
    <row r="624">
      <c r="B624" s="42"/>
      <c r="C624" s="42"/>
      <c r="D624" s="42"/>
      <c r="E624" s="42"/>
    </row>
    <row r="625">
      <c r="B625" s="42"/>
      <c r="C625" s="42"/>
      <c r="D625" s="42"/>
      <c r="E625" s="42"/>
    </row>
    <row r="626">
      <c r="B626" s="42"/>
      <c r="C626" s="42"/>
      <c r="D626" s="42"/>
      <c r="E626" s="42"/>
    </row>
    <row r="627">
      <c r="B627" s="42"/>
      <c r="C627" s="42"/>
      <c r="D627" s="42"/>
      <c r="E627" s="42"/>
    </row>
    <row r="628">
      <c r="B628" s="42"/>
      <c r="C628" s="42"/>
      <c r="D628" s="42"/>
      <c r="E628" s="42"/>
    </row>
    <row r="629">
      <c r="B629" s="42"/>
      <c r="C629" s="42"/>
      <c r="D629" s="42"/>
      <c r="E629" s="42"/>
    </row>
    <row r="630">
      <c r="B630" s="42"/>
      <c r="C630" s="42"/>
      <c r="D630" s="42"/>
      <c r="E630" s="42"/>
    </row>
    <row r="631">
      <c r="B631" s="42"/>
      <c r="C631" s="42"/>
      <c r="D631" s="42"/>
      <c r="E631" s="42"/>
    </row>
    <row r="632">
      <c r="B632" s="42"/>
      <c r="C632" s="42"/>
      <c r="D632" s="42"/>
      <c r="E632" s="42"/>
    </row>
    <row r="633">
      <c r="B633" s="42"/>
      <c r="C633" s="42"/>
      <c r="D633" s="42"/>
      <c r="E633" s="42"/>
    </row>
    <row r="634">
      <c r="B634" s="42"/>
      <c r="C634" s="42"/>
      <c r="D634" s="42"/>
      <c r="E634" s="42"/>
    </row>
    <row r="635">
      <c r="B635" s="42"/>
      <c r="C635" s="42"/>
      <c r="D635" s="42"/>
      <c r="E635" s="42"/>
    </row>
    <row r="636">
      <c r="B636" s="42"/>
      <c r="C636" s="42"/>
      <c r="D636" s="42"/>
      <c r="E636" s="42"/>
    </row>
    <row r="637">
      <c r="B637" s="42"/>
      <c r="C637" s="42"/>
      <c r="D637" s="42"/>
      <c r="E637" s="42"/>
    </row>
    <row r="638">
      <c r="B638" s="42"/>
      <c r="C638" s="42"/>
      <c r="D638" s="42"/>
      <c r="E638" s="42"/>
    </row>
    <row r="639">
      <c r="B639" s="42"/>
      <c r="C639" s="42"/>
      <c r="D639" s="42"/>
      <c r="E639" s="42"/>
    </row>
    <row r="640">
      <c r="B640" s="42"/>
      <c r="C640" s="42"/>
      <c r="D640" s="42"/>
      <c r="E640" s="42"/>
    </row>
    <row r="641">
      <c r="B641" s="42"/>
      <c r="C641" s="42"/>
      <c r="D641" s="42"/>
      <c r="E641" s="42"/>
    </row>
    <row r="642">
      <c r="B642" s="42"/>
      <c r="C642" s="42"/>
      <c r="D642" s="42"/>
      <c r="E642" s="42"/>
    </row>
    <row r="643">
      <c r="B643" s="42"/>
      <c r="C643" s="42"/>
      <c r="D643" s="42"/>
      <c r="E643" s="42"/>
    </row>
    <row r="644">
      <c r="B644" s="42"/>
      <c r="C644" s="42"/>
      <c r="D644" s="42"/>
      <c r="E644" s="42"/>
    </row>
    <row r="645">
      <c r="B645" s="42"/>
      <c r="C645" s="42"/>
      <c r="D645" s="42"/>
      <c r="E645" s="42"/>
    </row>
    <row r="646">
      <c r="B646" s="42"/>
      <c r="C646" s="42"/>
      <c r="D646" s="42"/>
      <c r="E646" s="42"/>
    </row>
    <row r="647">
      <c r="B647" s="42"/>
      <c r="C647" s="42"/>
      <c r="D647" s="42"/>
      <c r="E647" s="42"/>
    </row>
    <row r="648">
      <c r="B648" s="42"/>
      <c r="C648" s="42"/>
      <c r="D648" s="42"/>
      <c r="E648" s="42"/>
    </row>
    <row r="649">
      <c r="B649" s="42"/>
      <c r="C649" s="42"/>
      <c r="D649" s="42"/>
      <c r="E649" s="42"/>
    </row>
    <row r="650">
      <c r="B650" s="42"/>
      <c r="C650" s="42"/>
      <c r="D650" s="42"/>
      <c r="E650" s="42"/>
    </row>
    <row r="651">
      <c r="B651" s="42"/>
      <c r="C651" s="42"/>
      <c r="D651" s="42"/>
      <c r="E651" s="42"/>
    </row>
    <row r="652">
      <c r="B652" s="42"/>
      <c r="C652" s="42"/>
      <c r="D652" s="42"/>
      <c r="E652" s="42"/>
    </row>
    <row r="653">
      <c r="B653" s="42"/>
      <c r="C653" s="42"/>
      <c r="D653" s="42"/>
      <c r="E653" s="42"/>
    </row>
    <row r="654">
      <c r="B654" s="42"/>
      <c r="C654" s="42"/>
      <c r="D654" s="42"/>
      <c r="E654" s="42"/>
    </row>
    <row r="655">
      <c r="B655" s="42"/>
      <c r="C655" s="42"/>
      <c r="D655" s="42"/>
      <c r="E655" s="42"/>
    </row>
    <row r="656">
      <c r="B656" s="42"/>
      <c r="C656" s="42"/>
      <c r="D656" s="42"/>
      <c r="E656" s="42"/>
    </row>
    <row r="657">
      <c r="B657" s="42"/>
      <c r="C657" s="42"/>
      <c r="D657" s="42"/>
      <c r="E657" s="42"/>
    </row>
    <row r="658">
      <c r="B658" s="42"/>
      <c r="C658" s="42"/>
      <c r="D658" s="42"/>
      <c r="E658" s="42"/>
    </row>
    <row r="659">
      <c r="B659" s="42"/>
      <c r="C659" s="42"/>
      <c r="D659" s="42"/>
      <c r="E659" s="42"/>
    </row>
    <row r="660">
      <c r="B660" s="42"/>
      <c r="C660" s="42"/>
      <c r="D660" s="42"/>
      <c r="E660" s="42"/>
    </row>
    <row r="661">
      <c r="B661" s="42"/>
      <c r="C661" s="42"/>
      <c r="D661" s="42"/>
      <c r="E661" s="42"/>
    </row>
    <row r="662">
      <c r="B662" s="42"/>
      <c r="C662" s="42"/>
      <c r="D662" s="42"/>
      <c r="E662" s="42"/>
    </row>
    <row r="663">
      <c r="B663" s="42"/>
      <c r="C663" s="42"/>
      <c r="D663" s="42"/>
      <c r="E663" s="42"/>
    </row>
    <row r="664">
      <c r="B664" s="42"/>
      <c r="C664" s="42"/>
      <c r="D664" s="42"/>
      <c r="E664" s="42"/>
    </row>
    <row r="665">
      <c r="B665" s="42"/>
      <c r="C665" s="42"/>
      <c r="D665" s="42"/>
      <c r="E665" s="42"/>
    </row>
    <row r="666">
      <c r="B666" s="42"/>
      <c r="C666" s="42"/>
      <c r="D666" s="42"/>
      <c r="E666" s="42"/>
    </row>
    <row r="667">
      <c r="B667" s="42"/>
      <c r="C667" s="42"/>
      <c r="D667" s="42"/>
      <c r="E667" s="42"/>
    </row>
    <row r="668">
      <c r="B668" s="42"/>
      <c r="C668" s="42"/>
      <c r="D668" s="42"/>
      <c r="E668" s="42"/>
    </row>
    <row r="669">
      <c r="B669" s="42"/>
      <c r="C669" s="42"/>
      <c r="D669" s="42"/>
      <c r="E669" s="42"/>
    </row>
    <row r="670">
      <c r="B670" s="42"/>
      <c r="C670" s="42"/>
      <c r="D670" s="42"/>
      <c r="E670" s="42"/>
    </row>
    <row r="671">
      <c r="B671" s="42"/>
      <c r="C671" s="42"/>
      <c r="D671" s="42"/>
      <c r="E671" s="42"/>
    </row>
    <row r="672">
      <c r="B672" s="42"/>
      <c r="C672" s="42"/>
      <c r="D672" s="42"/>
      <c r="E672" s="42"/>
    </row>
    <row r="673">
      <c r="B673" s="42"/>
      <c r="C673" s="42"/>
      <c r="D673" s="42"/>
      <c r="E673" s="42"/>
    </row>
    <row r="674">
      <c r="B674" s="42"/>
      <c r="C674" s="42"/>
      <c r="D674" s="42"/>
      <c r="E674" s="42"/>
    </row>
    <row r="675">
      <c r="B675" s="42"/>
      <c r="C675" s="42"/>
      <c r="D675" s="42"/>
      <c r="E675" s="42"/>
    </row>
    <row r="676">
      <c r="B676" s="42"/>
      <c r="C676" s="42"/>
      <c r="D676" s="42"/>
      <c r="E676" s="42"/>
    </row>
    <row r="677">
      <c r="B677" s="42"/>
      <c r="C677" s="42"/>
      <c r="D677" s="42"/>
      <c r="E677" s="42"/>
    </row>
    <row r="678">
      <c r="B678" s="42"/>
      <c r="C678" s="42"/>
      <c r="D678" s="42"/>
      <c r="E678" s="42"/>
    </row>
    <row r="679">
      <c r="B679" s="42"/>
      <c r="C679" s="42"/>
      <c r="D679" s="42"/>
      <c r="E679" s="42"/>
    </row>
    <row r="680">
      <c r="B680" s="42"/>
      <c r="C680" s="42"/>
      <c r="D680" s="42"/>
      <c r="E680" s="42"/>
    </row>
    <row r="681">
      <c r="B681" s="42"/>
      <c r="C681" s="42"/>
      <c r="D681" s="42"/>
      <c r="E681" s="42"/>
    </row>
    <row r="682">
      <c r="B682" s="42"/>
      <c r="C682" s="42"/>
      <c r="D682" s="42"/>
      <c r="E682" s="42"/>
    </row>
    <row r="683">
      <c r="B683" s="42"/>
      <c r="C683" s="42"/>
      <c r="D683" s="42"/>
      <c r="E683" s="42"/>
    </row>
    <row r="684">
      <c r="B684" s="42"/>
      <c r="C684" s="42"/>
      <c r="D684" s="42"/>
      <c r="E684" s="42"/>
    </row>
    <row r="685">
      <c r="B685" s="42"/>
      <c r="C685" s="42"/>
      <c r="D685" s="42"/>
      <c r="E685" s="42"/>
    </row>
    <row r="686">
      <c r="B686" s="42"/>
      <c r="C686" s="42"/>
      <c r="D686" s="42"/>
      <c r="E686" s="42"/>
    </row>
    <row r="687">
      <c r="B687" s="42"/>
      <c r="C687" s="42"/>
      <c r="D687" s="42"/>
      <c r="E687" s="42"/>
    </row>
    <row r="688">
      <c r="B688" s="42"/>
      <c r="C688" s="42"/>
      <c r="D688" s="42"/>
      <c r="E688" s="42"/>
    </row>
    <row r="689">
      <c r="B689" s="42"/>
      <c r="C689" s="42"/>
      <c r="D689" s="42"/>
      <c r="E689" s="42"/>
    </row>
    <row r="690">
      <c r="B690" s="42"/>
      <c r="C690" s="42"/>
      <c r="D690" s="42"/>
      <c r="E690" s="42"/>
    </row>
    <row r="691">
      <c r="B691" s="42"/>
      <c r="C691" s="42"/>
      <c r="D691" s="42"/>
      <c r="E691" s="42"/>
    </row>
    <row r="692">
      <c r="B692" s="42"/>
      <c r="C692" s="42"/>
      <c r="D692" s="42"/>
      <c r="E692" s="42"/>
    </row>
    <row r="693">
      <c r="B693" s="42"/>
      <c r="C693" s="42"/>
      <c r="D693" s="42"/>
      <c r="E693" s="42"/>
    </row>
    <row r="694">
      <c r="B694" s="42"/>
      <c r="C694" s="42"/>
      <c r="D694" s="42"/>
      <c r="E694" s="42"/>
    </row>
    <row r="695">
      <c r="B695" s="42"/>
      <c r="C695" s="42"/>
      <c r="D695" s="42"/>
      <c r="E695" s="42"/>
    </row>
    <row r="696">
      <c r="B696" s="42"/>
      <c r="C696" s="42"/>
      <c r="D696" s="42"/>
      <c r="E696" s="42"/>
    </row>
    <row r="697">
      <c r="B697" s="42"/>
      <c r="C697" s="42"/>
      <c r="D697" s="42"/>
      <c r="E697" s="42"/>
    </row>
    <row r="698">
      <c r="B698" s="42"/>
      <c r="C698" s="42"/>
      <c r="D698" s="42"/>
      <c r="E698" s="42"/>
    </row>
    <row r="699">
      <c r="B699" s="42"/>
      <c r="C699" s="42"/>
      <c r="D699" s="42"/>
      <c r="E699" s="42"/>
    </row>
    <row r="700">
      <c r="B700" s="42"/>
      <c r="C700" s="42"/>
      <c r="D700" s="42"/>
      <c r="E700" s="42"/>
    </row>
    <row r="701">
      <c r="B701" s="42"/>
      <c r="C701" s="42"/>
      <c r="D701" s="42"/>
      <c r="E701" s="42"/>
    </row>
    <row r="702">
      <c r="B702" s="42"/>
      <c r="C702" s="42"/>
      <c r="D702" s="42"/>
      <c r="E702" s="42"/>
    </row>
    <row r="703">
      <c r="B703" s="42"/>
      <c r="C703" s="42"/>
      <c r="D703" s="42"/>
      <c r="E703" s="42"/>
    </row>
    <row r="704">
      <c r="B704" s="42"/>
      <c r="C704" s="42"/>
      <c r="D704" s="42"/>
      <c r="E704" s="42"/>
    </row>
    <row r="705">
      <c r="B705" s="42"/>
      <c r="C705" s="42"/>
      <c r="D705" s="42"/>
      <c r="E705" s="42"/>
    </row>
    <row r="706">
      <c r="B706" s="42"/>
      <c r="C706" s="42"/>
      <c r="D706" s="42"/>
      <c r="E706" s="42"/>
    </row>
    <row r="707">
      <c r="B707" s="42"/>
      <c r="C707" s="42"/>
      <c r="D707" s="42"/>
      <c r="E707" s="42"/>
    </row>
    <row r="708">
      <c r="B708" s="42"/>
      <c r="C708" s="42"/>
      <c r="D708" s="42"/>
      <c r="E708" s="42"/>
    </row>
    <row r="709">
      <c r="B709" s="42"/>
      <c r="C709" s="42"/>
      <c r="D709" s="42"/>
      <c r="E709" s="42"/>
    </row>
    <row r="710">
      <c r="B710" s="42"/>
      <c r="C710" s="42"/>
      <c r="D710" s="42"/>
      <c r="E710" s="42"/>
    </row>
    <row r="711">
      <c r="B711" s="42"/>
      <c r="C711" s="42"/>
      <c r="D711" s="42"/>
      <c r="E711" s="42"/>
    </row>
    <row r="712">
      <c r="B712" s="42"/>
      <c r="C712" s="42"/>
      <c r="D712" s="42"/>
      <c r="E712" s="42"/>
    </row>
    <row r="713">
      <c r="B713" s="42"/>
      <c r="C713" s="42"/>
      <c r="D713" s="42"/>
      <c r="E713" s="42"/>
    </row>
    <row r="714">
      <c r="B714" s="42"/>
      <c r="C714" s="42"/>
      <c r="D714" s="42"/>
      <c r="E714" s="42"/>
    </row>
    <row r="715">
      <c r="B715" s="42"/>
      <c r="C715" s="42"/>
      <c r="D715" s="42"/>
      <c r="E715" s="42"/>
    </row>
    <row r="716">
      <c r="B716" s="42"/>
      <c r="C716" s="42"/>
      <c r="D716" s="42"/>
      <c r="E716" s="42"/>
    </row>
    <row r="717">
      <c r="B717" s="42"/>
      <c r="C717" s="42"/>
      <c r="D717" s="42"/>
      <c r="E717" s="42"/>
    </row>
    <row r="718">
      <c r="B718" s="42"/>
      <c r="C718" s="42"/>
      <c r="D718" s="42"/>
      <c r="E718" s="42"/>
    </row>
    <row r="719">
      <c r="B719" s="42"/>
      <c r="C719" s="42"/>
      <c r="D719" s="42"/>
      <c r="E719" s="42"/>
    </row>
    <row r="720">
      <c r="B720" s="42"/>
      <c r="C720" s="42"/>
      <c r="D720" s="42"/>
      <c r="E720" s="42"/>
    </row>
    <row r="721">
      <c r="B721" s="42"/>
      <c r="C721" s="42"/>
      <c r="D721" s="42"/>
      <c r="E721" s="42"/>
    </row>
    <row r="722">
      <c r="B722" s="42"/>
      <c r="C722" s="42"/>
      <c r="D722" s="42"/>
      <c r="E722" s="42"/>
    </row>
    <row r="723">
      <c r="B723" s="42"/>
      <c r="C723" s="42"/>
      <c r="D723" s="42"/>
      <c r="E723" s="42"/>
    </row>
    <row r="724">
      <c r="B724" s="42"/>
      <c r="C724" s="42"/>
      <c r="D724" s="42"/>
      <c r="E724" s="42"/>
    </row>
    <row r="725">
      <c r="B725" s="42"/>
      <c r="C725" s="42"/>
      <c r="D725" s="42"/>
      <c r="E725" s="42"/>
    </row>
    <row r="726">
      <c r="B726" s="42"/>
      <c r="C726" s="42"/>
      <c r="D726" s="42"/>
      <c r="E726" s="42"/>
    </row>
    <row r="727">
      <c r="B727" s="42"/>
      <c r="C727" s="42"/>
      <c r="D727" s="42"/>
      <c r="E727" s="42"/>
    </row>
    <row r="728">
      <c r="B728" s="42"/>
      <c r="C728" s="42"/>
      <c r="D728" s="42"/>
      <c r="E728" s="42"/>
    </row>
    <row r="729">
      <c r="B729" s="42"/>
      <c r="C729" s="42"/>
      <c r="D729" s="42"/>
      <c r="E729" s="42"/>
    </row>
    <row r="730">
      <c r="B730" s="42"/>
      <c r="C730" s="42"/>
      <c r="D730" s="42"/>
      <c r="E730" s="42"/>
    </row>
    <row r="731">
      <c r="B731" s="42"/>
      <c r="C731" s="42"/>
      <c r="D731" s="42"/>
      <c r="E731" s="42"/>
    </row>
    <row r="732">
      <c r="B732" s="42"/>
      <c r="C732" s="42"/>
      <c r="D732" s="42"/>
      <c r="E732" s="42"/>
    </row>
    <row r="733">
      <c r="B733" s="42"/>
      <c r="C733" s="42"/>
      <c r="D733" s="42"/>
      <c r="E733" s="42"/>
    </row>
    <row r="734">
      <c r="B734" s="42"/>
      <c r="C734" s="42"/>
      <c r="D734" s="42"/>
      <c r="E734" s="42"/>
    </row>
    <row r="735">
      <c r="B735" s="42"/>
      <c r="C735" s="42"/>
      <c r="D735" s="42"/>
      <c r="E735" s="42"/>
    </row>
    <row r="736">
      <c r="B736" s="42"/>
      <c r="C736" s="42"/>
      <c r="D736" s="42"/>
      <c r="E736" s="42"/>
    </row>
    <row r="737">
      <c r="B737" s="42"/>
      <c r="C737" s="42"/>
      <c r="D737" s="42"/>
      <c r="E737" s="42"/>
    </row>
    <row r="738">
      <c r="B738" s="42"/>
      <c r="C738" s="42"/>
      <c r="D738" s="42"/>
      <c r="E738" s="42"/>
    </row>
    <row r="739">
      <c r="B739" s="42"/>
      <c r="C739" s="42"/>
      <c r="D739" s="42"/>
      <c r="E739" s="42"/>
    </row>
    <row r="740">
      <c r="B740" s="42"/>
      <c r="C740" s="42"/>
      <c r="D740" s="42"/>
      <c r="E740" s="42"/>
    </row>
    <row r="741">
      <c r="B741" s="42"/>
      <c r="C741" s="42"/>
      <c r="D741" s="42"/>
      <c r="E741" s="42"/>
    </row>
    <row r="742">
      <c r="B742" s="42"/>
      <c r="C742" s="42"/>
      <c r="D742" s="42"/>
      <c r="E742" s="42"/>
    </row>
    <row r="743">
      <c r="B743" s="42"/>
      <c r="C743" s="42"/>
      <c r="D743" s="42"/>
      <c r="E743" s="42"/>
    </row>
    <row r="744">
      <c r="B744" s="42"/>
      <c r="C744" s="42"/>
      <c r="D744" s="42"/>
      <c r="E744" s="42"/>
    </row>
    <row r="745">
      <c r="B745" s="42"/>
      <c r="C745" s="42"/>
      <c r="D745" s="42"/>
      <c r="E745" s="42"/>
    </row>
    <row r="746">
      <c r="B746" s="42"/>
      <c r="C746" s="42"/>
      <c r="D746" s="42"/>
      <c r="E746" s="42"/>
    </row>
    <row r="747">
      <c r="B747" s="42"/>
      <c r="C747" s="42"/>
      <c r="D747" s="42"/>
      <c r="E747" s="42"/>
    </row>
    <row r="748">
      <c r="B748" s="42"/>
      <c r="C748" s="42"/>
      <c r="D748" s="42"/>
      <c r="E748" s="42"/>
    </row>
    <row r="749">
      <c r="B749" s="42"/>
      <c r="C749" s="42"/>
      <c r="D749" s="42"/>
      <c r="E749" s="42"/>
    </row>
    <row r="750">
      <c r="B750" s="42"/>
      <c r="C750" s="42"/>
      <c r="D750" s="42"/>
      <c r="E750" s="42"/>
    </row>
    <row r="751">
      <c r="B751" s="42"/>
      <c r="C751" s="42"/>
      <c r="D751" s="42"/>
      <c r="E751" s="42"/>
    </row>
    <row r="752">
      <c r="B752" s="42"/>
      <c r="C752" s="42"/>
      <c r="D752" s="42"/>
      <c r="E752" s="42"/>
    </row>
    <row r="753">
      <c r="B753" s="42"/>
      <c r="C753" s="42"/>
      <c r="D753" s="42"/>
      <c r="E753" s="42"/>
    </row>
    <row r="754">
      <c r="B754" s="42"/>
      <c r="C754" s="42"/>
      <c r="D754" s="42"/>
      <c r="E754" s="42"/>
    </row>
    <row r="755">
      <c r="B755" s="42"/>
      <c r="C755" s="42"/>
      <c r="D755" s="42"/>
      <c r="E755" s="42"/>
    </row>
    <row r="756">
      <c r="B756" s="42"/>
      <c r="C756" s="42"/>
      <c r="D756" s="42"/>
      <c r="E756" s="42"/>
    </row>
    <row r="757">
      <c r="B757" s="42"/>
      <c r="C757" s="42"/>
      <c r="D757" s="42"/>
      <c r="E757" s="42"/>
    </row>
    <row r="758">
      <c r="B758" s="42"/>
      <c r="C758" s="42"/>
      <c r="D758" s="42"/>
      <c r="E758" s="42"/>
    </row>
    <row r="759">
      <c r="B759" s="42"/>
      <c r="C759" s="42"/>
      <c r="D759" s="42"/>
      <c r="E759" s="42"/>
    </row>
    <row r="760">
      <c r="B760" s="42"/>
      <c r="C760" s="42"/>
      <c r="D760" s="42"/>
      <c r="E760" s="42"/>
    </row>
    <row r="761">
      <c r="B761" s="42"/>
      <c r="C761" s="42"/>
      <c r="D761" s="42"/>
      <c r="E761" s="42"/>
    </row>
    <row r="762">
      <c r="B762" s="42"/>
      <c r="C762" s="42"/>
      <c r="D762" s="42"/>
      <c r="E762" s="42"/>
    </row>
    <row r="763">
      <c r="B763" s="42"/>
      <c r="C763" s="42"/>
      <c r="D763" s="42"/>
      <c r="E763" s="42"/>
    </row>
    <row r="764">
      <c r="B764" s="42"/>
      <c r="C764" s="42"/>
      <c r="D764" s="42"/>
      <c r="E764" s="42"/>
    </row>
    <row r="765">
      <c r="B765" s="42"/>
      <c r="C765" s="42"/>
      <c r="D765" s="42"/>
      <c r="E765" s="42"/>
    </row>
    <row r="766">
      <c r="B766" s="42"/>
      <c r="C766" s="42"/>
      <c r="D766" s="42"/>
      <c r="E766" s="42"/>
    </row>
    <row r="767">
      <c r="B767" s="42"/>
      <c r="C767" s="42"/>
      <c r="D767" s="42"/>
      <c r="E767" s="42"/>
    </row>
    <row r="768">
      <c r="B768" s="42"/>
      <c r="C768" s="42"/>
      <c r="D768" s="42"/>
      <c r="E768" s="42"/>
    </row>
    <row r="769">
      <c r="B769" s="42"/>
      <c r="C769" s="42"/>
      <c r="D769" s="42"/>
      <c r="E769" s="42"/>
    </row>
    <row r="770">
      <c r="B770" s="42"/>
      <c r="C770" s="42"/>
      <c r="D770" s="42"/>
      <c r="E770" s="42"/>
    </row>
    <row r="771">
      <c r="B771" s="42"/>
      <c r="C771" s="42"/>
      <c r="D771" s="42"/>
      <c r="E771" s="42"/>
    </row>
    <row r="772">
      <c r="B772" s="42"/>
      <c r="C772" s="42"/>
      <c r="D772" s="42"/>
      <c r="E772" s="42"/>
    </row>
    <row r="773">
      <c r="B773" s="42"/>
      <c r="C773" s="42"/>
      <c r="D773" s="42"/>
      <c r="E773" s="42"/>
    </row>
    <row r="774">
      <c r="B774" s="42"/>
      <c r="C774" s="42"/>
      <c r="D774" s="42"/>
      <c r="E774" s="42"/>
    </row>
    <row r="775">
      <c r="B775" s="42"/>
      <c r="C775" s="42"/>
      <c r="D775" s="42"/>
      <c r="E775" s="42"/>
    </row>
    <row r="776">
      <c r="B776" s="42"/>
      <c r="C776" s="42"/>
      <c r="D776" s="42"/>
      <c r="E776" s="42"/>
    </row>
    <row r="777">
      <c r="B777" s="42"/>
      <c r="C777" s="42"/>
      <c r="D777" s="42"/>
      <c r="E777" s="42"/>
    </row>
    <row r="778">
      <c r="B778" s="42"/>
      <c r="C778" s="42"/>
      <c r="D778" s="42"/>
      <c r="E778" s="42"/>
    </row>
    <row r="779">
      <c r="B779" s="42"/>
      <c r="C779" s="42"/>
      <c r="D779" s="42"/>
      <c r="E779" s="42"/>
    </row>
    <row r="780">
      <c r="B780" s="42"/>
      <c r="C780" s="42"/>
      <c r="D780" s="42"/>
      <c r="E780" s="42"/>
    </row>
    <row r="781">
      <c r="B781" s="42"/>
      <c r="C781" s="42"/>
      <c r="D781" s="42"/>
      <c r="E781" s="42"/>
    </row>
    <row r="782">
      <c r="B782" s="42"/>
      <c r="C782" s="42"/>
      <c r="D782" s="42"/>
      <c r="E782" s="42"/>
    </row>
    <row r="783">
      <c r="B783" s="42"/>
      <c r="C783" s="42"/>
      <c r="D783" s="42"/>
      <c r="E783" s="42"/>
    </row>
    <row r="784">
      <c r="B784" s="42"/>
      <c r="C784" s="42"/>
      <c r="D784" s="42"/>
      <c r="E784" s="42"/>
    </row>
    <row r="785">
      <c r="B785" s="42"/>
      <c r="C785" s="42"/>
      <c r="D785" s="42"/>
      <c r="E785" s="42"/>
    </row>
    <row r="786">
      <c r="B786" s="42"/>
      <c r="C786" s="42"/>
      <c r="D786" s="42"/>
      <c r="E786" s="42"/>
    </row>
    <row r="787">
      <c r="B787" s="42"/>
      <c r="C787" s="42"/>
      <c r="D787" s="42"/>
      <c r="E787" s="42"/>
    </row>
    <row r="788">
      <c r="B788" s="42"/>
      <c r="C788" s="42"/>
      <c r="D788" s="42"/>
      <c r="E788" s="42"/>
    </row>
    <row r="789">
      <c r="B789" s="42"/>
      <c r="C789" s="42"/>
      <c r="D789" s="42"/>
      <c r="E789" s="42"/>
    </row>
    <row r="790">
      <c r="B790" s="42"/>
      <c r="C790" s="42"/>
      <c r="D790" s="42"/>
      <c r="E790" s="42"/>
    </row>
    <row r="791">
      <c r="B791" s="42"/>
      <c r="C791" s="42"/>
      <c r="D791" s="42"/>
      <c r="E791" s="42"/>
    </row>
    <row r="792">
      <c r="B792" s="42"/>
      <c r="C792" s="42"/>
      <c r="D792" s="42"/>
      <c r="E792" s="42"/>
    </row>
    <row r="793">
      <c r="B793" s="42"/>
      <c r="C793" s="42"/>
      <c r="D793" s="42"/>
      <c r="E793" s="42"/>
    </row>
    <row r="794">
      <c r="B794" s="42"/>
      <c r="C794" s="42"/>
      <c r="D794" s="42"/>
      <c r="E794" s="42"/>
    </row>
    <row r="795">
      <c r="B795" s="42"/>
      <c r="C795" s="42"/>
      <c r="D795" s="42"/>
      <c r="E795" s="42"/>
    </row>
    <row r="796">
      <c r="B796" s="42"/>
      <c r="C796" s="42"/>
      <c r="D796" s="42"/>
      <c r="E796" s="42"/>
    </row>
    <row r="797">
      <c r="B797" s="42"/>
      <c r="C797" s="42"/>
      <c r="D797" s="42"/>
      <c r="E797" s="42"/>
    </row>
    <row r="798">
      <c r="B798" s="42"/>
      <c r="C798" s="42"/>
      <c r="D798" s="42"/>
      <c r="E798" s="42"/>
    </row>
    <row r="799">
      <c r="B799" s="42"/>
      <c r="C799" s="42"/>
      <c r="D799" s="42"/>
      <c r="E799" s="42"/>
    </row>
    <row r="800">
      <c r="B800" s="42"/>
      <c r="C800" s="42"/>
      <c r="D800" s="42"/>
      <c r="E800" s="42"/>
    </row>
    <row r="801">
      <c r="B801" s="42"/>
      <c r="C801" s="42"/>
      <c r="D801" s="42"/>
      <c r="E801" s="42"/>
    </row>
    <row r="802">
      <c r="B802" s="42"/>
      <c r="C802" s="42"/>
      <c r="D802" s="42"/>
      <c r="E802" s="42"/>
    </row>
    <row r="803">
      <c r="B803" s="42"/>
      <c r="C803" s="42"/>
      <c r="D803" s="42"/>
      <c r="E803" s="42"/>
    </row>
    <row r="804">
      <c r="B804" s="42"/>
      <c r="C804" s="42"/>
      <c r="D804" s="42"/>
      <c r="E804" s="42"/>
    </row>
    <row r="805">
      <c r="B805" s="42"/>
      <c r="C805" s="42"/>
      <c r="D805" s="42"/>
      <c r="E805" s="42"/>
    </row>
    <row r="806">
      <c r="B806" s="42"/>
      <c r="C806" s="42"/>
      <c r="D806" s="42"/>
      <c r="E806" s="42"/>
    </row>
    <row r="807">
      <c r="B807" s="42"/>
      <c r="C807" s="42"/>
      <c r="D807" s="42"/>
      <c r="E807" s="42"/>
    </row>
    <row r="808">
      <c r="B808" s="42"/>
      <c r="C808" s="42"/>
      <c r="D808" s="42"/>
      <c r="E808" s="42"/>
    </row>
    <row r="809">
      <c r="B809" s="42"/>
      <c r="C809" s="42"/>
      <c r="D809" s="42"/>
      <c r="E809" s="42"/>
    </row>
    <row r="810">
      <c r="B810" s="42"/>
      <c r="C810" s="42"/>
      <c r="D810" s="42"/>
      <c r="E810" s="42"/>
    </row>
    <row r="811">
      <c r="B811" s="42"/>
      <c r="C811" s="42"/>
      <c r="D811" s="42"/>
      <c r="E811" s="42"/>
    </row>
    <row r="812">
      <c r="B812" s="42"/>
      <c r="C812" s="42"/>
      <c r="D812" s="42"/>
      <c r="E812" s="42"/>
    </row>
    <row r="813">
      <c r="B813" s="42"/>
      <c r="C813" s="42"/>
      <c r="D813" s="42"/>
      <c r="E813" s="42"/>
    </row>
    <row r="814">
      <c r="B814" s="42"/>
      <c r="C814" s="42"/>
      <c r="D814" s="42"/>
      <c r="E814" s="42"/>
    </row>
    <row r="815">
      <c r="B815" s="42"/>
      <c r="C815" s="42"/>
      <c r="D815" s="42"/>
      <c r="E815" s="42"/>
    </row>
    <row r="816">
      <c r="B816" s="42"/>
      <c r="C816" s="42"/>
      <c r="D816" s="42"/>
      <c r="E816" s="42"/>
    </row>
    <row r="817">
      <c r="B817" s="42"/>
      <c r="C817" s="42"/>
      <c r="D817" s="42"/>
      <c r="E817" s="42"/>
    </row>
    <row r="818">
      <c r="B818" s="42"/>
      <c r="C818" s="42"/>
      <c r="D818" s="42"/>
      <c r="E818" s="42"/>
    </row>
    <row r="819">
      <c r="B819" s="42"/>
      <c r="C819" s="42"/>
      <c r="D819" s="42"/>
      <c r="E819" s="42"/>
    </row>
    <row r="820">
      <c r="B820" s="42"/>
      <c r="C820" s="42"/>
      <c r="D820" s="42"/>
      <c r="E820" s="42"/>
    </row>
    <row r="821">
      <c r="B821" s="42"/>
      <c r="C821" s="42"/>
      <c r="D821" s="42"/>
      <c r="E821" s="42"/>
    </row>
    <row r="822">
      <c r="B822" s="42"/>
      <c r="C822" s="42"/>
      <c r="D822" s="42"/>
      <c r="E822" s="42"/>
    </row>
    <row r="823">
      <c r="B823" s="42"/>
      <c r="C823" s="42"/>
      <c r="D823" s="42"/>
      <c r="E823" s="42"/>
    </row>
    <row r="824">
      <c r="B824" s="42"/>
      <c r="C824" s="42"/>
      <c r="D824" s="42"/>
      <c r="E824" s="42"/>
    </row>
    <row r="825">
      <c r="B825" s="42"/>
      <c r="C825" s="42"/>
      <c r="D825" s="42"/>
      <c r="E825" s="42"/>
    </row>
    <row r="826">
      <c r="B826" s="42"/>
      <c r="C826" s="42"/>
      <c r="D826" s="42"/>
      <c r="E826" s="42"/>
    </row>
    <row r="827">
      <c r="B827" s="42"/>
      <c r="C827" s="42"/>
      <c r="D827" s="42"/>
      <c r="E827" s="42"/>
    </row>
    <row r="828">
      <c r="B828" s="42"/>
      <c r="C828" s="42"/>
      <c r="D828" s="42"/>
      <c r="E828" s="42"/>
    </row>
    <row r="829">
      <c r="B829" s="42"/>
      <c r="C829" s="42"/>
      <c r="D829" s="42"/>
      <c r="E829" s="42"/>
    </row>
    <row r="830">
      <c r="B830" s="42"/>
      <c r="C830" s="42"/>
      <c r="D830" s="42"/>
      <c r="E830" s="42"/>
    </row>
    <row r="831">
      <c r="B831" s="42"/>
      <c r="C831" s="42"/>
      <c r="D831" s="42"/>
      <c r="E831" s="42"/>
    </row>
    <row r="832">
      <c r="B832" s="42"/>
      <c r="C832" s="42"/>
      <c r="D832" s="42"/>
      <c r="E832" s="42"/>
    </row>
    <row r="833">
      <c r="B833" s="42"/>
      <c r="C833" s="42"/>
      <c r="D833" s="42"/>
      <c r="E833" s="42"/>
    </row>
    <row r="834">
      <c r="B834" s="42"/>
      <c r="C834" s="42"/>
      <c r="D834" s="42"/>
      <c r="E834" s="42"/>
    </row>
    <row r="835">
      <c r="B835" s="42"/>
      <c r="C835" s="42"/>
      <c r="D835" s="42"/>
      <c r="E835" s="42"/>
    </row>
    <row r="836">
      <c r="B836" s="42"/>
      <c r="C836" s="42"/>
      <c r="D836" s="42"/>
      <c r="E836" s="42"/>
    </row>
    <row r="837">
      <c r="B837" s="42"/>
      <c r="C837" s="42"/>
      <c r="D837" s="42"/>
      <c r="E837" s="42"/>
    </row>
    <row r="838">
      <c r="B838" s="42"/>
      <c r="C838" s="42"/>
      <c r="D838" s="42"/>
      <c r="E838" s="42"/>
    </row>
    <row r="839">
      <c r="B839" s="42"/>
      <c r="C839" s="42"/>
      <c r="D839" s="42"/>
      <c r="E839" s="42"/>
    </row>
    <row r="840">
      <c r="B840" s="42"/>
      <c r="C840" s="42"/>
      <c r="D840" s="42"/>
      <c r="E840" s="42"/>
    </row>
    <row r="841">
      <c r="B841" s="42"/>
      <c r="C841" s="42"/>
      <c r="D841" s="42"/>
      <c r="E841" s="42"/>
    </row>
    <row r="842">
      <c r="B842" s="42"/>
      <c r="C842" s="42"/>
      <c r="D842" s="42"/>
      <c r="E842" s="42"/>
    </row>
    <row r="843">
      <c r="B843" s="42"/>
      <c r="C843" s="42"/>
      <c r="D843" s="42"/>
      <c r="E843" s="42"/>
    </row>
    <row r="844">
      <c r="B844" s="42"/>
      <c r="C844" s="42"/>
      <c r="D844" s="42"/>
      <c r="E844" s="42"/>
    </row>
    <row r="845">
      <c r="B845" s="42"/>
      <c r="C845" s="42"/>
      <c r="D845" s="42"/>
      <c r="E845" s="42"/>
    </row>
    <row r="846">
      <c r="B846" s="42"/>
      <c r="C846" s="42"/>
      <c r="D846" s="42"/>
      <c r="E846" s="42"/>
    </row>
    <row r="847">
      <c r="B847" s="42"/>
      <c r="C847" s="42"/>
      <c r="D847" s="42"/>
      <c r="E847" s="42"/>
    </row>
    <row r="848">
      <c r="B848" s="42"/>
      <c r="C848" s="42"/>
      <c r="D848" s="42"/>
      <c r="E848" s="42"/>
    </row>
    <row r="849">
      <c r="B849" s="42"/>
      <c r="C849" s="42"/>
      <c r="D849" s="42"/>
      <c r="E849" s="42"/>
    </row>
    <row r="850">
      <c r="B850" s="42"/>
      <c r="C850" s="42"/>
      <c r="D850" s="42"/>
      <c r="E850" s="42"/>
    </row>
    <row r="851">
      <c r="B851" s="42"/>
      <c r="C851" s="42"/>
      <c r="D851" s="42"/>
      <c r="E851" s="42"/>
    </row>
    <row r="852">
      <c r="B852" s="42"/>
      <c r="C852" s="42"/>
      <c r="D852" s="42"/>
      <c r="E852" s="42"/>
    </row>
    <row r="853">
      <c r="B853" s="42"/>
      <c r="C853" s="42"/>
      <c r="D853" s="42"/>
      <c r="E853" s="42"/>
    </row>
    <row r="854">
      <c r="B854" s="42"/>
      <c r="C854" s="42"/>
      <c r="D854" s="42"/>
      <c r="E854" s="42"/>
    </row>
    <row r="855">
      <c r="B855" s="42"/>
      <c r="C855" s="42"/>
      <c r="D855" s="42"/>
      <c r="E855" s="42"/>
    </row>
    <row r="856">
      <c r="B856" s="42"/>
      <c r="C856" s="42"/>
      <c r="D856" s="42"/>
      <c r="E856" s="42"/>
    </row>
    <row r="857">
      <c r="B857" s="42"/>
      <c r="C857" s="42"/>
      <c r="D857" s="42"/>
      <c r="E857" s="42"/>
    </row>
    <row r="858">
      <c r="B858" s="42"/>
      <c r="C858" s="42"/>
      <c r="D858" s="42"/>
      <c r="E858" s="42"/>
    </row>
    <row r="859">
      <c r="B859" s="42"/>
      <c r="C859" s="42"/>
      <c r="D859" s="42"/>
      <c r="E859" s="42"/>
    </row>
    <row r="860">
      <c r="B860" s="42"/>
      <c r="C860" s="42"/>
      <c r="D860" s="42"/>
      <c r="E860" s="42"/>
    </row>
    <row r="861">
      <c r="B861" s="42"/>
      <c r="C861" s="42"/>
      <c r="D861" s="42"/>
      <c r="E861" s="42"/>
    </row>
    <row r="862">
      <c r="B862" s="42"/>
      <c r="C862" s="42"/>
      <c r="D862" s="42"/>
      <c r="E862" s="42"/>
    </row>
    <row r="863">
      <c r="B863" s="42"/>
      <c r="C863" s="42"/>
      <c r="D863" s="42"/>
      <c r="E863" s="42"/>
    </row>
    <row r="864">
      <c r="B864" s="42"/>
      <c r="C864" s="42"/>
      <c r="D864" s="42"/>
      <c r="E864" s="42"/>
    </row>
    <row r="865">
      <c r="B865" s="42"/>
      <c r="C865" s="42"/>
      <c r="D865" s="42"/>
      <c r="E865" s="42"/>
    </row>
    <row r="866">
      <c r="B866" s="42"/>
      <c r="C866" s="42"/>
      <c r="D866" s="42"/>
      <c r="E866" s="42"/>
    </row>
    <row r="867">
      <c r="B867" s="42"/>
      <c r="C867" s="42"/>
      <c r="D867" s="42"/>
      <c r="E867" s="42"/>
    </row>
    <row r="868">
      <c r="B868" s="42"/>
      <c r="C868" s="42"/>
      <c r="D868" s="42"/>
      <c r="E868" s="42"/>
    </row>
    <row r="869">
      <c r="B869" s="42"/>
      <c r="C869" s="42"/>
      <c r="D869" s="42"/>
      <c r="E869" s="42"/>
    </row>
    <row r="870">
      <c r="B870" s="42"/>
      <c r="C870" s="42"/>
      <c r="D870" s="42"/>
      <c r="E870" s="42"/>
    </row>
    <row r="871">
      <c r="B871" s="42"/>
      <c r="C871" s="42"/>
      <c r="D871" s="42"/>
      <c r="E871" s="42"/>
    </row>
    <row r="872">
      <c r="B872" s="42"/>
      <c r="C872" s="42"/>
      <c r="D872" s="42"/>
      <c r="E872" s="42"/>
    </row>
    <row r="873">
      <c r="B873" s="42"/>
      <c r="C873" s="42"/>
      <c r="D873" s="42"/>
      <c r="E873" s="42"/>
    </row>
    <row r="874">
      <c r="B874" s="42"/>
      <c r="C874" s="42"/>
      <c r="D874" s="42"/>
      <c r="E874" s="42"/>
    </row>
    <row r="875">
      <c r="B875" s="42"/>
      <c r="C875" s="42"/>
      <c r="D875" s="42"/>
      <c r="E875" s="42"/>
    </row>
    <row r="876">
      <c r="B876" s="42"/>
      <c r="C876" s="42"/>
      <c r="D876" s="42"/>
      <c r="E876" s="42"/>
    </row>
    <row r="877">
      <c r="B877" s="42"/>
      <c r="C877" s="42"/>
      <c r="D877" s="42"/>
      <c r="E877" s="42"/>
    </row>
    <row r="878">
      <c r="B878" s="42"/>
      <c r="C878" s="42"/>
      <c r="D878" s="42"/>
      <c r="E878" s="42"/>
    </row>
    <row r="879">
      <c r="B879" s="42"/>
      <c r="C879" s="42"/>
      <c r="D879" s="42"/>
      <c r="E879" s="42"/>
    </row>
    <row r="880">
      <c r="B880" s="42"/>
      <c r="C880" s="42"/>
      <c r="D880" s="42"/>
      <c r="E880" s="42"/>
    </row>
    <row r="881">
      <c r="B881" s="42"/>
      <c r="C881" s="42"/>
      <c r="D881" s="42"/>
      <c r="E881" s="42"/>
    </row>
    <row r="882">
      <c r="B882" s="42"/>
      <c r="C882" s="42"/>
      <c r="D882" s="42"/>
      <c r="E882" s="42"/>
    </row>
    <row r="883">
      <c r="B883" s="42"/>
      <c r="C883" s="42"/>
      <c r="D883" s="42"/>
      <c r="E883" s="42"/>
    </row>
    <row r="884">
      <c r="B884" s="42"/>
      <c r="C884" s="42"/>
      <c r="D884" s="42"/>
      <c r="E884" s="42"/>
    </row>
    <row r="885">
      <c r="B885" s="42"/>
      <c r="C885" s="42"/>
      <c r="D885" s="42"/>
      <c r="E885" s="42"/>
    </row>
    <row r="886">
      <c r="B886" s="42"/>
      <c r="C886" s="42"/>
      <c r="D886" s="42"/>
      <c r="E886" s="42"/>
    </row>
    <row r="887">
      <c r="B887" s="42"/>
      <c r="C887" s="42"/>
      <c r="D887" s="42"/>
      <c r="E887" s="42"/>
    </row>
    <row r="888">
      <c r="B888" s="42"/>
      <c r="C888" s="42"/>
      <c r="D888" s="42"/>
      <c r="E888" s="42"/>
    </row>
    <row r="889">
      <c r="B889" s="42"/>
      <c r="C889" s="42"/>
      <c r="D889" s="42"/>
      <c r="E889" s="42"/>
    </row>
    <row r="890">
      <c r="B890" s="42"/>
      <c r="C890" s="42"/>
      <c r="D890" s="42"/>
      <c r="E890" s="42"/>
    </row>
    <row r="891">
      <c r="B891" s="42"/>
      <c r="C891" s="42"/>
      <c r="D891" s="42"/>
      <c r="E891" s="42"/>
    </row>
    <row r="892">
      <c r="B892" s="42"/>
      <c r="C892" s="42"/>
      <c r="D892" s="42"/>
      <c r="E892" s="42"/>
    </row>
    <row r="893">
      <c r="B893" s="42"/>
      <c r="C893" s="42"/>
      <c r="D893" s="42"/>
      <c r="E893" s="42"/>
    </row>
    <row r="894">
      <c r="B894" s="42"/>
      <c r="C894" s="42"/>
      <c r="D894" s="42"/>
      <c r="E894" s="42"/>
    </row>
    <row r="895">
      <c r="B895" s="42"/>
      <c r="C895" s="42"/>
      <c r="D895" s="42"/>
      <c r="E895" s="42"/>
    </row>
    <row r="896">
      <c r="B896" s="42"/>
      <c r="C896" s="42"/>
      <c r="D896" s="42"/>
      <c r="E896" s="42"/>
    </row>
    <row r="897">
      <c r="B897" s="42"/>
      <c r="C897" s="42"/>
      <c r="D897" s="42"/>
      <c r="E897" s="42"/>
    </row>
    <row r="898">
      <c r="B898" s="42"/>
      <c r="C898" s="42"/>
      <c r="D898" s="42"/>
      <c r="E898" s="42"/>
    </row>
    <row r="899">
      <c r="B899" s="42"/>
      <c r="C899" s="42"/>
      <c r="D899" s="42"/>
      <c r="E899" s="42"/>
    </row>
    <row r="900">
      <c r="B900" s="42"/>
      <c r="C900" s="42"/>
      <c r="D900" s="42"/>
      <c r="E900" s="42"/>
    </row>
    <row r="901">
      <c r="B901" s="42"/>
      <c r="C901" s="42"/>
      <c r="D901" s="42"/>
      <c r="E901" s="42"/>
    </row>
    <row r="902">
      <c r="B902" s="42"/>
      <c r="C902" s="42"/>
      <c r="D902" s="42"/>
      <c r="E902" s="42"/>
    </row>
    <row r="903">
      <c r="B903" s="42"/>
      <c r="C903" s="42"/>
      <c r="D903" s="42"/>
      <c r="E903" s="42"/>
    </row>
    <row r="904">
      <c r="B904" s="42"/>
      <c r="C904" s="42"/>
      <c r="D904" s="42"/>
      <c r="E904" s="42"/>
    </row>
    <row r="905">
      <c r="B905" s="42"/>
      <c r="C905" s="42"/>
      <c r="D905" s="42"/>
      <c r="E905" s="42"/>
    </row>
    <row r="906">
      <c r="B906" s="42"/>
      <c r="C906" s="42"/>
      <c r="D906" s="42"/>
      <c r="E906" s="42"/>
    </row>
    <row r="907">
      <c r="B907" s="42"/>
      <c r="C907" s="42"/>
      <c r="D907" s="42"/>
      <c r="E907" s="42"/>
    </row>
    <row r="908">
      <c r="B908" s="42"/>
      <c r="C908" s="42"/>
      <c r="D908" s="42"/>
      <c r="E908" s="42"/>
    </row>
    <row r="909">
      <c r="B909" s="42"/>
      <c r="C909" s="42"/>
      <c r="D909" s="42"/>
      <c r="E909" s="42"/>
    </row>
    <row r="910">
      <c r="B910" s="42"/>
      <c r="C910" s="42"/>
      <c r="D910" s="42"/>
      <c r="E910" s="42"/>
    </row>
    <row r="911">
      <c r="B911" s="42"/>
      <c r="C911" s="42"/>
      <c r="D911" s="42"/>
      <c r="E911" s="42"/>
    </row>
    <row r="912">
      <c r="B912" s="42"/>
      <c r="C912" s="42"/>
      <c r="D912" s="42"/>
      <c r="E912" s="42"/>
    </row>
    <row r="913">
      <c r="B913" s="42"/>
      <c r="C913" s="42"/>
      <c r="D913" s="42"/>
      <c r="E913" s="42"/>
    </row>
    <row r="914">
      <c r="B914" s="42"/>
      <c r="C914" s="42"/>
      <c r="D914" s="42"/>
      <c r="E914" s="42"/>
    </row>
    <row r="915">
      <c r="B915" s="42"/>
      <c r="C915" s="42"/>
      <c r="D915" s="42"/>
      <c r="E915" s="42"/>
    </row>
    <row r="916">
      <c r="B916" s="42"/>
      <c r="C916" s="42"/>
      <c r="D916" s="42"/>
      <c r="E916" s="42"/>
    </row>
    <row r="917">
      <c r="B917" s="42"/>
      <c r="C917" s="42"/>
      <c r="D917" s="42"/>
      <c r="E917" s="42"/>
    </row>
    <row r="918">
      <c r="B918" s="42"/>
      <c r="C918" s="42"/>
      <c r="D918" s="42"/>
      <c r="E918" s="42"/>
    </row>
    <row r="919">
      <c r="B919" s="42"/>
      <c r="C919" s="42"/>
      <c r="D919" s="42"/>
      <c r="E919" s="42"/>
    </row>
    <row r="920">
      <c r="B920" s="42"/>
      <c r="C920" s="42"/>
      <c r="D920" s="42"/>
      <c r="E920" s="42"/>
    </row>
    <row r="921">
      <c r="B921" s="42"/>
      <c r="C921" s="42"/>
      <c r="D921" s="42"/>
      <c r="E921" s="42"/>
    </row>
    <row r="922">
      <c r="B922" s="42"/>
      <c r="C922" s="42"/>
      <c r="D922" s="42"/>
      <c r="E922" s="42"/>
    </row>
    <row r="923">
      <c r="B923" s="42"/>
      <c r="C923" s="42"/>
      <c r="D923" s="42"/>
      <c r="E923" s="42"/>
    </row>
    <row r="924">
      <c r="B924" s="42"/>
      <c r="C924" s="42"/>
      <c r="D924" s="42"/>
      <c r="E924" s="42"/>
    </row>
    <row r="925">
      <c r="B925" s="42"/>
      <c r="C925" s="42"/>
      <c r="D925" s="42"/>
      <c r="E925" s="42"/>
    </row>
    <row r="926">
      <c r="B926" s="42"/>
      <c r="C926" s="42"/>
      <c r="D926" s="42"/>
      <c r="E926" s="42"/>
    </row>
    <row r="927">
      <c r="B927" s="42"/>
      <c r="C927" s="42"/>
      <c r="D927" s="42"/>
      <c r="E927" s="42"/>
    </row>
    <row r="928">
      <c r="B928" s="42"/>
      <c r="C928" s="42"/>
      <c r="D928" s="42"/>
      <c r="E928" s="42"/>
    </row>
    <row r="929">
      <c r="B929" s="42"/>
      <c r="C929" s="42"/>
      <c r="D929" s="42"/>
      <c r="E929" s="42"/>
    </row>
    <row r="930">
      <c r="B930" s="42"/>
      <c r="C930" s="42"/>
      <c r="D930" s="42"/>
      <c r="E930" s="42"/>
    </row>
    <row r="931">
      <c r="B931" s="42"/>
      <c r="C931" s="42"/>
      <c r="D931" s="42"/>
      <c r="E931" s="42"/>
    </row>
    <row r="932">
      <c r="B932" s="42"/>
      <c r="C932" s="42"/>
      <c r="D932" s="42"/>
      <c r="E932" s="42"/>
    </row>
    <row r="933">
      <c r="B933" s="42"/>
      <c r="C933" s="42"/>
      <c r="D933" s="42"/>
      <c r="E933" s="42"/>
    </row>
    <row r="934">
      <c r="B934" s="42"/>
      <c r="C934" s="42"/>
      <c r="D934" s="42"/>
      <c r="E934" s="42"/>
    </row>
    <row r="935">
      <c r="B935" s="42"/>
      <c r="C935" s="42"/>
      <c r="D935" s="42"/>
      <c r="E935" s="42"/>
    </row>
    <row r="936">
      <c r="B936" s="42"/>
      <c r="C936" s="42"/>
      <c r="D936" s="42"/>
      <c r="E936" s="42"/>
    </row>
    <row r="937">
      <c r="B937" s="42"/>
      <c r="C937" s="42"/>
      <c r="D937" s="42"/>
      <c r="E937" s="42"/>
    </row>
    <row r="938">
      <c r="B938" s="42"/>
      <c r="C938" s="42"/>
      <c r="D938" s="42"/>
      <c r="E938" s="42"/>
    </row>
    <row r="939">
      <c r="B939" s="42"/>
      <c r="C939" s="42"/>
      <c r="D939" s="42"/>
      <c r="E939" s="42"/>
    </row>
    <row r="940">
      <c r="B940" s="42"/>
      <c r="C940" s="42"/>
      <c r="D940" s="42"/>
      <c r="E940" s="42"/>
    </row>
    <row r="941">
      <c r="B941" s="42"/>
      <c r="C941" s="42"/>
      <c r="D941" s="42"/>
      <c r="E941" s="42"/>
    </row>
    <row r="942">
      <c r="B942" s="42"/>
      <c r="C942" s="42"/>
      <c r="D942" s="42"/>
      <c r="E942" s="42"/>
    </row>
    <row r="943">
      <c r="B943" s="42"/>
      <c r="C943" s="42"/>
      <c r="D943" s="42"/>
      <c r="E943" s="42"/>
    </row>
    <row r="944">
      <c r="B944" s="42"/>
      <c r="C944" s="42"/>
      <c r="D944" s="42"/>
      <c r="E944" s="42"/>
    </row>
    <row r="945">
      <c r="B945" s="42"/>
      <c r="C945" s="42"/>
      <c r="D945" s="42"/>
      <c r="E945" s="42"/>
    </row>
    <row r="946">
      <c r="B946" s="42"/>
      <c r="C946" s="42"/>
      <c r="D946" s="42"/>
      <c r="E946" s="42"/>
    </row>
    <row r="947">
      <c r="B947" s="42"/>
      <c r="C947" s="42"/>
      <c r="D947" s="42"/>
      <c r="E947" s="42"/>
    </row>
    <row r="948">
      <c r="B948" s="42"/>
      <c r="C948" s="42"/>
      <c r="D948" s="42"/>
      <c r="E948" s="42"/>
    </row>
  </sheetData>
  <mergeCells count="3">
    <mergeCell ref="A1:A88"/>
    <mergeCell ref="B1:D1"/>
    <mergeCell ref="B23:D23"/>
  </mergeCells>
  <drawing r:id="rId1"/>
</worksheet>
</file>